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35" windowWidth="11310" windowHeight="103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T7" i="82" l="1"/>
  <c r="D30" i="80"/>
  <c r="D21" i="80"/>
  <c r="D31" i="80" s="1"/>
  <c r="E31" i="80"/>
  <c r="C31" i="80"/>
  <c r="C30" i="80"/>
  <c r="C21" i="80"/>
  <c r="E30" i="80"/>
  <c r="E21" i="80"/>
  <c r="K3" i="80"/>
  <c r="K4" i="80"/>
  <c r="K5" i="80"/>
  <c r="K6" i="80"/>
  <c r="K7" i="80"/>
  <c r="K8" i="80"/>
  <c r="K9" i="80"/>
  <c r="K10" i="80"/>
  <c r="K11" i="80"/>
  <c r="K12" i="80"/>
  <c r="K13" i="80"/>
  <c r="K14" i="80"/>
  <c r="K15" i="80"/>
  <c r="K16" i="80"/>
  <c r="K17" i="80"/>
  <c r="K18" i="80"/>
  <c r="K19" i="80"/>
  <c r="K20" i="80"/>
  <c r="K22" i="80"/>
  <c r="K23" i="80"/>
  <c r="K24" i="80"/>
  <c r="K25" i="80"/>
  <c r="K26" i="80"/>
  <c r="K27" i="80"/>
  <c r="K28" i="80"/>
  <c r="K29" i="80"/>
  <c r="K2" i="80"/>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D34" i="83"/>
  <c r="D35" i="83"/>
  <c r="K120" i="83" l="1"/>
  <c r="D121" i="83"/>
  <c r="C74"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C374" i="82"/>
  <c r="R373" i="82"/>
  <c r="S373" i="82" s="1"/>
  <c r="Q373" i="82"/>
  <c r="O373" i="82"/>
  <c r="M373" i="82"/>
  <c r="K373" i="82"/>
  <c r="I373" i="82"/>
  <c r="C373" i="82"/>
  <c r="R372" i="82"/>
  <c r="S372" i="82" s="1"/>
  <c r="Q372" i="82"/>
  <c r="O372" i="82"/>
  <c r="M372" i="82"/>
  <c r="K372" i="82"/>
  <c r="I372" i="82"/>
  <c r="C372" i="82"/>
  <c r="R371" i="82"/>
  <c r="S371" i="82" s="1"/>
  <c r="Q371" i="82"/>
  <c r="O371" i="82"/>
  <c r="M371" i="82"/>
  <c r="K371" i="82"/>
  <c r="I371" i="82"/>
  <c r="C371" i="82"/>
  <c r="R370" i="82"/>
  <c r="S370" i="82" s="1"/>
  <c r="Q370" i="82"/>
  <c r="O370" i="82"/>
  <c r="M370" i="82"/>
  <c r="K370" i="82"/>
  <c r="I370" i="82"/>
  <c r="C370" i="82"/>
  <c r="R369" i="82"/>
  <c r="S369" i="82" s="1"/>
  <c r="Q369" i="82"/>
  <c r="O369" i="82"/>
  <c r="M369" i="82"/>
  <c r="K369" i="82"/>
  <c r="I369" i="82"/>
  <c r="C369" i="82"/>
  <c r="R368" i="82"/>
  <c r="S368" i="82" s="1"/>
  <c r="Q368" i="82"/>
  <c r="O368" i="82"/>
  <c r="M368" i="82"/>
  <c r="K368" i="82"/>
  <c r="I368" i="82"/>
  <c r="C368" i="82"/>
  <c r="R367" i="82"/>
  <c r="S367" i="82" s="1"/>
  <c r="Q367" i="82"/>
  <c r="O367" i="82"/>
  <c r="M367" i="82"/>
  <c r="K367" i="82"/>
  <c r="I367" i="82"/>
  <c r="C367" i="82"/>
  <c r="R366" i="82"/>
  <c r="S366" i="82" s="1"/>
  <c r="Q366" i="82"/>
  <c r="O366" i="82"/>
  <c r="M366" i="82"/>
  <c r="K366" i="82"/>
  <c r="I366" i="82"/>
  <c r="C366" i="82"/>
  <c r="R365" i="82"/>
  <c r="S365" i="82" s="1"/>
  <c r="Q365" i="82"/>
  <c r="O365" i="82"/>
  <c r="M365" i="82"/>
  <c r="K365" i="82"/>
  <c r="I365" i="82"/>
  <c r="C365" i="82"/>
  <c r="R364" i="82"/>
  <c r="S364" i="82" s="1"/>
  <c r="Q364" i="82"/>
  <c r="O364" i="82"/>
  <c r="M364" i="82"/>
  <c r="K364" i="82"/>
  <c r="I364" i="82"/>
  <c r="C364" i="82"/>
  <c r="R363" i="82"/>
  <c r="S363" i="82" s="1"/>
  <c r="Q363" i="82"/>
  <c r="O363" i="82"/>
  <c r="M363" i="82"/>
  <c r="K363" i="82"/>
  <c r="I363" i="82"/>
  <c r="C363" i="82"/>
  <c r="R362" i="82"/>
  <c r="S362" i="82" s="1"/>
  <c r="Q362" i="82"/>
  <c r="O362" i="82"/>
  <c r="M362" i="82"/>
  <c r="K362" i="82"/>
  <c r="I362" i="82"/>
  <c r="C362" i="82"/>
  <c r="R361" i="82"/>
  <c r="S361" i="82" s="1"/>
  <c r="Q361" i="82"/>
  <c r="O361" i="82"/>
  <c r="M361" i="82"/>
  <c r="K361" i="82"/>
  <c r="I361" i="82"/>
  <c r="C361" i="82"/>
  <c r="R360" i="82"/>
  <c r="S360" i="82" s="1"/>
  <c r="Q360" i="82"/>
  <c r="O360" i="82"/>
  <c r="M360" i="82"/>
  <c r="K360" i="82"/>
  <c r="I360" i="82"/>
  <c r="C360" i="82"/>
  <c r="R359" i="82"/>
  <c r="S359" i="82" s="1"/>
  <c r="Q359" i="82"/>
  <c r="O359" i="82"/>
  <c r="M359" i="82"/>
  <c r="K359" i="82"/>
  <c r="I359" i="82"/>
  <c r="C359" i="82"/>
  <c r="R358" i="82"/>
  <c r="S358" i="82" s="1"/>
  <c r="Q358" i="82"/>
  <c r="O358" i="82"/>
  <c r="M358" i="82"/>
  <c r="K358" i="82"/>
  <c r="I358" i="82"/>
  <c r="C358" i="82"/>
  <c r="R357" i="82"/>
  <c r="S357" i="82" s="1"/>
  <c r="Q357" i="82"/>
  <c r="O357" i="82"/>
  <c r="M357" i="82"/>
  <c r="K357" i="82"/>
  <c r="I357" i="82"/>
  <c r="C357" i="82"/>
  <c r="R356" i="82"/>
  <c r="S356" i="82" s="1"/>
  <c r="Q356" i="82"/>
  <c r="O356" i="82"/>
  <c r="M356" i="82"/>
  <c r="K356" i="82"/>
  <c r="I356" i="82"/>
  <c r="C356" i="82"/>
  <c r="R355" i="82"/>
  <c r="S355" i="82" s="1"/>
  <c r="Q355" i="82"/>
  <c r="O355" i="82"/>
  <c r="M355" i="82"/>
  <c r="K355" i="82"/>
  <c r="I355" i="82"/>
  <c r="C355" i="82"/>
  <c r="R354" i="82"/>
  <c r="S354" i="82" s="1"/>
  <c r="Q354" i="82"/>
  <c r="O354" i="82"/>
  <c r="M354" i="82"/>
  <c r="K354" i="82"/>
  <c r="I354" i="82"/>
  <c r="C354" i="82"/>
  <c r="R353" i="82"/>
  <c r="S353" i="82" s="1"/>
  <c r="Q353" i="82"/>
  <c r="O353" i="82"/>
  <c r="M353" i="82"/>
  <c r="K353" i="82"/>
  <c r="I353" i="82"/>
  <c r="C353" i="82"/>
  <c r="R352" i="82"/>
  <c r="S352" i="82" s="1"/>
  <c r="Q352" i="82"/>
  <c r="O352" i="82"/>
  <c r="M352" i="82"/>
  <c r="K352" i="82"/>
  <c r="I352" i="82"/>
  <c r="C352" i="82"/>
  <c r="R351" i="82"/>
  <c r="S351" i="82" s="1"/>
  <c r="Q351" i="82"/>
  <c r="O351" i="82"/>
  <c r="M351" i="82"/>
  <c r="K351" i="82"/>
  <c r="I351" i="82"/>
  <c r="C351" i="82"/>
  <c r="R350" i="82"/>
  <c r="S350" i="82" s="1"/>
  <c r="Q350" i="82"/>
  <c r="O350" i="82"/>
  <c r="M350" i="82"/>
  <c r="K350" i="82"/>
  <c r="I350" i="82"/>
  <c r="C350" i="82"/>
  <c r="R349" i="82"/>
  <c r="S349" i="82" s="1"/>
  <c r="Q349" i="82"/>
  <c r="O349" i="82"/>
  <c r="M349" i="82"/>
  <c r="K349" i="82"/>
  <c r="I349" i="82"/>
  <c r="C349" i="82"/>
  <c r="R348" i="82"/>
  <c r="S348" i="82" s="1"/>
  <c r="Q348" i="82"/>
  <c r="O348" i="82"/>
  <c r="M348" i="82"/>
  <c r="K348" i="82"/>
  <c r="I348" i="82"/>
  <c r="C348" i="82"/>
  <c r="R347" i="82"/>
  <c r="S347" i="82" s="1"/>
  <c r="Q347" i="82"/>
  <c r="O347" i="82"/>
  <c r="M347" i="82"/>
  <c r="K347" i="82"/>
  <c r="I347" i="82"/>
  <c r="C347" i="82"/>
  <c r="R346" i="82"/>
  <c r="S346" i="82" s="1"/>
  <c r="Q346" i="82"/>
  <c r="O346" i="82"/>
  <c r="M346" i="82"/>
  <c r="K346" i="82"/>
  <c r="I346" i="82"/>
  <c r="C346" i="82"/>
  <c r="R345" i="82"/>
  <c r="S345" i="82" s="1"/>
  <c r="Q345" i="82"/>
  <c r="O345" i="82"/>
  <c r="M345" i="82"/>
  <c r="K345" i="82"/>
  <c r="I345" i="82"/>
  <c r="C345" i="82"/>
  <c r="R344" i="82"/>
  <c r="S344" i="82" s="1"/>
  <c r="Q344" i="82"/>
  <c r="O344" i="82"/>
  <c r="M344" i="82"/>
  <c r="K344" i="82"/>
  <c r="I344" i="82"/>
  <c r="C344" i="82"/>
  <c r="R343" i="82"/>
  <c r="S343" i="82" s="1"/>
  <c r="Q343" i="82"/>
  <c r="O343" i="82"/>
  <c r="M343" i="82"/>
  <c r="K343" i="82"/>
  <c r="I343" i="82"/>
  <c r="C343" i="82"/>
  <c r="R342" i="82"/>
  <c r="S342" i="82" s="1"/>
  <c r="Q342" i="82"/>
  <c r="O342" i="82"/>
  <c r="M342" i="82"/>
  <c r="K342" i="82"/>
  <c r="I342" i="82"/>
  <c r="C342" i="82"/>
  <c r="R341" i="82"/>
  <c r="S341" i="82" s="1"/>
  <c r="Q341" i="82"/>
  <c r="O341" i="82"/>
  <c r="M341" i="82"/>
  <c r="K341" i="82"/>
  <c r="I341" i="82"/>
  <c r="C341" i="82"/>
  <c r="R340" i="82"/>
  <c r="S340" i="82" s="1"/>
  <c r="Q340" i="82"/>
  <c r="O340" i="82"/>
  <c r="M340" i="82"/>
  <c r="K340" i="82"/>
  <c r="I340" i="82"/>
  <c r="C340" i="82"/>
  <c r="R339" i="82"/>
  <c r="S339" i="82" s="1"/>
  <c r="Q339" i="82"/>
  <c r="O339" i="82"/>
  <c r="M339" i="82"/>
  <c r="K339" i="82"/>
  <c r="I339" i="82"/>
  <c r="C339" i="82"/>
  <c r="R338" i="82"/>
  <c r="S338" i="82" s="1"/>
  <c r="Q338" i="82"/>
  <c r="O338" i="82"/>
  <c r="M338" i="82"/>
  <c r="K338" i="82"/>
  <c r="I338" i="82"/>
  <c r="C338" i="82"/>
  <c r="R337" i="82"/>
  <c r="S337" i="82" s="1"/>
  <c r="Q337" i="82"/>
  <c r="O337" i="82"/>
  <c r="M337" i="82"/>
  <c r="K337" i="82"/>
  <c r="I337" i="82"/>
  <c r="C337" i="82"/>
  <c r="R336" i="82"/>
  <c r="S336" i="82" s="1"/>
  <c r="Q336" i="82"/>
  <c r="O336" i="82"/>
  <c r="M336" i="82"/>
  <c r="K336" i="82"/>
  <c r="I336" i="82"/>
  <c r="C336" i="82"/>
  <c r="R335" i="82"/>
  <c r="S335" i="82" s="1"/>
  <c r="Q335" i="82"/>
  <c r="O335" i="82"/>
  <c r="M335" i="82"/>
  <c r="K335" i="82"/>
  <c r="I335" i="82"/>
  <c r="C335" i="82"/>
  <c r="R334" i="82"/>
  <c r="S334" i="82" s="1"/>
  <c r="Q334" i="82"/>
  <c r="O334" i="82"/>
  <c r="M334" i="82"/>
  <c r="K334" i="82"/>
  <c r="I334" i="82"/>
  <c r="C334" i="82"/>
  <c r="R333" i="82"/>
  <c r="S333" i="82" s="1"/>
  <c r="Q333" i="82"/>
  <c r="O333" i="82"/>
  <c r="M333" i="82"/>
  <c r="K333" i="82"/>
  <c r="I333" i="82"/>
  <c r="C333" i="82"/>
  <c r="R332" i="82"/>
  <c r="S332" i="82" s="1"/>
  <c r="Q332" i="82"/>
  <c r="O332" i="82"/>
  <c r="M332" i="82"/>
  <c r="K332" i="82"/>
  <c r="I332" i="82"/>
  <c r="C332" i="82"/>
  <c r="R331" i="82"/>
  <c r="S331" i="82" s="1"/>
  <c r="Q331" i="82"/>
  <c r="O331" i="82"/>
  <c r="M331" i="82"/>
  <c r="K331" i="82"/>
  <c r="I331" i="82"/>
  <c r="C331" i="82"/>
  <c r="R330" i="82"/>
  <c r="S330" i="82" s="1"/>
  <c r="Q330" i="82"/>
  <c r="O330" i="82"/>
  <c r="M330" i="82"/>
  <c r="K330" i="82"/>
  <c r="I330" i="82"/>
  <c r="C330" i="82"/>
  <c r="R329" i="82"/>
  <c r="S329" i="82" s="1"/>
  <c r="Q329" i="82"/>
  <c r="O329" i="82"/>
  <c r="M329" i="82"/>
  <c r="K329" i="82"/>
  <c r="I329" i="82"/>
  <c r="C329" i="82"/>
  <c r="R328" i="82"/>
  <c r="S328" i="82" s="1"/>
  <c r="Q328" i="82"/>
  <c r="O328" i="82"/>
  <c r="M328" i="82"/>
  <c r="K328" i="82"/>
  <c r="I328" i="82"/>
  <c r="C328" i="82"/>
  <c r="R327" i="82"/>
  <c r="S327" i="82" s="1"/>
  <c r="Q327" i="82"/>
  <c r="O327" i="82"/>
  <c r="M327" i="82"/>
  <c r="K327" i="82"/>
  <c r="I327" i="82"/>
  <c r="C327" i="82"/>
  <c r="R326" i="82"/>
  <c r="S326" i="82" s="1"/>
  <c r="Q326" i="82"/>
  <c r="O326" i="82"/>
  <c r="M326" i="82"/>
  <c r="K326" i="82"/>
  <c r="I326" i="82"/>
  <c r="C326" i="82"/>
  <c r="R325" i="82"/>
  <c r="S325" i="82" s="1"/>
  <c r="Q325" i="82"/>
  <c r="O325" i="82"/>
  <c r="M325" i="82"/>
  <c r="K325" i="82"/>
  <c r="I325" i="82"/>
  <c r="C325" i="82"/>
  <c r="R324" i="82"/>
  <c r="S324" i="82" s="1"/>
  <c r="Q324" i="82"/>
  <c r="O324" i="82"/>
  <c r="M324" i="82"/>
  <c r="K324" i="82"/>
  <c r="I324" i="82"/>
  <c r="C324" i="82"/>
  <c r="R323" i="82"/>
  <c r="S323" i="82" s="1"/>
  <c r="Q323" i="82"/>
  <c r="O323" i="82"/>
  <c r="M323" i="82"/>
  <c r="K323" i="82"/>
  <c r="I323" i="82"/>
  <c r="C323" i="82"/>
  <c r="R322" i="82"/>
  <c r="S322" i="82" s="1"/>
  <c r="Q322" i="82"/>
  <c r="O322" i="82"/>
  <c r="M322" i="82"/>
  <c r="K322" i="82"/>
  <c r="I322" i="82"/>
  <c r="C322" i="82"/>
  <c r="R321" i="82"/>
  <c r="S321" i="82" s="1"/>
  <c r="Q321" i="82"/>
  <c r="O321" i="82"/>
  <c r="M321" i="82"/>
  <c r="K321" i="82"/>
  <c r="I321" i="82"/>
  <c r="C321" i="82"/>
  <c r="R320" i="82"/>
  <c r="S320" i="82" s="1"/>
  <c r="Q320" i="82"/>
  <c r="O320" i="82"/>
  <c r="M320" i="82"/>
  <c r="K320" i="82"/>
  <c r="I320" i="82"/>
  <c r="C320" i="82"/>
  <c r="R319" i="82"/>
  <c r="S319" i="82" s="1"/>
  <c r="Q319" i="82"/>
  <c r="O319" i="82"/>
  <c r="M319" i="82"/>
  <c r="K319" i="82"/>
  <c r="I319" i="82"/>
  <c r="C319" i="82"/>
  <c r="R318" i="82"/>
  <c r="S318" i="82" s="1"/>
  <c r="Q318" i="82"/>
  <c r="O318" i="82"/>
  <c r="M318" i="82"/>
  <c r="K318" i="82"/>
  <c r="I318" i="82"/>
  <c r="C318" i="82"/>
  <c r="R317" i="82"/>
  <c r="S317" i="82" s="1"/>
  <c r="Q317" i="82"/>
  <c r="O317" i="82"/>
  <c r="M317" i="82"/>
  <c r="K317" i="82"/>
  <c r="I317" i="82"/>
  <c r="C317" i="82"/>
  <c r="R316" i="82"/>
  <c r="S316" i="82" s="1"/>
  <c r="Q316" i="82"/>
  <c r="O316" i="82"/>
  <c r="M316" i="82"/>
  <c r="K316" i="82"/>
  <c r="I316" i="82"/>
  <c r="C316" i="82"/>
  <c r="R315" i="82"/>
  <c r="S315" i="82" s="1"/>
  <c r="Q315" i="82"/>
  <c r="O315" i="82"/>
  <c r="M315" i="82"/>
  <c r="K315" i="82"/>
  <c r="I315" i="82"/>
  <c r="C315" i="82"/>
  <c r="R314" i="82"/>
  <c r="S314" i="82" s="1"/>
  <c r="Q314" i="82"/>
  <c r="O314" i="82"/>
  <c r="M314" i="82"/>
  <c r="K314" i="82"/>
  <c r="I314" i="82"/>
  <c r="C314" i="82"/>
  <c r="R313" i="82"/>
  <c r="S313" i="82" s="1"/>
  <c r="Q313" i="82"/>
  <c r="O313" i="82"/>
  <c r="M313" i="82"/>
  <c r="K313" i="82"/>
  <c r="I313" i="82"/>
  <c r="C313" i="82"/>
  <c r="R312" i="82"/>
  <c r="S312" i="82" s="1"/>
  <c r="Q312" i="82"/>
  <c r="O312" i="82"/>
  <c r="M312" i="82"/>
  <c r="K312" i="82"/>
  <c r="I312" i="82"/>
  <c r="C312" i="82"/>
  <c r="R311" i="82"/>
  <c r="S311" i="82" s="1"/>
  <c r="Q311" i="82"/>
  <c r="O311" i="82"/>
  <c r="M311" i="82"/>
  <c r="K311" i="82"/>
  <c r="I311" i="82"/>
  <c r="C311" i="82"/>
  <c r="R310" i="82"/>
  <c r="S310" i="82" s="1"/>
  <c r="Q310" i="82"/>
  <c r="O310" i="82"/>
  <c r="M310" i="82"/>
  <c r="K310" i="82"/>
  <c r="I310" i="82"/>
  <c r="C310" i="82"/>
  <c r="R309" i="82"/>
  <c r="S309" i="82" s="1"/>
  <c r="Q309" i="82"/>
  <c r="O309" i="82"/>
  <c r="M309" i="82"/>
  <c r="K309" i="82"/>
  <c r="I309" i="82"/>
  <c r="C309" i="82"/>
  <c r="R308" i="82"/>
  <c r="S308" i="82" s="1"/>
  <c r="Q308" i="82"/>
  <c r="O308" i="82"/>
  <c r="M308" i="82"/>
  <c r="K308" i="82"/>
  <c r="I308" i="82"/>
  <c r="C308" i="82"/>
  <c r="R307" i="82"/>
  <c r="S307" i="82" s="1"/>
  <c r="Q307" i="82"/>
  <c r="O307" i="82"/>
  <c r="M307" i="82"/>
  <c r="K307" i="82"/>
  <c r="I307" i="82"/>
  <c r="C307" i="82"/>
  <c r="R306" i="82"/>
  <c r="S306" i="82" s="1"/>
  <c r="Q306" i="82"/>
  <c r="O306" i="82"/>
  <c r="M306" i="82"/>
  <c r="K306" i="82"/>
  <c r="I306" i="82"/>
  <c r="C306" i="82"/>
  <c r="R305" i="82"/>
  <c r="S305" i="82" s="1"/>
  <c r="Q305" i="82"/>
  <c r="O305" i="82"/>
  <c r="M305" i="82"/>
  <c r="K305" i="82"/>
  <c r="I305" i="82"/>
  <c r="C305" i="82"/>
  <c r="R304" i="82"/>
  <c r="S304" i="82" s="1"/>
  <c r="Q304" i="82"/>
  <c r="O304" i="82"/>
  <c r="M304" i="82"/>
  <c r="K304" i="82"/>
  <c r="I304" i="82"/>
  <c r="C304" i="82"/>
  <c r="R303" i="82"/>
  <c r="S303" i="82" s="1"/>
  <c r="Q303" i="82"/>
  <c r="O303" i="82"/>
  <c r="M303" i="82"/>
  <c r="K303" i="82"/>
  <c r="I303" i="82"/>
  <c r="C303" i="82"/>
  <c r="R302" i="82"/>
  <c r="S302" i="82" s="1"/>
  <c r="Q302" i="82"/>
  <c r="O302" i="82"/>
  <c r="M302" i="82"/>
  <c r="K302" i="82"/>
  <c r="I302" i="82"/>
  <c r="C302" i="82"/>
  <c r="R301" i="82"/>
  <c r="S301" i="82" s="1"/>
  <c r="Q301" i="82"/>
  <c r="O301" i="82"/>
  <c r="M301" i="82"/>
  <c r="K301" i="82"/>
  <c r="I301" i="82"/>
  <c r="C301" i="82"/>
  <c r="R300" i="82"/>
  <c r="S300" i="82" s="1"/>
  <c r="Q300" i="82"/>
  <c r="O300" i="82"/>
  <c r="M300" i="82"/>
  <c r="K300" i="82"/>
  <c r="I300" i="82"/>
  <c r="C300" i="82"/>
  <c r="R299" i="82"/>
  <c r="S299" i="82" s="1"/>
  <c r="Q299" i="82"/>
  <c r="O299" i="82"/>
  <c r="M299" i="82"/>
  <c r="K299" i="82"/>
  <c r="I299" i="82"/>
  <c r="C299" i="82"/>
  <c r="R298" i="82"/>
  <c r="S298" i="82" s="1"/>
  <c r="Q298" i="82"/>
  <c r="O298" i="82"/>
  <c r="M298" i="82"/>
  <c r="K298" i="82"/>
  <c r="I298" i="82"/>
  <c r="C298" i="82"/>
  <c r="R297" i="82"/>
  <c r="S297" i="82" s="1"/>
  <c r="Q297" i="82"/>
  <c r="O297" i="82"/>
  <c r="M297" i="82"/>
  <c r="K297" i="82"/>
  <c r="I297" i="82"/>
  <c r="C297" i="82"/>
  <c r="R296" i="82"/>
  <c r="S296" i="82" s="1"/>
  <c r="Q296" i="82"/>
  <c r="O296" i="82"/>
  <c r="M296" i="82"/>
  <c r="K296" i="82"/>
  <c r="I296" i="82"/>
  <c r="C296" i="82"/>
  <c r="R295" i="82"/>
  <c r="S295" i="82" s="1"/>
  <c r="Q295" i="82"/>
  <c r="O295" i="82"/>
  <c r="M295" i="82"/>
  <c r="K295" i="82"/>
  <c r="I295" i="82"/>
  <c r="C295" i="82"/>
  <c r="R294" i="82"/>
  <c r="S294" i="82" s="1"/>
  <c r="Q294" i="82"/>
  <c r="O294" i="82"/>
  <c r="M294" i="82"/>
  <c r="K294" i="82"/>
  <c r="I294" i="82"/>
  <c r="C294" i="82"/>
  <c r="R293" i="82"/>
  <c r="S293" i="82" s="1"/>
  <c r="Q293" i="82"/>
  <c r="O293" i="82"/>
  <c r="M293" i="82"/>
  <c r="K293" i="82"/>
  <c r="I293" i="82"/>
  <c r="C293" i="82"/>
  <c r="R292" i="82"/>
  <c r="S292" i="82" s="1"/>
  <c r="Q292" i="82"/>
  <c r="O292" i="82"/>
  <c r="M292" i="82"/>
  <c r="K292" i="82"/>
  <c r="I292" i="82"/>
  <c r="C292" i="82"/>
  <c r="R291" i="82"/>
  <c r="S291" i="82" s="1"/>
  <c r="Q291" i="82"/>
  <c r="O291" i="82"/>
  <c r="M291" i="82"/>
  <c r="K291" i="82"/>
  <c r="I291" i="82"/>
  <c r="C291" i="82"/>
  <c r="R290" i="82"/>
  <c r="S290" i="82" s="1"/>
  <c r="Q290" i="82"/>
  <c r="O290" i="82"/>
  <c r="M290" i="82"/>
  <c r="K290" i="82"/>
  <c r="I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D6" i="82"/>
  <c r="E184" i="82" s="1"/>
  <c r="S2" i="82"/>
  <c r="R2" i="82"/>
  <c r="Q2" i="82"/>
  <c r="P2" i="82"/>
  <c r="O2" i="82"/>
  <c r="N2" i="82"/>
  <c r="M2" i="82"/>
  <c r="L2" i="82"/>
  <c r="K2" i="82"/>
  <c r="J2" i="82"/>
  <c r="I2" i="82"/>
  <c r="H2" i="82"/>
  <c r="G2" i="82"/>
  <c r="F2" i="82"/>
  <c r="E2" i="82"/>
  <c r="D2" i="82"/>
  <c r="C2" i="82"/>
  <c r="Q72" i="81"/>
  <c r="Q59" i="81"/>
  <c r="K59" i="81"/>
  <c r="P74" i="81" s="1"/>
  <c r="Q58" i="81"/>
  <c r="Q51" i="81"/>
  <c r="J50" i="81"/>
  <c r="J51" i="81" s="1"/>
  <c r="M47" i="81"/>
  <c r="D46" i="81"/>
  <c r="F34" i="81"/>
  <c r="F62" i="81" s="1"/>
  <c r="F33" i="81"/>
  <c r="F61" i="81" s="1"/>
  <c r="F32" i="81"/>
  <c r="F60" i="81" s="1"/>
  <c r="F28" i="81"/>
  <c r="C28" i="81"/>
  <c r="F23" i="81"/>
  <c r="D24" i="81" s="1"/>
  <c r="D23" i="81"/>
  <c r="D22" i="81"/>
  <c r="M20" i="81"/>
  <c r="F20" i="81"/>
  <c r="M19" i="81"/>
  <c r="M18" i="81"/>
  <c r="F18" i="81"/>
  <c r="F17" i="81"/>
  <c r="F15" i="81"/>
  <c r="G1" i="81"/>
  <c r="A27" i="31"/>
  <c r="B27" i="31"/>
  <c r="A28" i="31"/>
  <c r="B28" i="31"/>
  <c r="A29" i="31"/>
  <c r="B29" i="31"/>
  <c r="A30" i="31"/>
  <c r="B30" i="31"/>
  <c r="A31" i="31"/>
  <c r="B31" i="31"/>
  <c r="A25" i="31"/>
  <c r="B25" i="31"/>
  <c r="A26" i="31"/>
  <c r="B26" i="31"/>
  <c r="B24" i="31"/>
  <c r="A24" i="31"/>
  <c r="I31" i="3"/>
  <c r="B21" i="1"/>
  <c r="E37" i="34"/>
  <c r="G37" i="34"/>
  <c r="I37" i="34"/>
  <c r="Y7" i="1"/>
  <c r="Y6" i="1"/>
  <c r="B38" i="1"/>
  <c r="F21" i="81" s="1"/>
  <c r="N6" i="1"/>
  <c r="N7" i="1" s="1"/>
  <c r="L7" i="1"/>
  <c r="I14" i="3"/>
  <c r="I15" i="3"/>
  <c r="I16" i="3"/>
  <c r="I17" i="3"/>
  <c r="I18" i="3"/>
  <c r="I19" i="3"/>
  <c r="I20" i="3"/>
  <c r="I21" i="3"/>
  <c r="I22" i="3"/>
  <c r="I23" i="3"/>
  <c r="I24" i="3"/>
  <c r="I25" i="3"/>
  <c r="I26" i="3"/>
  <c r="I27" i="3"/>
  <c r="I28" i="3"/>
  <c r="I29" i="3"/>
  <c r="I30" i="3"/>
  <c r="I13" i="3"/>
  <c r="K32" i="3"/>
  <c r="F20" i="6" s="1"/>
  <c r="C34" i="34" s="1"/>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F9" i="81"/>
  <c r="F20" i="82"/>
  <c r="G375" i="82" l="1"/>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C14" i="74"/>
  <c r="A3" i="3"/>
  <c r="F19" i="6"/>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M6" i="81"/>
  <c r="F42" i="81"/>
  <c r="M9" i="81"/>
  <c r="C76" i="81"/>
  <c r="F38" i="81"/>
  <c r="M8" i="81"/>
  <c r="F8" i="81"/>
  <c r="J15" i="81"/>
  <c r="F13" i="81"/>
  <c r="F26" i="81"/>
  <c r="M22" i="81"/>
  <c r="M24" i="81"/>
  <c r="F6" i="81"/>
  <c r="F36" i="81"/>
  <c r="L47" i="81"/>
  <c r="M28" i="81"/>
  <c r="M27" i="81"/>
  <c r="L48" i="81"/>
  <c r="F40" i="81"/>
  <c r="F16" i="81"/>
  <c r="M26" i="81"/>
  <c r="M23" i="81"/>
  <c r="F37" i="81"/>
  <c r="F8" i="82" l="1"/>
  <c r="G40" i="82"/>
  <c r="F6" i="82"/>
  <c r="E40" i="82"/>
  <c r="F51" i="81"/>
  <c r="F68" i="81"/>
  <c r="C27" i="81"/>
  <c r="F65" i="81"/>
  <c r="L57" i="81"/>
  <c r="L56" i="81"/>
  <c r="J57" i="81"/>
  <c r="J55" i="81" s="1"/>
  <c r="J58" i="81" s="1"/>
  <c r="Q50" i="81" s="1"/>
  <c r="I54" i="81"/>
  <c r="L60" i="81"/>
  <c r="J53" i="81"/>
  <c r="F64" i="81"/>
  <c r="F66" i="81"/>
  <c r="N59" i="81"/>
  <c r="L59" i="81"/>
  <c r="L58" i="81"/>
  <c r="M59" i="81"/>
  <c r="Q71" i="81"/>
  <c r="G8" i="82" l="1"/>
  <c r="G25" i="82"/>
  <c r="G6" i="82"/>
  <c r="E25" i="82"/>
  <c r="Q61" i="81"/>
  <c r="Q74" i="81"/>
  <c r="Q60" i="81"/>
  <c r="Q73" i="81"/>
  <c r="F1" i="81"/>
  <c r="Q52" i="81"/>
  <c r="Q66" i="81"/>
  <c r="Q57" i="81"/>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M23" i="67"/>
  <c r="M6" i="15"/>
  <c r="M24" i="15"/>
  <c r="B13" i="76"/>
  <c r="F20" i="31"/>
  <c r="F4" i="73"/>
  <c r="E8" i="76"/>
  <c r="F16" i="67"/>
  <c r="L48" i="67"/>
  <c r="M29" i="15"/>
  <c r="F5" i="73"/>
  <c r="F38" i="67"/>
  <c r="F6" i="67"/>
  <c r="M29" i="81"/>
  <c r="M28" i="67"/>
  <c r="D7" i="73"/>
  <c r="L47" i="15"/>
  <c r="M24" i="67"/>
  <c r="E7" i="76"/>
  <c r="M22" i="15"/>
  <c r="M9" i="15"/>
  <c r="D3" i="73"/>
  <c r="F6" i="15"/>
  <c r="D5" i="73"/>
  <c r="F43" i="81"/>
  <c r="B10" i="76"/>
  <c r="D34" i="9"/>
  <c r="B8" i="76"/>
  <c r="F26" i="67"/>
  <c r="F16" i="15"/>
  <c r="M8" i="67"/>
  <c r="F8" i="67"/>
  <c r="F37" i="67"/>
  <c r="F42" i="67"/>
  <c r="M9" i="67"/>
  <c r="E10" i="76"/>
  <c r="F36" i="15"/>
  <c r="L48" i="15"/>
  <c r="M8" i="15"/>
  <c r="F9" i="67"/>
  <c r="B7" i="76"/>
  <c r="F3" i="73"/>
  <c r="E12" i="76"/>
  <c r="AO13" i="1"/>
  <c r="D4" i="73"/>
  <c r="F7" i="15"/>
  <c r="M22" i="67"/>
  <c r="C76" i="67"/>
  <c r="B12" i="76"/>
  <c r="M23" i="15"/>
  <c r="F9" i="15"/>
  <c r="E13" i="76"/>
  <c r="F42" i="15"/>
  <c r="F43" i="15"/>
  <c r="M26" i="15"/>
  <c r="E11" i="76"/>
  <c r="E2" i="69"/>
  <c r="F13" i="67"/>
  <c r="F36" i="67"/>
  <c r="D35" i="9"/>
  <c r="J15" i="67"/>
  <c r="F6" i="73"/>
  <c r="C76" i="15"/>
  <c r="B9" i="76"/>
  <c r="E9" i="76"/>
  <c r="E2" i="68"/>
  <c r="M29" i="67"/>
  <c r="F38" i="15"/>
  <c r="F26" i="15"/>
  <c r="M28" i="15"/>
  <c r="L47" i="67"/>
  <c r="D6" i="73"/>
  <c r="M6" i="67"/>
  <c r="M26" i="67"/>
  <c r="F8" i="15"/>
  <c r="F7" i="73"/>
  <c r="F13" i="15"/>
  <c r="F43" i="67"/>
  <c r="F40" i="67"/>
  <c r="J15" i="15"/>
  <c r="F40" i="15"/>
  <c r="B11" i="76"/>
  <c r="C51" i="10" l="1"/>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236"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C36" i="69"/>
  <c r="D9" i="68"/>
  <c r="C16" i="81"/>
  <c r="G1" i="73"/>
  <c r="C16" i="67"/>
  <c r="F7" i="81"/>
  <c r="C16" i="15"/>
  <c r="F7" i="67"/>
  <c r="E26" i="43" l="1"/>
  <c r="H26" i="43"/>
  <c r="E403" i="3"/>
  <c r="AM6" i="3"/>
  <c r="AC27" i="33"/>
  <c r="E77" i="3"/>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3" i="6" s="1"/>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E27" i="6" s="1"/>
  <c r="K26" i="6" s="1"/>
  <c r="M26" i="6" s="1"/>
  <c r="I26" i="6" s="1"/>
  <c r="S26" i="6" s="1"/>
  <c r="K16" i="1"/>
  <c r="E59" i="40"/>
  <c r="N370" i="46"/>
  <c r="G26" i="43"/>
  <c r="D26" i="43" s="1"/>
  <c r="C25" i="43" s="1"/>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6" i="1"/>
  <c r="AE7" i="1"/>
  <c r="AC6" i="3" l="1"/>
  <c r="H6" i="3"/>
  <c r="T49" i="34"/>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F41" i="15"/>
  <c r="C17" i="81"/>
  <c r="F41" i="81"/>
  <c r="C14" i="81"/>
  <c r="F41" i="67"/>
  <c r="M27" i="15"/>
  <c r="M27" i="67"/>
  <c r="F69" i="67" l="1"/>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15"/>
  <c r="C14" i="67"/>
  <c r="C17"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Q70" i="81" s="1"/>
  <c r="J59" i="81"/>
  <c r="J60" i="81" s="1"/>
  <c r="L46" i="81" s="1"/>
  <c r="C37"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Q48" i="81" l="1"/>
  <c r="J22" i="81"/>
  <c r="C56" i="81"/>
  <c r="C65" i="81" s="1"/>
  <c r="C75"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M21" i="15"/>
  <c r="F35" i="67"/>
  <c r="F35" i="15"/>
  <c r="F35" i="81"/>
  <c r="M21" i="67"/>
  <c r="J20" i="81" l="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C19" i="83"/>
  <c r="D2" i="37"/>
  <c r="D2" i="36"/>
  <c r="D19" i="9"/>
  <c r="D19" i="83"/>
  <c r="D2" i="34"/>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83"/>
  <c r="C20" i="83"/>
  <c r="AO10" i="1"/>
  <c r="AO6" i="1"/>
  <c r="AO9" i="1"/>
  <c r="AO8" i="1"/>
  <c r="C19" i="9"/>
  <c r="AO12" i="1"/>
  <c r="AO7" i="1"/>
  <c r="D20" i="9"/>
  <c r="AO11" i="1"/>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2"/>
  <c r="C35" i="83"/>
  <c r="C34"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F20" i="80" s="1"/>
  <c r="L20" i="80" s="1"/>
  <c r="M20" i="80" s="1"/>
  <c r="R41" i="82"/>
  <c r="S41" i="82" s="1"/>
  <c r="F19" i="80" s="1"/>
  <c r="L19" i="80" s="1"/>
  <c r="M19" i="80" s="1"/>
  <c r="R40" i="82"/>
  <c r="S40" i="82" s="1"/>
  <c r="F18" i="80" s="1"/>
  <c r="L18" i="80" s="1"/>
  <c r="M18" i="80" s="1"/>
  <c r="R39" i="82"/>
  <c r="S39" i="82" s="1"/>
  <c r="F17" i="80" s="1"/>
  <c r="L17" i="80" s="1"/>
  <c r="M17" i="80" s="1"/>
  <c r="R38" i="82"/>
  <c r="S38" i="82" s="1"/>
  <c r="F16" i="80" s="1"/>
  <c r="L16" i="80" s="1"/>
  <c r="M16" i="80" s="1"/>
  <c r="R37" i="82"/>
  <c r="S37" i="82" s="1"/>
  <c r="F15" i="80" s="1"/>
  <c r="L15" i="80" s="1"/>
  <c r="M15" i="80" s="1"/>
  <c r="R36" i="82"/>
  <c r="S36" i="82" s="1"/>
  <c r="F14" i="80" s="1"/>
  <c r="L14" i="80" s="1"/>
  <c r="M14" i="80" s="1"/>
  <c r="R32" i="82"/>
  <c r="S32" i="82" s="1"/>
  <c r="F10" i="80" s="1"/>
  <c r="L10" i="80" s="1"/>
  <c r="M10" i="80" s="1"/>
  <c r="R35" i="82"/>
  <c r="S35" i="82" s="1"/>
  <c r="F13" i="80" s="1"/>
  <c r="L13" i="80" s="1"/>
  <c r="M13" i="80" s="1"/>
  <c r="R34" i="82"/>
  <c r="S34" i="82" s="1"/>
  <c r="F12" i="80" s="1"/>
  <c r="L12" i="80" s="1"/>
  <c r="M12" i="80" s="1"/>
  <c r="R33" i="82"/>
  <c r="S33" i="82" s="1"/>
  <c r="F11" i="80" s="1"/>
  <c r="L11" i="80" s="1"/>
  <c r="M11" i="80" s="1"/>
  <c r="S24" i="82"/>
  <c r="F2" i="80" s="1"/>
  <c r="R31" i="82"/>
  <c r="S31" i="82" s="1"/>
  <c r="F9" i="80" s="1"/>
  <c r="L9" i="80" s="1"/>
  <c r="M9" i="80" s="1"/>
  <c r="R27" i="82"/>
  <c r="S27" i="82" s="1"/>
  <c r="F5" i="80" s="1"/>
  <c r="L5" i="80" s="1"/>
  <c r="M5" i="80" s="1"/>
  <c r="R26" i="82"/>
  <c r="S26" i="82" s="1"/>
  <c r="F4" i="80" s="1"/>
  <c r="L4" i="80" s="1"/>
  <c r="M4" i="80" s="1"/>
  <c r="R30" i="82"/>
  <c r="S30" i="82" s="1"/>
  <c r="F8" i="80" s="1"/>
  <c r="L8" i="80" s="1"/>
  <c r="M8" i="80" s="1"/>
  <c r="R25" i="82"/>
  <c r="S25" i="82" s="1"/>
  <c r="F3" i="80" s="1"/>
  <c r="L3" i="80" s="1"/>
  <c r="M3" i="80" s="1"/>
  <c r="R29" i="82"/>
  <c r="S29" i="82" s="1"/>
  <c r="F7" i="80" s="1"/>
  <c r="L7" i="80" s="1"/>
  <c r="M7" i="80" s="1"/>
  <c r="R28" i="82"/>
  <c r="S28" i="82" s="1"/>
  <c r="F6" i="80" s="1"/>
  <c r="L6" i="80" s="1"/>
  <c r="M6" i="80" s="1"/>
  <c r="C32" i="9"/>
  <c r="C35" i="9" s="1"/>
  <c r="C34" i="9" s="1"/>
  <c r="R24" i="31"/>
  <c r="C42" i="40"/>
  <c r="C43" i="40"/>
  <c r="E47" i="40"/>
  <c r="F47" i="40" s="1"/>
  <c r="E46" i="40"/>
  <c r="F46" i="40" s="1"/>
  <c r="I47" i="40"/>
  <c r="J47" i="40" s="1"/>
  <c r="L2" i="80" l="1"/>
  <c r="M2" i="80" s="1"/>
  <c r="F21" i="80"/>
  <c r="M21" i="80" s="1"/>
  <c r="S22" i="82"/>
  <c r="U22" i="82" s="1"/>
  <c r="R28" i="31"/>
  <c r="S28" i="31" s="1"/>
  <c r="F26" i="80" s="1"/>
  <c r="L26" i="80" s="1"/>
  <c r="R32" i="31"/>
  <c r="S32" i="31" s="1"/>
  <c r="R30" i="31"/>
  <c r="S30" i="31" s="1"/>
  <c r="F28" i="80" s="1"/>
  <c r="L28" i="80" s="1"/>
  <c r="S24" i="31"/>
  <c r="F22" i="80" s="1"/>
  <c r="R31" i="31"/>
  <c r="S31" i="31" s="1"/>
  <c r="F29" i="80" s="1"/>
  <c r="L29" i="80" s="1"/>
  <c r="R27" i="31"/>
  <c r="S27" i="31" s="1"/>
  <c r="F25" i="80" s="1"/>
  <c r="L25" i="80" s="1"/>
  <c r="R26" i="31"/>
  <c r="S26" i="31" s="1"/>
  <c r="F24" i="80" s="1"/>
  <c r="L24" i="80" s="1"/>
  <c r="R29" i="31"/>
  <c r="S29" i="31" s="1"/>
  <c r="F27" i="80" s="1"/>
  <c r="L27" i="80" s="1"/>
  <c r="R25" i="31"/>
  <c r="S25" i="31" s="1"/>
  <c r="F23" i="80" s="1"/>
  <c r="L23" i="80" s="1"/>
  <c r="B58" i="40"/>
  <c r="F58" i="40" s="1"/>
  <c r="B54" i="40"/>
  <c r="F54" i="40" s="1"/>
  <c r="B53" i="40"/>
  <c r="F53" i="40" s="1"/>
  <c r="B59" i="40"/>
  <c r="F59" i="40" s="1"/>
  <c r="B52" i="40"/>
  <c r="F52" i="40" s="1"/>
  <c r="B56" i="40"/>
  <c r="F56" i="40" s="1"/>
  <c r="B60" i="40"/>
  <c r="F60" i="40" s="1"/>
  <c r="B57" i="40"/>
  <c r="F57" i="40" s="1"/>
  <c r="B51" i="40"/>
  <c r="F51" i="40" s="1"/>
  <c r="F61" i="40"/>
  <c r="B2" i="40" s="1"/>
  <c r="B3" i="40" s="1"/>
  <c r="L22" i="80" l="1"/>
  <c r="F30" i="80"/>
  <c r="D15" i="74"/>
  <c r="G15" i="74" s="1"/>
  <c r="R22" i="82"/>
  <c r="B20" i="82"/>
  <c r="B21" i="82" s="1"/>
  <c r="S22" i="31"/>
  <c r="F31" i="80" l="1"/>
  <c r="M31" i="80" s="1"/>
  <c r="M30" i="80"/>
  <c r="D14" i="74"/>
  <c r="G14" i="74" s="1"/>
  <c r="B6" i="74" s="1"/>
  <c r="D6" i="74" s="1"/>
  <c r="U22" i="31"/>
  <c r="E15" i="74"/>
  <c r="F15" i="74"/>
  <c r="F14" i="74"/>
  <c r="R22" i="31"/>
  <c r="B20" i="31"/>
  <c r="B21" i="31" s="1"/>
  <c r="B5" i="74" l="1"/>
  <c r="D5" i="74" s="1"/>
  <c r="E14" i="74"/>
  <c r="C6" i="74"/>
  <c r="C5" i="74" l="1"/>
  <c r="C104" i="83" l="1"/>
  <c r="H119" i="83"/>
  <c r="P57" i="83"/>
  <c r="N58" i="83"/>
  <c r="D53" i="9"/>
  <c r="D52" i="9"/>
  <c r="H102" i="83"/>
  <c r="C105" i="83"/>
  <c r="N60" i="9"/>
  <c r="N61" i="9"/>
  <c r="D52" i="83"/>
  <c r="D53" i="83"/>
  <c r="H4" i="52"/>
  <c r="C104" i="9"/>
  <c r="I4" i="52"/>
  <c r="C105" i="9"/>
  <c r="P57" i="9"/>
  <c r="N58" i="9"/>
  <c r="N60" i="83"/>
  <c r="N61" i="83"/>
  <c r="E97" i="9"/>
  <c r="N59" i="83"/>
  <c r="H108" i="83"/>
  <c r="N59" i="9"/>
  <c r="D8" i="52"/>
  <c r="B48" i="72"/>
  <c r="B32" i="72"/>
  <c r="M48" i="9"/>
  <c r="B31" i="72"/>
  <c r="E97" i="83"/>
  <c r="D119" i="83"/>
  <c r="B22" i="72"/>
  <c r="B30" i="72"/>
  <c r="D14" i="53"/>
  <c r="N69" i="9"/>
  <c r="E4" i="52"/>
  <c r="E96" i="83"/>
  <c r="C81" i="9"/>
  <c r="L65" i="9"/>
  <c r="M65" i="9"/>
  <c r="C81" i="83"/>
  <c r="F119" i="83"/>
  <c r="L64" i="83"/>
  <c r="M64" i="83"/>
  <c r="C93" i="9"/>
  <c r="C86" i="9"/>
  <c r="C93" i="83"/>
  <c r="C86" i="83"/>
  <c r="B52" i="72"/>
  <c r="D122" i="83"/>
  <c r="D123" i="83"/>
  <c r="L68" i="9"/>
  <c r="M68" i="9"/>
  <c r="N69" i="83"/>
  <c r="B20" i="72"/>
  <c r="D5" i="53"/>
  <c r="D6" i="53"/>
  <c r="D56" i="83"/>
  <c r="M54" i="83"/>
  <c r="F5" i="52"/>
  <c r="B53" i="72"/>
  <c r="D55" i="9"/>
  <c r="M53" i="9"/>
  <c r="N57" i="9"/>
  <c r="L67" i="9"/>
  <c r="M67" i="9"/>
  <c r="H102" i="9"/>
  <c r="D7" i="53"/>
  <c r="B21" i="72"/>
  <c r="F119" i="9"/>
  <c r="E81" i="9"/>
  <c r="M55" i="9"/>
  <c r="B49" i="72"/>
  <c r="L66" i="83"/>
  <c r="M66" i="83"/>
  <c r="E118" i="83"/>
  <c r="D118" i="83"/>
  <c r="M69" i="9"/>
  <c r="M48" i="83"/>
  <c r="H119" i="9"/>
  <c r="H5" i="52"/>
  <c r="D54" i="9"/>
  <c r="L65" i="83"/>
  <c r="M65" i="83"/>
  <c r="L68" i="83"/>
  <c r="M68" i="83"/>
  <c r="L66" i="9"/>
  <c r="M66" i="9"/>
  <c r="M55" i="83"/>
  <c r="G118" i="83"/>
  <c r="F118" i="83"/>
  <c r="C78" i="9"/>
  <c r="C73" i="9"/>
  <c r="D59" i="83"/>
  <c r="M69" i="83"/>
  <c r="D13" i="53"/>
  <c r="B47" i="72"/>
  <c r="E81" i="83"/>
  <c r="D58" i="83"/>
  <c r="M54" i="9"/>
  <c r="C96" i="83"/>
  <c r="C85" i="83"/>
  <c r="C95" i="83"/>
  <c r="C97" i="83"/>
  <c r="G4" i="52"/>
  <c r="D55" i="83"/>
  <c r="M53" i="83"/>
  <c r="N57" i="83"/>
  <c r="D122" i="9"/>
  <c r="D123" i="9"/>
  <c r="D9" i="52"/>
  <c r="G118" i="9"/>
  <c r="F118" i="9"/>
  <c r="F4" i="52"/>
  <c r="B51" i="72"/>
  <c r="L67" i="83"/>
  <c r="M67" i="83"/>
  <c r="C68" i="83"/>
  <c r="D54" i="83"/>
  <c r="H107" i="83"/>
  <c r="M49" i="83"/>
  <c r="L63" i="83"/>
  <c r="M63" i="83"/>
  <c r="D59" i="9"/>
  <c r="C67" i="9"/>
  <c r="C68" i="9"/>
  <c r="H108" i="9"/>
  <c r="D15" i="53"/>
  <c r="D4" i="52"/>
  <c r="L64" i="9"/>
  <c r="M64" i="9"/>
  <c r="C64" i="83"/>
  <c r="C63" i="83"/>
  <c r="C67" i="83"/>
  <c r="C72" i="9"/>
  <c r="C79" i="9"/>
  <c r="C80" i="9"/>
  <c r="E80" i="9"/>
  <c r="C80" i="83"/>
  <c r="E80" i="83"/>
  <c r="C97" i="9"/>
  <c r="D58" i="9"/>
  <c r="D56" i="9"/>
  <c r="C85" i="9"/>
  <c r="C95" i="9"/>
  <c r="C96" i="9"/>
  <c r="E96" i="9"/>
  <c r="C78" i="83"/>
  <c r="C73" i="83"/>
  <c r="I118" i="83"/>
  <c r="H118" i="83"/>
  <c r="H101" i="83"/>
  <c r="D45" i="83"/>
  <c r="C72" i="83"/>
  <c r="C79" i="83"/>
  <c r="D45" i="9"/>
  <c r="C64" i="9"/>
  <c r="C63" i="9"/>
  <c r="E118" i="9"/>
  <c r="D118" i="9"/>
  <c r="D119" i="9"/>
  <c r="D5" i="52"/>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<sst xmlns="http://schemas.openxmlformats.org/spreadsheetml/2006/main" count="9047" uniqueCount="3578">
  <si>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</si>
  <si>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</si>
  <si>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</si>
  <si>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</si>
  <si>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</si>
  <si>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</si>
  <si>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</si>
  <si>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</si>
  <si>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</si>
  <si>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</si>
  <si>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</si>
  <si>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</si>
  <si>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</si>
  <si>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</si>
  <si>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</si>
  <si>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</si>
  <si>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</si>
  <si>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</si>
  <si>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</si>
  <si>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</si>
  <si>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</si>
  <si>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</si>
  <si>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</si>
  <si>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</si>
  <si>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</si>
  <si>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</si>
  <si>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</si>
  <si>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</si>
  <si>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</si>
  <si>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</si>
  <si>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</si>
  <si>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</si>
  <si>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</si>
  <si>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</si>
  <si>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</si>
  <si>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</si>
  <si>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</si>
  <si>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</si>
  <si>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</si>
  <si>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</si>
  <si>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</si>
  <si>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</si>
  <si>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</si>
  <si>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</si>
  <si>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</si>
  <si>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</si>
  <si>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</si>
  <si>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</si>
  <si>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</si>
  <si>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</si>
  <si>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</si>
  <si>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</si>
  <si>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</si>
  <si>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</si>
  <si>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</si>
  <si>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</si>
  <si>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</si>
  <si>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</si>
  <si>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</si>
  <si>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</si>
  <si>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</si>
  <si>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</si>
  <si>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</si>
  <si>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</si>
  <si>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</si>
  <si>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</si>
  <si>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</si>
  <si>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</si>
  <si>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</si>
  <si>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</si>
  <si>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</si>
  <si>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</si>
  <si>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</si>
  <si>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</si>
  <si>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</si>
  <si>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</si>
  <si>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</si>
  <si>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</si>
  <si>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</si>
  <si>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</si>
  <si>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</si>
  <si>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</si>
  <si>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</si>
  <si>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</si>
  <si>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</si>
  <si>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</si>
  <si>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</si>
  <si>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</si>
  <si>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</si>
  <si>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</si>
  <si>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</si>
  <si>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</si>
  <si>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</si>
  <si>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</si>
  <si>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</si>
  <si>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</si>
  <si>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</si>
  <si>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</si>
  <si>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</si>
  <si>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</si>
  <si>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</si>
  <si>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</si>
  <si>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</si>
  <si>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</si>
  <si>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</si>
  <si>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</si>
  <si>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</si>
  <si>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</si>
  <si>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</si>
  <si>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</si>
  <si>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</si>
  <si>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</si>
  <si>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</si>
  <si>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</si>
  <si>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</si>
  <si>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</si>
  <si>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</si>
  <si>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</si>
  <si>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</si>
  <si>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</si>
  <si>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</si>
  <si>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</si>
  <si>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</si>
  <si>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</si>
  <si>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</si>
  <si>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</si>
  <si>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</si>
  <si>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</si>
  <si>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</si>
  <si>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</si>
  <si>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</si>
  <si>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</si>
  <si>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</si>
  <si>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</si>
  <si>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</si>
  <si>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</si>
  <si>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</si>
  <si>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</si>
  <si>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</si>
  <si>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</si>
  <si>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</si>
  <si>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</si>
  <si>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</si>
  <si>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</si>
  <si>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</si>
  <si>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</si>
  <si>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</si>
  <si>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</si>
  <si>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</si>
  <si>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</si>
  <si>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</si>
  <si>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</si>
  <si>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</si>
  <si>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</si>
  <si>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</si>
  <si>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</si>
  <si>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</si>
  <si>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</si>
  <si>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</si>
  <si>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</si>
  <si>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</si>
  <si>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</si>
  <si>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</si>
  <si>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</si>
  <si>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</si>
  <si>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</si>
  <si>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</si>
  <si>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</si>
  <si>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</si>
  <si>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</si>
  <si>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</si>
  <si>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</si>
  <si>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</si>
  <si>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</si>
  <si>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</si>
  <si>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</si>
  <si>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</si>
  <si>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</si>
  <si>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</si>
  <si>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</si>
  <si>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</si>
  <si>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</si>
  <si>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</si>
  <si>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</si>
  <si>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</si>
  <si>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</si>
  <si>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</si>
  <si>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</si>
  <si>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</si>
  <si>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</si>
  <si>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</si>
  <si>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</si>
  <si>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</si>
  <si>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</si>
  <si>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</si>
  <si>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</si>
  <si>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</si>
  <si>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</si>
  <si>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</si>
  <si>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</si>
  <si>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</si>
  <si>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</si>
  <si>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</si>
  <si>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</si>
  <si>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</si>
  <si>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</si>
  <si>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</si>
  <si>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</si>
  <si>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</si>
  <si>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</si>
  <si>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</si>
  <si>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</si>
  <si>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</si>
  <si>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</si>
  <si>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</si>
  <si>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</si>
  <si>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</si>
  <si>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</si>
  <si>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</si>
  <si>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</si>
  <si>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</si>
  <si>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</si>
  <si>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</si>
  <si>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</si>
  <si>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</si>
  <si>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</si>
  <si>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</si>
  <si>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</si>
  <si>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</si>
  <si>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</si>
  <si>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</si>
  <si>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</si>
  <si>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</si>
  <si>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</si>
  <si>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</si>
  <si>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</si>
  <si>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</si>
  <si>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</si>
  <si>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</si>
  <si>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</si>
  <si>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</si>
  <si>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</si>
  <si>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</si>
  <si>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</si>
  <si>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</si>
  <si>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</si>
  <si>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</si>
  <si>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</si>
  <si>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</si>
  <si>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</si>
  <si>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</si>
  <si>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</si>
  <si>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</si>
  <si>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</si>
  <si>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</si>
  <si>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</si>
  <si>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</si>
  <si>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</si>
  <si>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</si>
  <si>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</si>
  <si>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</si>
  <si>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</si>
  <si>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</si>
  <si>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</si>
  <si>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</si>
  <si>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</si>
  <si>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</si>
  <si>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</si>
  <si>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</si>
  <si>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</si>
  <si>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</si>
  <si>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</si>
  <si>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</si>
  <si>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</si>
  <si>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</si>
  <si>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</si>
  <si>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</si>
  <si>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</si>
  <si>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</si>
  <si>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</si>
  <si>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</si>
  <si>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</si>
  <si>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</si>
  <si>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</si>
  <si>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</si>
  <si>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</si>
  <si>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</si>
  <si>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</si>
  <si>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</si>
  <si>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</si>
  <si>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</si>
  <si>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</si>
  <si>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</si>
  <si>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</si>
  <si>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</si>
  <si>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</si>
  <si>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</si>
  <si>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</si>
  <si>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</si>
  <si>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</si>
  <si>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</si>
  <si>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</si>
  <si>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</si>
  <si>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</si>
  <si>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</si>
  <si>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</si>
  <si>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</si>
  <si>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</si>
  <si>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</si>
  <si>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</si>
  <si>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</si>
  <si>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</si>
  <si>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</si>
  <si>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</si>
  <si>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</si>
  <si>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</si>
  <si>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</si>
  <si>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</si>
  <si>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</si>
  <si>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</si>
  <si>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</si>
  <si>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</si>
  <si>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</si>
  <si>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</si>
  <si>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</si>
  <si>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</si>
  <si>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</si>
  <si>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</si>
  <si>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</si>
  <si>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</si>
  <si>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</si>
  <si>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</si>
  <si>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</si>
  <si>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</si>
  <si>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</si>
  <si>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</si>
  <si>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</si>
  <si>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</si>
  <si>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</si>
  <si>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</si>
  <si>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</si>
  <si>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</si>
  <si>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</si>
  <si>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</si>
  <si>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</si>
  <si>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</si>
  <si>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</si>
  <si>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</si>
  <si>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</si>
  <si>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</si>
  <si>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</si>
  <si>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</si>
  <si>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</si>
  <si>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</si>
  <si>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</si>
  <si>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</si>
  <si>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</si>
  <si>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</si>
  <si>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</si>
  <si>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</si>
  <si>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</si>
  <si>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</si>
  <si>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</si>
  <si>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</si>
  <si>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</si>
  <si>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</si>
  <si>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</si>
  <si>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</si>
  <si>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</si>
  <si>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</si>
  <si>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</si>
  <si>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</si>
  <si>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</si>
  <si>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</si>
  <si>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</si>
  <si>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</si>
  <si>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</si>
  <si>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</si>
  <si>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</si>
  <si>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</si>
  <si>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</si>
  <si>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</si>
  <si>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</si>
  <si>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</si>
  <si>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</si>
  <si>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</si>
  <si>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</si>
  <si>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</si>
  <si>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</si>
  <si>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</si>
  <si>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</si>
  <si>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</si>
  <si>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</si>
  <si>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</si>
  <si>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</si>
  <si>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</si>
  <si>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</si>
  <si>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</si>
  <si>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</si>
  <si>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</si>
  <si>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</si>
  <si>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</si>
  <si>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</si>
  <si>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</si>
  <si>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</si>
  <si>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</si>
  <si>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</si>
  <si>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</si>
  <si>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</si>
  <si>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</si>
  <si>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</si>
  <si>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</si>
  <si>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</si>
  <si>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</si>
  <si>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</si>
  <si>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</si>
  <si>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</si>
  <si>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</si>
  <si>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</si>
  <si>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</si>
  <si>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</si>
  <si>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</si>
  <si>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</si>
  <si>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</si>
  <si>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</si>
  <si>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</si>
  <si>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</si>
  <si>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</si>
  <si>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</si>
  <si>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</si>
  <si>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</si>
  <si>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</si>
  <si>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</si>
  <si>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</si>
  <si>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</si>
  <si>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</si>
  <si>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</si>
  <si>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</si>
  <si>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</si>
  <si>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</si>
  <si>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</si>
  <si>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</si>
  <si>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</si>
  <si>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</si>
  <si>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</si>
  <si>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</si>
  <si>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</si>
  <si>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</si>
  <si>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</si>
  <si>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</si>
  <si>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</si>
  <si>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</si>
  <si>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</si>
  <si>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</si>
  <si>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</si>
  <si>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</si>
  <si>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</si>
  <si>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</si>
  <si>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</si>
  <si>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</si>
  <si>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</si>
  <si>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</si>
  <si>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</si>
  <si>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</si>
  <si>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</si>
  <si>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</si>
  <si>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</si>
  <si>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</si>
  <si>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</si>
  <si>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</si>
  <si>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</si>
  <si>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</si>
  <si>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</si>
  <si>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</si>
  <si>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</si>
  <si>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</si>
  <si>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</si>
  <si>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</si>
  <si>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</si>
  <si>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</si>
  <si>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</si>
  <si>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</si>
  <si>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</si>
  <si>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</si>
  <si>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</si>
  <si>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</si>
  <si>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</si>
  <si>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</si>
  <si>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</si>
  <si>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</si>
  <si>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</si>
  <si>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</si>
  <si>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</si>
  <si>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</si>
  <si>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</si>
  <si>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</si>
  <si>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</si>
  <si>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</si>
  <si>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</si>
  <si>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</si>
  <si>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</si>
  <si>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</si>
  <si>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</si>
  <si>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</si>
  <si>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</si>
  <si>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</si>
  <si>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</si>
  <si>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</si>
  <si>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</si>
  <si>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</si>
  <si>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</si>
  <si>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</si>
  <si>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</si>
  <si>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</si>
  <si>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</si>
  <si>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</si>
  <si>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</si>
  <si>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</si>
  <si>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</si>
  <si>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</si>
  <si>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</si>
  <si>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</si>
  <si>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</si>
  <si>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</si>
  <si>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</si>
  <si>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</si>
  <si>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</si>
  <si>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</si>
  <si>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</si>
  <si>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</si>
  <si>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</si>
  <si>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</si>
  <si>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</si>
  <si>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</si>
  <si>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</si>
  <si>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</si>
  <si>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</si>
  <si>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</si>
  <si>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</si>
  <si>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</si>
  <si>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</si>
  <si>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</si>
  <si>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</si>
  <si>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</si>
  <si>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</si>
  <si>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</si>
  <si>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</si>
  <si>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</si>
  <si>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</si>
  <si>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</si>
  <si>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</si>
  <si>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</si>
  <si>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</si>
  <si>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</si>
  <si>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</si>
  <si>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</si>
  <si>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</si>
  <si>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</si>
  <si>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</si>
  <si>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</si>
  <si>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</si>
  <si>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</si>
  <si>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</si>
  <si>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</si>
  <si>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</si>
  <si>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</si>
  <si>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</si>
  <si>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</si>
  <si>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</si>
  <si>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</si>
  <si>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</si>
  <si>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</si>
  <si>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</si>
  <si>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</si>
  <si>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</si>
  <si>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</si>
  <si>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</si>
  <si>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</si>
  <si>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</si>
  <si>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</si>
  <si>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</si>
  <si>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</si>
  <si>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</si>
  <si>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</si>
  <si>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</si>
  <si>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</si>
  <si>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</si>
  <si>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</si>
  <si>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</si>
  <si>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</si>
  <si>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</si>
  <si>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</si>
  <si>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</si>
  <si>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</si>
  <si>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</si>
  <si>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</si>
  <si>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</si>
  <si>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</si>
  <si>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</si>
  <si>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</si>
  <si>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</si>
  <si>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</si>
  <si>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</si>
  <si>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</si>
  <si>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</si>
  <si>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</si>
  <si>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</si>
  <si>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</si>
  <si>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</si>
  <si>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</si>
  <si>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</si>
  <si>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</si>
  <si>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</si>
  <si>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</si>
  <si>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</si>
  <si>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</si>
  <si>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</si>
  <si>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</si>
  <si>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</si>
  <si>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</si>
  <si>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</si>
  <si>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</si>
  <si>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</si>
  <si>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</si>
  <si>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</si>
  <si>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</si>
  <si>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</si>
  <si>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</si>
  <si>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</si>
  <si>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</si>
  <si>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</si>
  <si>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</si>
  <si>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</si>
  <si>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</si>
  <si>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</si>
  <si>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</si>
  <si>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</si>
  <si>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</si>
  <si>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</si>
  <si>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</si>
  <si>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</si>
  <si>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</si>
  <si>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</si>
  <si>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</si>
  <si>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</si>
  <si>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</si>
  <si>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</si>
  <si>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</si>
  <si>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</si>
  <si>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</si>
  <si>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</si>
  <si>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</si>
  <si>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</si>
  <si>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</si>
  <si>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</si>
  <si>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</si>
  <si>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</si>
  <si>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</si>
  <si>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</si>
  <si>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</si>
  <si>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</si>
  <si>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</si>
  <si>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</si>
  <si>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</si>
  <si>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</si>
  <si>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</si>
  <si>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</si>
  <si>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</si>
  <si>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</si>
  <si>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</si>
  <si>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</si>
  <si>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</si>
  <si>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</si>
  <si>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</si>
  <si>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</si>
  <si>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</si>
  <si>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</si>
  <si>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</si>
  <si>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</si>
  <si>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</si>
  <si>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</si>
  <si>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</si>
  <si>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</si>
  <si>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</si>
  <si>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</si>
  <si>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</si>
  <si>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</si>
  <si>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</si>
  <si>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</si>
  <si>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</si>
  <si>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</si>
  <si>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</si>
  <si>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</si>
  <si>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</si>
  <si>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</si>
  <si>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</si>
  <si>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</si>
  <si>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</si>
  <si>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</si>
  <si>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</si>
  <si>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</si>
  <si>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</si>
  <si>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</si>
  <si>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</si>
  <si>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</si>
  <si>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</si>
  <si>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</si>
  <si>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</si>
  <si>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</si>
  <si>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</si>
  <si>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</si>
  <si>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</si>
  <si>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</si>
  <si>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</si>
  <si>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</si>
  <si>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</si>
  <si>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</si>
  <si>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</si>
  <si>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</si>
  <si>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</si>
  <si>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</si>
  <si>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</si>
  <si>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</si>
  <si>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</si>
  <si>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</si>
  <si>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</si>
  <si>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</si>
  <si>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</si>
  <si>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</si>
  <si>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</si>
  <si>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</si>
  <si>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</si>
  <si>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</si>
  <si>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</si>
  <si>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</si>
  <si>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</si>
  <si>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</si>
  <si>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</si>
  <si>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</si>
  <si>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</si>
  <si>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</si>
  <si>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</si>
  <si>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</si>
  <si>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</si>
  <si>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</si>
  <si>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</si>
  <si>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</si>
  <si>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</si>
  <si>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</si>
  <si>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</si>
  <si>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</si>
  <si>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</si>
  <si>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</si>
  <si>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</si>
  <si>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</si>
  <si>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</si>
  <si>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</si>
  <si>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</si>
  <si>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</si>
  <si>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</si>
  <si>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</si>
  <si>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</si>
  <si>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</si>
  <si>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</si>
  <si>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</si>
  <si>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</si>
  <si>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</si>
  <si>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</si>
  <si>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</si>
  <si>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</si>
  <si>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</si>
  <si>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</si>
  <si>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</si>
  <si>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</si>
  <si>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</si>
  <si>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</si>
  <si>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</si>
  <si>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</si>
  <si>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</si>
  <si>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</si>
  <si>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</si>
  <si>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</si>
  <si>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</si>
  <si>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</si>
  <si>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</si>
  <si>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</si>
  <si>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</si>
  <si>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</si>
  <si>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</si>
  <si>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</si>
  <si>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</si>
  <si>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</si>
  <si>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</si>
  <si>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</si>
  <si>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</si>
  <si>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</si>
  <si>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</si>
  <si>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</si>
  <si>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</si>
  <si>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</si>
  <si>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</si>
  <si>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</si>
  <si>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</si>
  <si>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</si>
  <si>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</si>
  <si>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</si>
  <si>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</si>
  <si>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</si>
  <si>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</si>
  <si>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</si>
  <si>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</si>
  <si>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</si>
  <si>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</si>
  <si>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</si>
  <si>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</si>
  <si>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</si>
  <si>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</si>
  <si>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</si>
  <si>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</si>
  <si>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</si>
  <si>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</si>
  <si>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</si>
  <si>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</si>
  <si>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</si>
  <si>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</si>
  <si>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</si>
  <si>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</si>
  <si>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</si>
  <si>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</si>
  <si>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</si>
  <si>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</si>
  <si>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</si>
  <si>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</si>
  <si>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</si>
  <si>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</si>
  <si>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</si>
  <si>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</si>
  <si>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</si>
  <si>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</si>
  <si>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</si>
  <si>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</si>
  <si>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</si>
  <si>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</si>
  <si>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</si>
  <si>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</si>
  <si>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</si>
  <si>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</si>
  <si>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</si>
  <si>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</si>
  <si>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</si>
  <si>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</si>
  <si>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</si>
  <si>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</si>
  <si>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</si>
  <si>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</si>
  <si>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</si>
  <si>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</si>
  <si>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</si>
  <si>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</si>
  <si>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</si>
  <si>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</si>
  <si>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</si>
  <si>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</si>
  <si>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</si>
  <si>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</si>
  <si>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</si>
  <si>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</si>
  <si>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</si>
  <si>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</si>
  <si>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</si>
  <si>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</si>
  <si>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</si>
  <si>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</si>
  <si>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</si>
  <si>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</si>
  <si>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</si>
  <si>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</si>
  <si>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</si>
  <si>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</si>
  <si>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</si>
  <si>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</si>
  <si>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</si>
  <si>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</si>
  <si>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</si>
  <si>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</si>
  <si>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</si>
  <si>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</si>
  <si>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</si>
  <si>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</si>
  <si>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</si>
  <si>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</si>
  <si>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</si>
  <si>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</si>
  <si>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</si>
  <si>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</si>
  <si>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</si>
  <si>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</si>
  <si>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</si>
  <si>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</si>
  <si>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</si>
  <si>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</si>
  <si>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</si>
  <si>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</si>
  <si>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</si>
  <si>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</si>
  <si>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</si>
  <si>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</si>
  <si>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</si>
  <si>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</si>
  <si>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</si>
  <si>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</si>
  <si>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</si>
  <si>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</si>
  <si>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</si>
  <si>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</si>
  <si>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</si>
  <si>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</si>
  <si>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</si>
  <si>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</si>
  <si>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</si>
  <si>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</si>
  <si>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</si>
  <si>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</si>
  <si>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</si>
  <si>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</si>
  <si>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</si>
  <si>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</si>
  <si>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</si>
  <si>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</si>
  <si>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</si>
  <si>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</si>
  <si>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</si>
  <si>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</si>
  <si>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</si>
  <si>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</si>
  <si>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</si>
  <si>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</si>
  <si>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</si>
  <si>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</si>
  <si>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</si>
  <si>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</si>
  <si>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</si>
  <si>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</si>
  <si>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</si>
  <si>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</si>
  <si>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</si>
  <si>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</si>
  <si>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</si>
  <si>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</si>
  <si>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</si>
  <si>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</si>
  <si>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</si>
  <si>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</si>
  <si>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</si>
  <si>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</si>
  <si>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</si>
  <si>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</si>
  <si>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</si>
  <si>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</si>
  <si>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</si>
  <si>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</si>
  <si>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</si>
  <si>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</si>
  <si>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</si>
  <si>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</si>
  <si>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</si>
  <si>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</si>
  <si>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</si>
  <si>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</si>
  <si>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</si>
  <si>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</si>
  <si>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</si>
  <si>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</si>
  <si>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</si>
  <si>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</si>
  <si>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</si>
  <si>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</si>
  <si>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</si>
  <si>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</si>
  <si>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</si>
  <si>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</si>
  <si>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</si>
  <si>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</si>
  <si>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</si>
  <si>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</si>
  <si>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</si>
  <si>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</si>
  <si>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</si>
  <si>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</si>
  <si>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</si>
  <si>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</si>
  <si>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</si>
  <si>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</si>
  <si>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</si>
  <si>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</si>
  <si>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</si>
  <si>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</si>
  <si>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</si>
  <si>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</si>
  <si>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</si>
  <si>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</si>
  <si>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</si>
  <si>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</si>
  <si>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</si>
  <si>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</si>
  <si>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</si>
  <si>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</si>
  <si>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</si>
  <si>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</si>
  <si>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</si>
  <si>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</si>
  <si>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</si>
  <si>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</si>
  <si>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</si>
  <si>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</si>
  <si>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</si>
  <si>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</si>
  <si>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</si>
  <si>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</si>
  <si>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</si>
  <si>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</si>
  <si>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</si>
  <si>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</si>
  <si>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</si>
  <si>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</si>
  <si>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</si>
  <si>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</si>
  <si>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</si>
  <si>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</si>
  <si>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</si>
  <si>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</si>
  <si>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</si>
  <si>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</si>
  <si>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</si>
  <si>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</si>
  <si>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</si>
  <si>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</si>
  <si>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</si>
  <si>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</si>
  <si>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</si>
  <si>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</si>
  <si>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</si>
  <si>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</si>
  <si>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</si>
  <si>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</si>
  <si>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</si>
  <si>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</si>
  <si>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</si>
  <si>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</si>
  <si>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</si>
  <si>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</si>
  <si>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</si>
  <si>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</si>
  <si>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</si>
  <si>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</si>
  <si>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</si>
  <si>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</si>
  <si>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</si>
  <si>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</si>
  <si>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</si>
  <si>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</si>
  <si>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</si>
  <si>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</si>
  <si>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</si>
  <si>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</si>
  <si>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</si>
  <si>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</si>
  <si>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</si>
  <si>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</si>
  <si>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</si>
  <si>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</si>
  <si>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</si>
  <si>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</si>
  <si>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</si>
  <si>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</si>
  <si>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</si>
  <si>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</si>
  <si>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</si>
  <si>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</si>
  <si>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</si>
  <si>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</si>
  <si>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</si>
  <si>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</si>
  <si>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</si>
  <si>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</si>
  <si>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</si>
  <si>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</si>
  <si>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</si>
  <si>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</si>
  <si>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</si>
  <si>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</si>
  <si>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</si>
  <si>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</si>
  <si>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</si>
  <si>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</si>
  <si>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</si>
  <si>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</si>
  <si>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</si>
  <si>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</si>
  <si>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</si>
  <si>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</si>
  <si>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</si>
  <si>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</si>
  <si>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</si>
  <si>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</si>
  <si>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</si>
  <si>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</si>
  <si>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</si>
  <si>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</si>
  <si>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</si>
  <si>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</si>
  <si>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</si>
  <si>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</si>
  <si>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</si>
  <si>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</si>
  <si>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</si>
  <si>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</si>
  <si>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</si>
  <si>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</si>
  <si>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</si>
  <si>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</si>
  <si>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</si>
  <si>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</si>
  <si>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</si>
  <si>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</si>
  <si>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</si>
  <si>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</si>
  <si>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</si>
  <si>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</si>
  <si>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</si>
  <si>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</si>
  <si>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</si>
  <si>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</si>
  <si>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</si>
  <si>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</si>
  <si>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</si>
  <si>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</si>
  <si>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</si>
  <si>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</si>
  <si>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</si>
  <si>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</si>
  <si>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</si>
  <si>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</si>
  <si>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</si>
  <si>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</si>
  <si>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</si>
  <si>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</si>
  <si>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</si>
  <si>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</si>
  <si>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</si>
  <si>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</si>
  <si>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</si>
  <si>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</si>
  <si>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</si>
  <si>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</si>
  <si>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</si>
  <si>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</si>
  <si>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</si>
  <si>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</si>
  <si>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</si>
  <si>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</si>
  <si>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</si>
  <si>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</si>
  <si>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</si>
  <si>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</si>
  <si>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</si>
  <si>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</si>
  <si>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</si>
  <si>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</si>
  <si>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</si>
  <si>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</si>
  <si>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</si>
  <si>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</si>
  <si>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</si>
  <si>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</si>
  <si>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</si>
  <si>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</si>
  <si>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</si>
  <si>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</si>
  <si>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</si>
  <si>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</si>
  <si>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</si>
  <si>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</si>
  <si>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</si>
  <si>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</si>
  <si>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</si>
  <si>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</si>
  <si>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</si>
  <si>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</si>
  <si>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</si>
  <si>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</si>
  <si>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</si>
  <si>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</si>
  <si>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</si>
  <si>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</si>
  <si>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</si>
  <si>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</si>
  <si>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</si>
  <si>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</si>
  <si>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</si>
  <si>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</si>
  <si>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</si>
  <si>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</si>
  <si>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</si>
  <si>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</si>
  <si>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</si>
  <si>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</si>
  <si>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</si>
  <si>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</si>
  <si>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</si>
  <si>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</si>
  <si>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</si>
  <si>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</si>
  <si>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</si>
  <si>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</si>
  <si>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</si>
  <si>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</si>
  <si>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</si>
  <si>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</si>
  <si>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</si>
  <si>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</si>
  <si>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</si>
  <si>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</si>
  <si>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</si>
  <si>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</si>
  <si>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</si>
  <si>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</si>
  <si>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</si>
  <si>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</si>
  <si>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</si>
  <si>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</si>
  <si>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</si>
  <si>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</si>
  <si>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</si>
  <si>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</si>
  <si>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</si>
  <si>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</si>
  <si>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</si>
  <si>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</si>
  <si>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</si>
  <si>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</si>
  <si>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</si>
  <si>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</si>
  <si>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</si>
  <si>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</si>
  <si>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</si>
  <si>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</si>
  <si>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</si>
  <si>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</si>
  <si>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</si>
  <si>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</si>
  <si>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</si>
  <si>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</si>
  <si>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</si>
  <si>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</si>
  <si>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</si>
  <si>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</si>
  <si>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</si>
  <si>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</si>
  <si>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</si>
  <si>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</si>
  <si>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</si>
  <si>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</si>
  <si>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</si>
  <si>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</si>
  <si>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</si>
  <si>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</si>
  <si>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</si>
  <si>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</si>
  <si>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</si>
  <si>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</si>
  <si>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</si>
  <si>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</si>
  <si>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</si>
  <si>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</si>
  <si>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</si>
  <si>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</si>
  <si>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</si>
  <si>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</si>
  <si>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</si>
  <si>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</si>
  <si>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</si>
  <si>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</si>
  <si>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</si>
  <si>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</si>
  <si>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</si>
  <si>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</si>
  <si>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</si>
  <si>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</si>
  <si>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</si>
  <si>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</si>
  <si>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</si>
  <si>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</si>
  <si>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</si>
  <si>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</si>
  <si>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</si>
  <si>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</si>
  <si>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</si>
  <si>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</si>
  <si>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</si>
  <si>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</si>
  <si>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</si>
  <si>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</si>
  <si>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</si>
  <si>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</si>
  <si>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</si>
  <si>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</si>
  <si>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</si>
  <si>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</si>
  <si>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</si>
  <si>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</si>
  <si>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</si>
  <si>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</si>
  <si>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</si>
  <si>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</si>
  <si>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</si>
  <si>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</si>
  <si>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</si>
  <si>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</si>
  <si>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</si>
  <si>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</si>
  <si>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</si>
  <si>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</si>
  <si>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</si>
  <si>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</si>
  <si>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</si>
  <si>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</si>
  <si>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</si>
  <si>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</si>
  <si>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</si>
  <si>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</si>
  <si>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</si>
  <si>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</si>
  <si>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</si>
  <si>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</si>
  <si>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</si>
  <si>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</si>
  <si>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</si>
  <si>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</si>
  <si>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</si>
  <si>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</si>
  <si>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</si>
  <si>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</si>
  <si>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</si>
  <si>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</si>
  <si>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</si>
  <si>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</si>
  <si>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</si>
  <si>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</si>
  <si>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</si>
  <si>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</si>
  <si>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</si>
  <si>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</si>
  <si>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</si>
  <si>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</si>
  <si>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</si>
  <si>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</si>
  <si>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</si>
  <si>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</si>
  <si>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</si>
  <si>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</si>
  <si>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</si>
  <si>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</si>
  <si>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</si>
  <si>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</si>
  <si>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</si>
  <si>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</si>
  <si>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</si>
  <si>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</si>
  <si>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</si>
  <si>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</si>
  <si>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</si>
  <si>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</si>
  <si>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</si>
  <si>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</si>
  <si>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</si>
  <si>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</si>
  <si>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</si>
  <si>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</si>
  <si>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</si>
  <si>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</si>
  <si>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</si>
  <si>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</si>
  <si>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</si>
  <si>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</si>
  <si>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</si>
  <si>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</si>
  <si>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</si>
  <si>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</si>
  <si>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</si>
  <si>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</si>
  <si>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</si>
  <si>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</si>
  <si>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</si>
  <si>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</si>
  <si>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</si>
  <si>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</si>
  <si>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</si>
  <si>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</si>
  <si>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</si>
  <si>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</si>
  <si>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</si>
  <si>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</si>
  <si>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</si>
  <si>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</si>
  <si>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</si>
  <si>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</si>
  <si>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</si>
  <si>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</si>
  <si>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</si>
  <si>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</si>
  <si>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</si>
  <si>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</si>
  <si>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</si>
  <si>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</si>
  <si>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</si>
  <si>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</si>
  <si>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</si>
  <si>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</si>
  <si>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</si>
  <si>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</si>
  <si>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</si>
  <si>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</si>
  <si>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</si>
  <si>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</si>
  <si>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</si>
  <si>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</si>
  <si>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</si>
  <si>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</si>
  <si>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</si>
  <si>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</si>
  <si>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</si>
  <si>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</si>
  <si>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</si>
  <si>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</si>
  <si>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</si>
  <si>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</si>
  <si>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</si>
  <si>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</si>
  <si>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</si>
  <si>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</si>
  <si>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</si>
  <si>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</si>
  <si>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</si>
  <si>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</si>
  <si>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</si>
  <si>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</si>
  <si>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</si>
  <si>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</si>
  <si>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</si>
  <si>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</si>
  <si>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</si>
  <si>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</si>
  <si>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</si>
  <si>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</si>
  <si>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</si>
  <si>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</si>
  <si>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</si>
  <si>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</si>
  <si>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</si>
  <si>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</si>
  <si>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</si>
  <si>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</si>
  <si>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</si>
  <si>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</si>
  <si>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</si>
  <si>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</si>
  <si>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</si>
  <si>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</si>
  <si>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</si>
  <si>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</si>
  <si>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</si>
  <si>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</si>
  <si>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</si>
  <si>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</si>
  <si>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</si>
  <si>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</si>
  <si>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</si>
  <si>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</si>
  <si>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</si>
  <si>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</si>
  <si>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</si>
  <si>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</si>
  <si>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</si>
  <si>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</si>
  <si>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</si>
  <si>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</si>
  <si>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</si>
  <si>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</si>
  <si>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</si>
  <si>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</si>
  <si>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</si>
  <si>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</si>
  <si>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</si>
  <si>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</si>
  <si>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</si>
  <si>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</si>
  <si>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</si>
  <si>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</si>
  <si>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</si>
  <si>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</si>
  <si>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</si>
  <si>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</si>
  <si>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</si>
  <si>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</si>
  <si>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</si>
  <si>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</si>
  <si>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</si>
  <si>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</si>
  <si>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</si>
  <si>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</si>
  <si>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</si>
  <si>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</si>
  <si>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</si>
  <si>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</si>
  <si>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</si>
  <si>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</si>
  <si>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</si>
  <si>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</si>
  <si>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</si>
  <si>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</si>
  <si>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</si>
  <si>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</si>
  <si>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</si>
  <si>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</si>
  <si>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</si>
  <si>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</si>
  <si>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</si>
  <si>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</si>
  <si>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</si>
  <si>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</si>
  <si>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</si>
  <si>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</si>
  <si>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</si>
  <si>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</si>
  <si>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</si>
  <si>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</si>
  <si>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</si>
  <si>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</si>
  <si>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</si>
  <si>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</si>
  <si>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</si>
  <si>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</si>
  <si>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</si>
  <si>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</si>
  <si>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</si>
  <si>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</si>
  <si>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</si>
  <si>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</si>
  <si>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</si>
  <si>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</si>
  <si>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</si>
  <si>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</si>
  <si>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</si>
  <si>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</si>
  <si>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</si>
  <si>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</si>
  <si>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</si>
  <si>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</si>
  <si>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</si>
  <si>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</si>
  <si>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</si>
  <si>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</si>
  <si>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</si>
  <si>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</si>
  <si>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</si>
  <si>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</si>
  <si>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</si>
  <si>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</si>
  <si>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</si>
  <si>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</si>
  <si>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</si>
  <si>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</si>
  <si>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</si>
  <si>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</si>
  <si>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</si>
  <si>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</si>
  <si>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</si>
  <si>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</si>
  <si>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</si>
  <si>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</si>
  <si>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</si>
  <si>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</si>
  <si>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</si>
  <si>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</si>
  <si>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</si>
  <si>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</si>
  <si>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</si>
  <si>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</si>
  <si>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</si>
  <si>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</si>
  <si>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</si>
  <si>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</si>
  <si>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</si>
  <si>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</si>
  <si>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</si>
  <si>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</si>
  <si>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</si>
  <si>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</si>
  <si>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</si>
  <si>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</si>
  <si>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</si>
  <si>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</si>
  <si>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</si>
  <si>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</si>
  <si>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</si>
  <si>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</si>
  <si>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</si>
  <si>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</si>
  <si>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</si>
  <si>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</si>
  <si>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</si>
  <si>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</si>
  <si>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</si>
  <si>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</si>
  <si>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</si>
  <si>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</si>
  <si>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</si>
  <si>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</si>
  <si>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</si>
  <si>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</si>
  <si>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</si>
  <si>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</si>
  <si>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</si>
  <si>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</si>
  <si>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</si>
  <si>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</si>
  <si>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</si>
  <si>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</si>
  <si>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</si>
  <si>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</si>
  <si>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</si>
  <si>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</si>
  <si>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</si>
  <si>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</si>
  <si>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</si>
  <si>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</si>
  <si>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</si>
  <si>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</si>
  <si>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</si>
  <si>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</si>
  <si>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</si>
  <si>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</si>
  <si>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</si>
  <si>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</si>
  <si>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</si>
  <si>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</si>
  <si>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</si>
  <si>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</si>
  <si>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</si>
  <si>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</si>
  <si>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</si>
  <si>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</si>
  <si>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</si>
  <si>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</si>
  <si>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</si>
  <si>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</si>
  <si>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</si>
  <si>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</si>
  <si>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</si>
  <si>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</si>
  <si>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</si>
  <si>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</si>
  <si>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</si>
  <si>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</si>
  <si>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</si>
  <si>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</si>
  <si>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</si>
  <si>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</si>
  <si>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</si>
  <si>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</si>
  <si>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</si>
  <si>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</si>
  <si>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</si>
  <si>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</si>
  <si>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</si>
  <si>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</si>
  <si>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</si>
  <si>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</si>
  <si>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</si>
  <si>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</si>
  <si>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</si>
  <si>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</si>
  <si>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</si>
  <si>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</si>
  <si>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</si>
  <si>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</si>
  <si>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</si>
  <si>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</si>
  <si>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</si>
  <si>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</si>
  <si>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</si>
  <si>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</si>
  <si>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</si>
  <si>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</si>
  <si>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</si>
  <si>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</si>
  <si>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</si>
  <si>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</si>
  <si>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</si>
  <si>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</si>
  <si>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</si>
  <si>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</si>
  <si>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</si>
  <si>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</si>
  <si>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</si>
  <si>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</si>
  <si>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</si>
  <si>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</si>
  <si>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</si>
  <si>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</si>
  <si>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</si>
  <si>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</si>
  <si>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</si>
  <si>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</si>
  <si>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</si>
  <si>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</si>
  <si>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</si>
  <si>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</si>
  <si>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</si>
  <si>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</si>
  <si>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</si>
  <si>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</si>
  <si>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</si>
  <si>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</si>
  <si>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</si>
  <si>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</si>
  <si>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</si>
  <si>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</si>
  <si>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</si>
  <si>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</si>
  <si>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</si>
  <si>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</si>
  <si>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</si>
  <si>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</si>
  <si>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</si>
  <si>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</si>
  <si>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</si>
  <si>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</si>
  <si>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</si>
  <si>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</si>
  <si>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</si>
  <si>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</si>
  <si>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</si>
  <si>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</si>
  <si>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</si>
  <si>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</si>
  <si>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</si>
  <si>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</si>
  <si>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</si>
  <si>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</si>
  <si>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</si>
  <si>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</si>
  <si>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</si>
  <si>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</si>
  <si>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</si>
  <si>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</si>
  <si>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</si>
  <si>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</si>
  <si>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</si>
  <si>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</si>
  <si>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</si>
  <si>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</si>
  <si>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</si>
  <si>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</si>
  <si>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</si>
  <si>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</si>
  <si>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</si>
  <si>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</si>
  <si>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</si>
  <si>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</si>
  <si>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</si>
  <si>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</si>
  <si>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</si>
  <si>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</si>
  <si>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</si>
  <si>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</si>
  <si>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</si>
  <si>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</si>
  <si>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</si>
  <si>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</si>
  <si>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</si>
  <si>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</si>
  <si>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</si>
  <si>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</si>
  <si>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</si>
  <si>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</si>
  <si>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</si>
  <si>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</si>
  <si>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</si>
  <si>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</si>
  <si>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</si>
  <si>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</si>
  <si>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</si>
  <si>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</si>
  <si>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</si>
  <si>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</si>
  <si>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</si>
  <si>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</si>
  <si>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</si>
  <si>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</si>
  <si>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</si>
  <si>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</si>
  <si>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</si>
  <si>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</si>
  <si>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</si>
  <si>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</si>
  <si>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</si>
  <si>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</si>
  <si>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</si>
  <si>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</si>
  <si>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</si>
  <si>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</si>
  <si>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</si>
  <si>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</si>
  <si>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</si>
  <si>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</si>
  <si>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</si>
  <si>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</si>
  <si>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</si>
  <si>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</si>
  <si>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</si>
  <si>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</si>
  <si>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</si>
  <si>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</si>
  <si>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</si>
  <si>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</si>
  <si>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</si>
  <si>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</si>
  <si>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</si>
  <si>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</si>
  <si>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</si>
  <si>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</si>
  <si>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</si>
  <si>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</si>
  <si>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</si>
  <si>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</si>
  <si>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</si>
  <si>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</si>
  <si>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</si>
  <si>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</si>
  <si>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</si>
  <si>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</si>
  <si>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</si>
  <si>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</si>
  <si>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</si>
  <si>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</si>
  <si>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</si>
  <si>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</si>
  <si>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</si>
  <si>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</si>
  <si>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</si>
  <si>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</si>
  <si>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</si>
  <si>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</si>
  <si>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</si>
  <si>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</si>
  <si>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</si>
  <si>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</si>
  <si>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</si>
  <si>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</si>
  <si>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</si>
  <si>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</si>
  <si>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</si>
  <si>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</si>
  <si>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</si>
  <si>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</si>
  <si>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</si>
  <si>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</si>
  <si>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</si>
  <si>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</si>
  <si>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</si>
  <si>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</si>
  <si>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</si>
  <si>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</si>
  <si>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</si>
  <si>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</si>
  <si>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</si>
  <si>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</si>
  <si>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</si>
  <si>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</si>
  <si>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</si>
  <si>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</si>
  <si>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</si>
  <si>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</si>
  <si>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</si>
  <si>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</si>
  <si>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</si>
  <si>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</si>
  <si>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</si>
  <si>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</si>
  <si>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</si>
  <si>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</si>
  <si>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</si>
  <si>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</si>
  <si>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</si>
  <si>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</si>
  <si>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</si>
  <si>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</si>
  <si>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</si>
  <si>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</si>
  <si>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</si>
  <si>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</si>
  <si>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</si>
  <si>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</si>
  <si>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</si>
  <si>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</si>
  <si>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</si>
  <si>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</si>
  <si>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</si>
  <si>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</si>
  <si>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</si>
  <si>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</si>
  <si>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</si>
  <si>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</si>
  <si>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</si>
  <si>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</si>
  <si>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</si>
  <si>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</si>
  <si>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</si>
  <si>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</si>
  <si>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</si>
  <si>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</si>
  <si>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</si>
  <si>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</si>
  <si>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</si>
  <si>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</si>
  <si>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</si>
  <si>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</si>
  <si>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</si>
  <si>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</si>
  <si>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</si>
  <si>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</si>
  <si>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</si>
  <si>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</si>
  <si>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</si>
  <si>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</si>
  <si>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</si>
  <si>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</si>
  <si>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</si>
  <si>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</si>
  <si>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</si>
  <si>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</si>
  <si>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</si>
  <si>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</si>
  <si>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</si>
  <si>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</si>
  <si>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</si>
  <si>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</si>
  <si>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</si>
  <si>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</si>
  <si>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</si>
  <si>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</si>
  <si>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</si>
  <si>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</si>
  <si>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</si>
  <si>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</si>
  <si>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</si>
  <si>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</si>
  <si>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</si>
  <si>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</si>
  <si>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</si>
  <si>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</si>
  <si>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</si>
  <si>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</si>
  <si>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</si>
  <si>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</si>
  <si>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</si>
  <si>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</si>
  <si>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</si>
  <si>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</si>
  <si>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</si>
  <si>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</si>
  <si>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</si>
  <si>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</si>
  <si>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</si>
  <si>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</si>
  <si>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</si>
  <si>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</si>
  <si>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</si>
  <si>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</si>
  <si>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</si>
  <si>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</si>
  <si>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</si>
  <si>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</si>
  <si>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</si>
  <si>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</si>
  <si>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</si>
  <si>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</si>
  <si>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</si>
  <si>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</si>
  <si>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</si>
  <si>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</si>
  <si>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</si>
  <si>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</si>
  <si>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</si>
  <si>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</si>
  <si>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</si>
  <si>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</si>
  <si>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</si>
  <si>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</si>
  <si>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</si>
  <si>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</si>
  <si>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</si>
  <si>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</si>
  <si>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</si>
  <si>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</si>
  <si>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</si>
  <si>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</si>
  <si>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</si>
  <si>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</si>
  <si>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</si>
  <si>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</si>
  <si>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</si>
  <si>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</si>
  <si>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</si>
  <si>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</si>
  <si>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</si>
  <si>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</si>
  <si>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</si>
  <si>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</si>
  <si>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</si>
  <si>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</si>
  <si>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</si>
  <si>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</si>
  <si>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</si>
  <si>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</si>
  <si>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</si>
  <si>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</si>
  <si>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</si>
  <si>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</si>
  <si>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</si>
  <si>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</si>
  <si>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</si>
  <si>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</si>
  <si>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</si>
  <si>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</si>
  <si>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</si>
  <si>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</si>
  <si>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</si>
  <si>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</si>
  <si>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</si>
  <si>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</si>
  <si>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</si>
  <si>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</si>
  <si>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</si>
  <si>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</si>
  <si>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</si>
  <si>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</si>
  <si>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</si>
  <si>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</si>
  <si>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</si>
  <si>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</si>
  <si>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</si>
  <si>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</si>
  <si>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</si>
  <si>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</si>
  <si>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</si>
  <si>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</si>
  <si>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</si>
  <si>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</si>
  <si>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</si>
  <si>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</si>
  <si>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</si>
  <si>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</si>
  <si>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</si>
  <si>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</si>
  <si>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</si>
  <si>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</si>
  <si>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</si>
  <si>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</si>
  <si>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</si>
  <si>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</si>
  <si>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</si>
  <si>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</si>
  <si>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</si>
  <si>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</si>
  <si>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</si>
  <si>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</si>
  <si>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</si>
  <si>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</si>
  <si>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</si>
  <si>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</si>
  <si>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</si>
  <si>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</si>
  <si>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</si>
  <si>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</si>
  <si>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</si>
  <si>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</si>
  <si>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</si>
  <si>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</si>
  <si>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</si>
  <si>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</si>
  <si>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</si>
  <si>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</si>
  <si>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</si>
  <si>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</si>
  <si>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</si>
  <si>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</si>
  <si>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</si>
  <si>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</si>
  <si>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</si>
  <si>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</si>
  <si>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</si>
  <si>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</si>
  <si>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</si>
  <si>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</si>
  <si>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</si>
  <si>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</si>
  <si>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</si>
  <si>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</si>
  <si>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</si>
  <si>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</si>
  <si>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</si>
  <si>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</si>
  <si>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</si>
  <si>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</si>
  <si>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</si>
  <si>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</si>
  <si>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</si>
  <si>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</si>
  <si>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</si>
  <si>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</si>
  <si>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</si>
  <si>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</si>
  <si>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</si>
  <si>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</si>
  <si>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</si>
  <si>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</si>
  <si>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</si>
  <si>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</si>
  <si>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</si>
  <si>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</si>
  <si>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</si>
  <si>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</si>
  <si>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</si>
  <si>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</si>
  <si>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</si>
  <si>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</si>
  <si>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</si>
  <si>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</si>
  <si>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</si>
  <si>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</si>
  <si>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</si>
  <si>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</si>
  <si>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</si>
  <si>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</si>
  <si>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</si>
  <si>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</si>
  <si>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</si>
  <si>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</si>
  <si>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</si>
  <si>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</si>
  <si>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</si>
  <si>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</si>
  <si>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</si>
  <si>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</si>
  <si>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</si>
  <si>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</si>
  <si>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</si>
  <si>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</si>
  <si>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</si>
  <si>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</si>
  <si>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</si>
  <si>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</si>
  <si>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</si>
  <si>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</si>
  <si>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</si>
  <si>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</si>
  <si>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</si>
  <si>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</si>
  <si>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</si>
  <si>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</si>
  <si>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</si>
  <si>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</si>
  <si>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</si>
  <si>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</si>
  <si>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</si>
  <si>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</si>
  <si>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</si>
  <si>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</si>
  <si>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</si>
  <si>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</si>
  <si>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</si>
  <si>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</si>
  <si>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</si>
  <si>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</si>
  <si>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</si>
  <si>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</si>
  <si>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</si>
  <si>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</si>
  <si>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</si>
  <si>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</si>
  <si>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</si>
  <si>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</si>
  <si>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</si>
  <si>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</si>
  <si>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</si>
  <si>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</si>
  <si>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</si>
  <si>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</si>
  <si>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</si>
  <si>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</si>
  <si>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</si>
  <si>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</si>
  <si>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</si>
  <si>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</si>
  <si>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</si>
  <si>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</si>
  <si>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</si>
  <si>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</si>
  <si>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</si>
  <si>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</si>
  <si>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</si>
  <si>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</si>
  <si>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</si>
  <si>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</si>
  <si>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</si>
  <si>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</si>
  <si>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</si>
  <si>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</si>
  <si>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</si>
  <si>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</si>
  <si>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</si>
  <si>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</si>
  <si>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</si>
  <si>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</si>
  <si>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</si>
  <si>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</si>
  <si>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</si>
  <si>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</si>
  <si>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</si>
  <si>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</si>
  <si>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</si>
  <si>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</si>
  <si>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</si>
  <si>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</si>
  <si>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</si>
  <si>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</si>
  <si>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</si>
  <si>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</si>
  <si>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</si>
  <si>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</si>
  <si>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</si>
  <si>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</si>
  <si>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</si>
  <si>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</si>
  <si>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</si>
  <si>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</si>
  <si>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</si>
  <si>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</si>
  <si>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</si>
  <si>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</si>
  <si>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</si>
  <si>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</si>
  <si>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</si>
  <si>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</si>
  <si>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</si>
  <si>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</si>
  <si>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</si>
  <si>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</si>
  <si>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</si>
  <si>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</si>
  <si>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</si>
  <si>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</si>
  <si>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</si>
  <si>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</si>
  <si>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</si>
  <si>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</si>
  <si>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</si>
  <si>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</si>
  <si>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</si>
  <si>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</si>
  <si>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</si>
  <si>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</si>
  <si>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</si>
  <si>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</si>
  <si>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</si>
  <si>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</si>
  <si>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</si>
  <si>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</si>
  <si>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</si>
  <si>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</si>
  <si>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</si>
  <si>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</si>
  <si>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</si>
  <si>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</si>
  <si>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</si>
  <si>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</si>
  <si>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</si>
  <si>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</si>
  <si>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</si>
  <si>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</si>
  <si>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</si>
  <si>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</si>
  <si>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</si>
  <si>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</si>
  <si>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</si>
  <si>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</si>
  <si>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</si>
  <si>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</si>
  <si>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</si>
  <si>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</si>
  <si>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</si>
  <si>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</si>
  <si>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</si>
  <si>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</si>
  <si>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</si>
  <si>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</si>
  <si>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</si>
  <si>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</si>
  <si>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</si>
  <si>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</si>
  <si>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</si>
  <si>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</si>
  <si>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</si>
  <si>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</si>
  <si>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</si>
  <si>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</si>
  <si>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</si>
  <si>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</si>
  <si>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</si>
  <si>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</si>
  <si>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</si>
  <si>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</si>
  <si>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</si>
  <si>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</si>
  <si>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</si>
  <si>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</si>
  <si>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</si>
  <si>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</si>
  <si>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</si>
  <si>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</si>
  <si>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</si>
  <si>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</si>
  <si>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</si>
  <si>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</si>
  <si>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</si>
  <si>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</si>
  <si>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</si>
  <si>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</si>
  <si>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</si>
  <si>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</si>
  <si>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</si>
  <si>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</si>
  <si>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</si>
  <si>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</si>
  <si>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</si>
  <si>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</si>
  <si>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</si>
  <si>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</si>
  <si>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</si>
  <si>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</si>
  <si>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</si>
  <si>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</si>
  <si>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</si>
  <si>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</si>
  <si>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</si>
  <si>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</si>
  <si>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</si>
  <si>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</si>
  <si>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</si>
  <si>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</si>
  <si>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</si>
  <si>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</si>
  <si>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</si>
  <si>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</si>
  <si>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</si>
  <si>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</si>
  <si>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</si>
  <si>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</si>
  <si>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</si>
  <si>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</si>
  <si>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</si>
  <si>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</si>
  <si>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</si>
  <si>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</si>
  <si>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</si>
  <si>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</si>
  <si>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</si>
  <si>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</si>
  <si>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</si>
  <si>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</si>
  <si>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</si>
  <si>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</si>
  <si>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</si>
  <si>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</si>
  <si>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</si>
  <si>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</si>
  <si>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</si>
  <si>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</si>
  <si>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</si>
  <si>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</si>
  <si>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</si>
  <si>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</si>
  <si>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</si>
  <si>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</si>
  <si>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</si>
  <si>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</si>
  <si>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</si>
  <si>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</si>
  <si>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</si>
  <si>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</si>
  <si>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</si>
  <si>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</si>
  <si>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</si>
  <si>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</si>
  <si>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</si>
  <si>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</si>
  <si>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</si>
  <si>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</si>
  <si>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</si>
  <si>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</si>
  <si>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</si>
  <si>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</si>
  <si>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</si>
  <si>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</si>
  <si>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</si>
  <si>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</si>
  <si>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</si>
  <si>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</si>
  <si>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</si>
  <si>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</si>
  <si>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</si>
  <si>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</si>
  <si>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</si>
  <si>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</si>
  <si>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</si>
  <si>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</si>
  <si>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</si>
  <si>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</si>
  <si>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</si>
  <si>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</si>
  <si>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</si>
  <si>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</si>
  <si>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</si>
  <si>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</si>
  <si>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</si>
  <si>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</si>
  <si>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</si>
  <si>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</si>
  <si>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</si>
  <si>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</si>
  <si>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</si>
  <si>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</si>
  <si>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</si>
  <si>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</si>
  <si>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</si>
  <si>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</si>
  <si>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</si>
  <si>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</si>
  <si>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</si>
  <si>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</si>
  <si>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</si>
  <si>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</si>
  <si>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</si>
  <si>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</si>
  <si>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</si>
  <si>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</si>
  <si>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</si>
  <si>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</si>
  <si>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</si>
  <si>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</si>
  <si>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</si>
  <si>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</si>
  <si>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</si>
  <si>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</si>
  <si>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</si>
  <si>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</si>
  <si>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</si>
  <si>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</si>
  <si>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</si>
  <si>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</si>
  <si>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</si>
  <si>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</si>
  <si>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</si>
  <si>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</si>
  <si>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</si>
  <si>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</si>
  <si>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</si>
  <si>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</si>
  <si>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</si>
  <si>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</si>
  <si>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</si>
  <si>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</si>
  <si>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</si>
  <si>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</si>
  <si>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</si>
  <si>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</si>
  <si>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</si>
  <si>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</si>
  <si>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</si>
  <si>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</si>
  <si>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</si>
  <si>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</si>
  <si>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</si>
  <si>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</si>
  <si>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</si>
  <si>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</si>
  <si>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</si>
  <si>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</si>
  <si>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</si>
  <si>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</si>
  <si>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</si>
  <si>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</si>
  <si>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</si>
  <si>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</si>
  <si>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</si>
  <si>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</si>
  <si>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</si>
  <si>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</si>
  <si>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</si>
  <si>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</si>
  <si>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</si>
  <si>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</si>
  <si>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</si>
  <si>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</si>
  <si>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</si>
  <si>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</si>
  <si>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</si>
  <si>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</si>
  <si>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</si>
  <si>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</si>
  <si>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</si>
  <si>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</si>
  <si>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</si>
  <si>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</si>
  <si>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</si>
  <si>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</si>
  <si>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</si>
  <si>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</si>
  <si>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</si>
  <si>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</si>
  <si>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</si>
  <si>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</si>
  <si>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</si>
  <si>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</si>
  <si>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</si>
  <si>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</si>
  <si>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</si>
  <si>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</si>
  <si>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</si>
  <si>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</si>
  <si>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</si>
  <si>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</si>
  <si>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</si>
  <si>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</si>
  <si>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</si>
  <si>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</si>
  <si>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</si>
  <si>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</si>
  <si>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</si>
  <si>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</si>
  <si>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</si>
  <si>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</si>
  <si>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</si>
  <si>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</si>
  <si>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</si>
  <si>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</si>
  <si>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</si>
  <si>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</si>
  <si>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</si>
  <si>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</si>
  <si>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</si>
  <si>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</si>
  <si>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</si>
  <si>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</si>
  <si>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</si>
  <si>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</si>
  <si>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</si>
  <si>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</si>
  <si>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</si>
  <si>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</si>
  <si>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</si>
  <si>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</si>
  <si>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</si>
  <si>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</si>
  <si>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</si>
  <si>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</si>
  <si>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</si>
  <si>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</si>
  <si>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</si>
  <si>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</si>
  <si>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</si>
  <si>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</si>
  <si>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</si>
  <si>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</si>
  <si>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</si>
  <si>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</si>
  <si>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</si>
  <si>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</si>
  <si>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</si>
  <si>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</si>
  <si>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</si>
  <si>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</si>
  <si>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</si>
  <si>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</si>
  <si>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</si>
  <si>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</si>
  <si>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</si>
  <si>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</si>
  <si>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</si>
  <si>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</si>
  <si>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</si>
  <si>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</si>
  <si>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</si>
  <si>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</si>
  <si>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</si>
  <si>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</si>
  <si>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</si>
  <si>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</si>
  <si>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</si>
  <si>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</si>
  <si>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</si>
  <si>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</si>
  <si>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</si>
  <si>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</si>
  <si>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</si>
  <si>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</si>
  <si>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</si>
  <si>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</si>
  <si>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</si>
  <si>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</si>
  <si>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</si>
  <si>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</si>
  <si>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</si>
  <si>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</si>
  <si>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</si>
  <si>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</si>
  <si>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</si>
  <si>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</si>
  <si>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</si>
  <si>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</si>
  <si>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</si>
  <si>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</si>
  <si>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</si>
  <si>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</si>
  <si>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</si>
  <si>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</si>
  <si>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</si>
  <si>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</si>
  <si>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</si>
  <si>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</si>
  <si>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</si>
  <si>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</si>
  <si>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</si>
  <si>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</si>
  <si>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</si>
  <si>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</si>
  <si>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</si>
  <si>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</si>
  <si>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</si>
  <si>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</si>
  <si>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</si>
  <si>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</si>
  <si>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</si>
  <si>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</si>
  <si>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</si>
  <si>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</si>
  <si>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</si>
  <si>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</si>
  <si>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</si>
  <si>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</si>
  <si>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</si>
  <si>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</si>
  <si>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</si>
  <si>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</si>
  <si>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</si>
  <si>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</si>
  <si>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</si>
  <si>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</si>
  <si>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</si>
  <si>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</si>
  <si>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</si>
  <si>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</si>
  <si>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</si>
  <si>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</si>
  <si>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</si>
  <si>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</si>
  <si>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</si>
  <si>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</si>
  <si>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</si>
  <si>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</si>
  <si>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</si>
  <si>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</si>
  <si>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</si>
  <si>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</si>
  <si>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</si>
  <si>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</si>
  <si>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</si>
  <si>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</si>
  <si>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</si>
  <si>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</si>
  <si>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</si>
  <si>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</si>
  <si>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</si>
  <si>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</si>
  <si>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</si>
  <si>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</si>
  <si>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</si>
  <si>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</si>
  <si>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</si>
  <si>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</si>
  <si>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</si>
  <si>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</si>
  <si>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</si>
  <si>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</si>
  <si>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</si>
  <si>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</si>
  <si>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</si>
  <si>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</si>
  <si>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</si>
  <si>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</si>
  <si>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</si>
  <si>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</si>
  <si>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</si>
  <si>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</si>
  <si>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</si>
  <si>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</si>
  <si>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</si>
  <si>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</si>
  <si>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</si>
  <si>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</si>
  <si>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</si>
  <si>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</si>
  <si>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</si>
  <si>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</si>
  <si>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</si>
  <si>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</si>
  <si>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</si>
  <si>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</si>
  <si>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</si>
  <si>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</si>
  <si>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</si>
  <si>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</si>
  <si>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</si>
  <si>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</si>
  <si>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</si>
  <si>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</si>
  <si>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</si>
  <si>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</si>
  <si>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</si>
  <si>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</si>
  <si>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</si>
  <si>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</si>
  <si>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</si>
  <si>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</si>
  <si>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</si>
  <si>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</si>
  <si>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</si>
  <si>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</si>
  <si>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</si>
  <si>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</si>
  <si>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</si>
  <si>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</si>
  <si>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</si>
  <si>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</si>
  <si>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</si>
  <si>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</si>
  <si>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</si>
  <si>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</si>
  <si>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</si>
  <si>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</si>
  <si>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</si>
  <si>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</si>
  <si>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</si>
  <si>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</si>
  <si>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</si>
  <si>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</si>
  <si>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</si>
  <si>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</si>
  <si>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</si>
  <si>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</si>
  <si>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</si>
  <si>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</si>
  <si>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</si>
  <si>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</si>
  <si>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</si>
  <si>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</si>
  <si>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</si>
  <si>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</si>
  <si>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</si>
  <si>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</si>
  <si>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</si>
  <si>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</si>
  <si>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</si>
  <si>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</si>
  <si>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</si>
  <si>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</si>
  <si>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</si>
  <si>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</si>
  <si>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</si>
  <si>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</si>
  <si>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</si>
  <si>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</si>
  <si>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</si>
  <si>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</si>
  <si>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</si>
  <si>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</si>
  <si>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</si>
  <si>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</si>
  <si>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</si>
  <si>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</si>
  <si>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</si>
  <si>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</si>
  <si>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</si>
  <si>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</si>
  <si>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</si>
  <si>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</si>
  <si>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</si>
  <si>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</si>
  <si>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</si>
  <si>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</si>
  <si>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</si>
  <si>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</si>
  <si>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</si>
  <si>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</si>
  <si>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</si>
  <si>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</si>
  <si>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</si>
  <si>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</si>
  <si>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</si>
  <si>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</si>
  <si>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</si>
  <si>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</si>
  <si>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</si>
  <si>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</si>
  <si>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</si>
  <si>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</si>
  <si>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</si>
  <si>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</si>
  <si>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</si>
  <si>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</si>
  <si>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</si>
  <si>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</si>
  <si>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</si>
  <si>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</si>
  <si>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</si>
  <si>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</si>
  <si>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</si>
  <si>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</si>
  <si>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</si>
  <si>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</si>
  <si>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</si>
  <si>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</si>
  <si>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</si>
  <si>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</si>
  <si>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</si>
  <si>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</si>
  <si>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</si>
  <si>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</si>
  <si>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</si>
  <si>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</si>
  <si>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</si>
  <si>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</si>
  <si>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</si>
  <si>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</si>
  <si>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</si>
  <si>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</si>
  <si>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</si>
  <si>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</si>
  <si>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</si>
  <si>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</si>
  <si>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</si>
  <si>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</si>
  <si>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</si>
  <si>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</si>
  <si>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</si>
  <si>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</si>
  <si>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</si>
  <si>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</si>
  <si>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</si>
  <si>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</si>
  <si>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</si>
  <si>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</si>
  <si>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</si>
  <si>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</si>
  <si>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</si>
  <si>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</si>
  <si>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</si>
  <si>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</si>
  <si>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</si>
  <si>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</si>
  <si>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</si>
  <si>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</si>
  <si>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</si>
  <si>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</si>
  <si>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</si>
  <si>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</si>
  <si>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</si>
  <si>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</si>
  <si>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</si>
  <si>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</si>
  <si>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</si>
  <si>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</si>
  <si>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</si>
  <si>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</si>
  <si>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</si>
  <si>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</si>
  <si>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</si>
  <si>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</si>
  <si>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</si>
  <si>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</si>
  <si>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</si>
  <si>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</si>
  <si>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</si>
  <si>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</si>
  <si>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</si>
  <si>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</si>
  <si>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</si>
  <si>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</si>
  <si>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</si>
  <si>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</si>
  <si>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</si>
  <si>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</si>
  <si>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</si>
  <si>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</si>
  <si>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</si>
  <si>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</si>
  <si>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</si>
  <si>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</si>
  <si>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</si>
  <si>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</si>
  <si>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</si>
  <si>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</si>
  <si>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</si>
  <si>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</si>
  <si>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</si>
  <si>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</si>
  <si>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</si>
  <si>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</si>
  <si>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</si>
  <si>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</si>
  <si>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</si>
  <si>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</si>
  <si>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</si>
  <si>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</si>
  <si>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</si>
  <si>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</si>
  <si>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</si>
  <si>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</si>
  <si>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</si>
  <si>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</si>
  <si>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</si>
  <si>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</si>
  <si>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</si>
  <si>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</si>
  <si>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</si>
  <si>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</si>
  <si>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</si>
  <si>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</si>
  <si>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</si>
  <si>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</si>
  <si>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</si>
  <si>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</si>
  <si>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</si>
  <si>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</si>
  <si>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</si>
  <si>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</si>
  <si>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</si>
  <si>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</si>
  <si>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</si>
  <si>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</si>
  <si>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</si>
  <si>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</si>
  <si>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</si>
  <si>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</si>
  <si>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</si>
  <si>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</si>
  <si>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</si>
  <si>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</si>
  <si>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</si>
  <si>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</si>
  <si>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</si>
  <si>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</si>
  <si>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</si>
  <si>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</si>
  <si>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</si>
  <si>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</si>
  <si>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</si>
  <si>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</si>
  <si>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</si>
  <si>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</si>
  <si>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</si>
  <si>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</si>
  <si>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</si>
  <si>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</si>
  <si>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</si>
  <si>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</si>
  <si>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</si>
  <si>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</si>
  <si>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</si>
  <si>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</si>
  <si>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</si>
  <si>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</si>
  <si>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</si>
  <si>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</si>
  <si>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</si>
  <si>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</si>
  <si>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</si>
  <si>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</si>
  <si>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</si>
  <si>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</si>
  <si>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</si>
  <si>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</si>
  <si>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</si>
  <si>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</si>
  <si>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</si>
  <si>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</si>
  <si>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</si>
  <si>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</si>
  <si>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</si>
  <si>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</si>
  <si>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</si>
  <si>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</si>
  <si>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</si>
  <si>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</si>
  <si>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</si>
  <si>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</si>
  <si>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</si>
  <si>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</si>
  <si>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</si>
  <si>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</si>
  <si>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</si>
  <si>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</si>
  <si>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</si>
  <si>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</si>
  <si>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</si>
  <si>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</si>
  <si>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</si>
  <si>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</si>
  <si>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</si>
  <si>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</si>
  <si>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</si>
  <si>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</si>
  <si>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</si>
  <si>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</si>
  <si>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</si>
  <si>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</si>
  <si>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</si>
  <si>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</si>
  <si>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</si>
  <si>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</si>
  <si>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</si>
  <si>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</si>
  <si>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</si>
  <si>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</si>
  <si>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</si>
  <si>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</si>
  <si>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</si>
  <si>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</si>
  <si>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</si>
  <si>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</si>
  <si>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</si>
  <si>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</si>
  <si>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</si>
  <si>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</si>
  <si>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</si>
  <si>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</si>
  <si>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</si>
  <si>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</si>
  <si>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</si>
  <si>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</si>
  <si>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</si>
  <si>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</si>
  <si>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</si>
  <si>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</si>
  <si>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</si>
  <si>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</si>
  <si>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</si>
  <si>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</si>
  <si>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</si>
  <si>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</si>
  <si>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</si>
  <si>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</si>
  <si>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</si>
  <si>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</si>
  <si>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</si>
  <si>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</si>
  <si>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</si>
  <si>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</si>
  <si>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</si>
  <si>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</si>
  <si>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</si>
  <si>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</si>
  <si>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</si>
  <si>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</si>
  <si>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</si>
  <si>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</si>
  <si>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</si>
  <si>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</si>
  <si>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</si>
  <si>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</si>
  <si>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</si>
  <si>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</si>
  <si>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</si>
  <si>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</si>
  <si>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</si>
  <si>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</si>
  <si>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</si>
  <si>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</si>
  <si>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</si>
  <si>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</si>
  <si>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</si>
  <si>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</si>
  <si>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</si>
  <si>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</si>
  <si>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</si>
  <si>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</si>
  <si>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</si>
  <si>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</si>
  <si>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</si>
  <si>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</si>
  <si>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</si>
  <si>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</si>
  <si>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</si>
  <si>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</si>
  <si>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</si>
  <si>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</si>
  <si>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</si>
  <si>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</si>
  <si>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</si>
  <si>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</si>
  <si>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</si>
  <si>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</si>
  <si>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</si>
  <si>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</si>
  <si>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</si>
  <si>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</si>
  <si>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</si>
  <si>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</si>
  <si>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</si>
  <si>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</si>
  <si>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</si>
  <si>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</si>
  <si>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</si>
  <si>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</si>
  <si>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</si>
  <si>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</si>
  <si>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</si>
  <si>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</si>
  <si>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</si>
  <si>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</si>
  <si>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</si>
  <si>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</si>
  <si>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</si>
  <si>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</si>
  <si>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</si>
  <si>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</si>
  <si>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</si>
  <si>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</si>
  <si>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</si>
  <si>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</si>
  <si>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</si>
  <si>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</si>
  <si>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</si>
  <si>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</si>
  <si>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</si>
  <si>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</si>
  <si>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</si>
  <si>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</si>
  <si>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</si>
  <si>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</si>
  <si>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</si>
  <si>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</si>
  <si>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</si>
  <si>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</si>
  <si>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</si>
  <si>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</si>
  <si>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</si>
  <si>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</si>
  <si>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</si>
  <si>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</si>
  <si>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</si>
  <si>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</si>
  <si>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</si>
  <si>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</si>
  <si>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</si>
  <si>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</si>
  <si>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</si>
  <si>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</si>
  <si>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</si>
  <si>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</si>
  <si>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</si>
  <si>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</si>
  <si>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</si>
  <si>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</si>
  <si>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</si>
  <si>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</si>
  <si>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</si>
  <si>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</si>
  <si>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</si>
  <si>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</si>
  <si>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</si>
  <si>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</si>
  <si>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</si>
  <si>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</si>
  <si>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</si>
  <si>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</si>
  <si>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</si>
  <si>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</si>
  <si>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</si>
  <si>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</si>
  <si>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</si>
  <si>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</si>
  <si>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</si>
  <si>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</si>
  <si>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</si>
  <si>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</si>
  <si>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</si>
  <si>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</si>
  <si>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</si>
  <si>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</si>
  <si>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</si>
  <si>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</si>
  <si>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</si>
  <si>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</si>
  <si>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</si>
  <si>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</si>
  <si>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</si>
  <si>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</si>
  <si>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</si>
  <si>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</si>
  <si>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</si>
  <si>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</si>
  <si>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</si>
  <si>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</si>
  <si>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</si>
  <si>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</si>
  <si>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</si>
  <si>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</si>
  <si>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</si>
  <si>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</si>
  <si>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</si>
  <si>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</si>
  <si>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</si>
  <si>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</si>
  <si>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</si>
  <si>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</si>
  <si>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</si>
  <si>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</si>
  <si>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</si>
  <si>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</si>
  <si>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</si>
  <si>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</si>
  <si>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</si>
  <si>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</si>
  <si>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</si>
  <si>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</si>
  <si>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</si>
  <si>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</si>
  <si>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</si>
  <si>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</si>
  <si>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</si>
  <si>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</si>
  <si>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</si>
  <si>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</si>
  <si>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</si>
  <si>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</si>
  <si>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</si>
  <si>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</si>
  <si>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</si>
  <si>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</si>
  <si>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</si>
  <si>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</si>
  <si>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</si>
  <si>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</si>
  <si>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</si>
  <si>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</si>
  <si>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</si>
  <si>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</si>
  <si>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</si>
  <si>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</si>
  <si>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</si>
  <si>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</si>
  <si>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</si>
  <si>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</si>
  <si>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</si>
  <si>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</si>
  <si>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</si>
  <si>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</si>
  <si>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</si>
  <si>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</si>
  <si>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</si>
  <si>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</si>
  <si>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</si>
  <si>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</si>
  <si>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</si>
  <si>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</si>
  <si>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</si>
  <si>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</si>
  <si>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</si>
  <si>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</si>
  <si>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</si>
  <si>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</si>
  <si>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</si>
  <si>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</si>
  <si>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</si>
  <si>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</si>
  <si>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</si>
  <si>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</si>
  <si>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</si>
  <si>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</si>
  <si>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</si>
  <si>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</si>
  <si>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</si>
  <si>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</si>
  <si>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</si>
  <si>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</si>
  <si>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</si>
  <si>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</si>
  <si>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</si>
  <si>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</si>
  <si>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</si>
  <si>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</si>
  <si>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</si>
  <si>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</si>
  <si>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</si>
  <si>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</si>
  <si>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</si>
  <si>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</si>
  <si>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</si>
  <si>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</si>
  <si>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</si>
  <si>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</si>
  <si>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</si>
  <si>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</si>
  <si>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</si>
  <si>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</si>
  <si>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</si>
  <si>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</si>
  <si>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</si>
  <si>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</si>
  <si>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</si>
  <si>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</si>
  <si>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</si>
  <si>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</si>
  <si>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</si>
  <si>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</si>
  <si>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</si>
  <si>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</si>
  <si>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</si>
  <si>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</si>
  <si>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</si>
  <si>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</si>
  <si>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</si>
  <si>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</si>
  <si>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</si>
  <si>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</si>
  <si>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</si>
  <si>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</si>
  <si>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</si>
  <si>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</si>
  <si>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</si>
  <si>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</si>
  <si>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</si>
  <si>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</si>
  <si>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</si>
  <si>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</si>
  <si>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</si>
  <si>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</si>
  <si>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</si>
  <si>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</si>
  <si>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</si>
  <si>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</si>
  <si>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</si>
  <si>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</si>
  <si>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</si>
  <si>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</si>
  <si>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</si>
  <si>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</si>
  <si>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</si>
  <si>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</si>
  <si>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</si>
  <si>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</si>
  <si>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</si>
  <si>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</si>
  <si>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</si>
  <si>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</si>
  <si>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</si>
  <si>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</si>
  <si>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</si>
  <si>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</si>
  <si>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</si>
  <si>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</si>
  <si>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</si>
  <si>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</si>
  <si>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</si>
  <si>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</si>
  <si>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</si>
  <si>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</si>
  <si>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</si>
  <si>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</si>
  <si>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</si>
  <si>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</si>
  <si>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</si>
  <si>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</si>
  <si>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</si>
  <si>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</si>
  <si>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</si>
  <si>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</si>
  <si>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</si>
  <si>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</si>
  <si>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</si>
  <si>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</si>
  <si>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</si>
  <si>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</si>
  <si>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</si>
  <si>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</si>
  <si>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</si>
  <si>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</si>
  <si>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</si>
  <si>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</si>
  <si>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</si>
  <si>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</si>
  <si>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</si>
  <si>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</si>
  <si>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</si>
  <si>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</si>
  <si>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</si>
  <si>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</si>
  <si>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</si>
  <si>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</si>
  <si>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</si>
  <si>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</si>
  <si>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</si>
  <si>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</si>
  <si>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</si>
  <si>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</si>
  <si>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</si>
  <si>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</si>
  <si>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</si>
  <si>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</si>
  <si>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</si>
  <si>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</si>
  <si>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</si>
  <si>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</si>
  <si>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</si>
  <si>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</si>
  <si>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</si>
  <si>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</si>
  <si>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</si>
  <si>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</si>
  <si>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</si>
  <si>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</si>
  <si>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</si>
  <si>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</si>
  <si>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</si>
  <si>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</si>
  <si>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</si>
  <si>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</si>
  <si>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</si>
  <si>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</si>
  <si>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</si>
  <si>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</si>
  <si>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</si>
  <si>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</si>
  <si>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</si>
  <si>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</si>
  <si>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</si>
  <si>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</si>
  <si>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</si>
  <si>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</si>
  <si>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</si>
  <si>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</si>
  <si>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</si>
  <si>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</si>
  <si>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</si>
  <si>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</si>
  <si>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</si>
  <si>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</si>
  <si>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</si>
  <si>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</si>
  <si>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</si>
  <si>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</si>
  <si>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</si>
  <si>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</si>
  <si>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</si>
  <si>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</si>
  <si>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</si>
  <si>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</si>
  <si>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</si>
  <si>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华远企业号</t>
    <phoneticPr fontId="3" type="noConversion"/>
  </si>
  <si>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</si>
  <si>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</si>
  <si>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</si>
  <si>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</si>
  <si>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</si>
  <si>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</si>
  <si>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</si>
  <si>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</si>
  <si>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</si>
  <si>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</si>
  <si>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</si>
  <si>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</si>
  <si>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</si>
  <si>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</si>
  <si>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</si>
  <si>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</si>
  <si>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</si>
  <si>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</si>
  <si>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</si>
  <si>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</si>
  <si>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</si>
  <si>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</si>
  <si>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</si>
  <si>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</si>
  <si>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</si>
  <si>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</si>
  <si>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</si>
  <si>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</si>
  <si>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</si>
  <si>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</si>
  <si>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</si>
  <si>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</si>
  <si>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</si>
  <si>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</si>
  <si>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</si>
  <si>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</si>
  <si>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</si>
  <si>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</si>
  <si>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</si>
  <si>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</si>
  <si>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</si>
  <si>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</si>
  <si>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</si>
  <si>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</si>
  <si>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</si>
  <si>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</si>
  <si>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</si>
  <si>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</si>
  <si>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</si>
  <si>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</si>
  <si>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</si>
  <si>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</si>
  <si>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</si>
  <si>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</si>
  <si>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</si>
  <si>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</si>
  <si>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</si>
  <si>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</si>
  <si>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</si>
  <si>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</si>
  <si>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</si>
  <si>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</si>
  <si>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</si>
  <si>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</si>
  <si>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</si>
  <si>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</si>
  <si>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</si>
  <si>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</si>
  <si>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</si>
  <si>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</si>
  <si>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</si>
  <si>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</si>
  <si>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</si>
  <si>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</si>
  <si>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</si>
  <si>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</si>
  <si>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</si>
  <si>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</si>
  <si>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</si>
  <si>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</si>
  <si>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</si>
  <si>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</si>
  <si>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</si>
  <si>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品阁公寓</t>
    <phoneticPr fontId="30" type="noConversion"/>
  </si>
  <si>
    <t>新街口西里一区</t>
    <phoneticPr fontId="30" type="noConversion"/>
  </si>
  <si>
    <t>新兴中巷</t>
    <phoneticPr fontId="30" type="noConversion"/>
  </si>
  <si>
    <t>超高</t>
  </si>
  <si>
    <t>超高</t>
    <phoneticPr fontId="30" type="noConversion"/>
  </si>
  <si>
    <t>超高</t>
    <phoneticPr fontId="30" type="noConversion"/>
  </si>
  <si>
    <t>标准</t>
    <phoneticPr fontId="30" type="noConversion"/>
  </si>
  <si>
    <t>北京市</t>
  </si>
  <si>
    <t>企业</t>
  </si>
  <si>
    <t>2022年</t>
    <phoneticPr fontId="134" type="noConversion"/>
  </si>
  <si>
    <t>2023年</t>
    <phoneticPr fontId="134" type="noConversion"/>
  </si>
  <si>
    <t>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</si>
</sst>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pplyAlignment="1">
      <alignment horizontal="left" vertical="center"/>
    </xf>
    <xf numFmtId="1" fontId="95" fillId="0" borderId="0" xfId="10" applyNumberFormat="1" applyAlignment="1">
      <alignment horizontal="lef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95" fillId="0" borderId="0" xfId="17" applyNumberFormat="1" applyFont="1">
      <alignment vertical="center"/>
    </xf>
    <xf numFmtId="179" fontId="96" fillId="0" borderId="0" xfId="10" applyNumberFormat="1" applyFont="1">
      <alignment vertical="center"/>
    </xf>
    <xf numFmtId="0" fontId="96" fillId="0" borderId="0" xfId="10" applyFont="1">
      <alignment vertical="center"/>
    </xf>
    <xf numFmtId="177" fontId="269" fillId="0" borderId="1" xfId="8" applyNumberFormat="1"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t="str">
            <v>办公</v>
          </cell>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cell r="C62" t="str">
            <v>正常</v>
          </cell>
          <cell r="D62"/>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t="str">
            <v>高层建筑</v>
          </cell>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普装</v>
          </cell>
          <cell r="E108" t="str">
            <v>简装</v>
          </cell>
          <cell r="F108" t="str">
            <v>毛坯</v>
          </cell>
          <cell r="G108"/>
          <cell r="H108"/>
          <cell r="I108"/>
          <cell r="J108"/>
          <cell r="K108"/>
          <cell r="L108"/>
          <cell r="M108"/>
        </row>
        <row r="113">
          <cell r="B113" t="str">
            <v>写字楼等级</v>
          </cell>
          <cell r="C113" t="str">
            <v>甲级</v>
          </cell>
          <cell r="D113" t="str">
            <v>乙级</v>
          </cell>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精装修</v>
          </cell>
          <cell r="D123" t="str">
            <v>普装</v>
          </cell>
          <cell r="E123" t="str">
            <v>简装</v>
          </cell>
          <cell r="F123" t="str">
            <v>毛坯</v>
          </cell>
          <cell r="G123"/>
          <cell r="H123"/>
          <cell r="I123"/>
          <cell r="J123"/>
          <cell r="K123"/>
          <cell r="L123"/>
          <cell r="M123"/>
        </row>
      </sheetData>
      <sheetData sheetId="23"/>
      <sheetData sheetId="24"/>
      <sheetData sheetId="25"/>
      <sheetData sheetId="26"/>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5"/>
      <sheetData sheetId="36"/>
      <sheetData sheetId="37">
        <row r="5">
          <cell r="A5"/>
          <cell r="B5" t="str">
            <v>建筑类型</v>
          </cell>
          <cell r="C5" t="str">
            <v>标准写字楼</v>
          </cell>
          <cell r="D5" t="str">
            <v>高层建筑</v>
          </cell>
          <cell r="E5"/>
          <cell r="F5"/>
          <cell r="G5"/>
          <cell r="H5"/>
          <cell r="I5"/>
          <cell r="J5"/>
          <cell r="K5"/>
          <cell r="L5"/>
          <cell r="M5"/>
          <cell r="N5"/>
          <cell r="O5"/>
          <cell r="P5"/>
          <cell r="Q5"/>
          <cell r="R5"/>
          <cell r="S5"/>
          <cell r="T5">
            <v>3</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装修情况</v>
          </cell>
          <cell r="C7" t="str">
            <v>精装修</v>
          </cell>
          <cell r="D7" t="str">
            <v>普装</v>
          </cell>
          <cell r="E7" t="str">
            <v>简装</v>
          </cell>
          <cell r="F7" t="str">
            <v>毛坯</v>
          </cell>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高区</v>
          </cell>
          <cell r="D17" t="str">
            <v>中区</v>
          </cell>
          <cell r="E17" t="str">
            <v>低区</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8"/>
      <sheetData sheetId="39">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cell r="E92"/>
          <cell r="F92"/>
          <cell r="G92"/>
          <cell r="H92"/>
          <cell r="I92"/>
          <cell r="J92"/>
          <cell r="K92"/>
          <cell r="L92"/>
          <cell r="M92"/>
        </row>
        <row r="100">
          <cell r="B100" t="str">
            <v>商业类型</v>
          </cell>
          <cell r="C100" t="str">
            <v>配套商业</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六通</v>
          </cell>
          <cell r="D112"/>
          <cell r="E112"/>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2023年8月4日（评估专业人员实地查勘之日）</v>
      </c>
    </row>
    <row r="13" spans="1:2" s="1200" customFormat="1">
      <c r="A13" s="1198" t="s">
        <v>529</v>
      </c>
      <c r="B13" s="1199"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3487</v>
      </c>
      <c r="C19" s="1544"/>
    </row>
    <row r="20" spans="1:3">
      <c r="A20" s="1543" t="s">
        <v>1048</v>
      </c>
      <c r="B20" s="1543" t="s">
        <v>3488</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1" t="s">
        <v>385</v>
      </c>
      <c r="C54" s="1548" t="s">
        <v>583</v>
      </c>
    </row>
    <row r="55" spans="1:4">
      <c r="A55" s="3546"/>
      <c r="B55" s="1551" t="s">
        <v>386</v>
      </c>
      <c r="C55" s="1548" t="s">
        <v>584</v>
      </c>
    </row>
    <row r="56" spans="1:4">
      <c r="A56" s="3546"/>
      <c r="B56" s="1551" t="s">
        <v>387</v>
      </c>
      <c r="C56" s="1548" t="s">
        <v>588</v>
      </c>
    </row>
    <row r="57" spans="1:4">
      <c r="A57" s="354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7" t="s">
        <v>2579</v>
      </c>
      <c r="J2" s="3547"/>
      <c r="K2" s="3547"/>
      <c r="L2" s="3547"/>
      <c r="M2" s="3547"/>
      <c r="N2" s="3547"/>
      <c r="O2" s="3547"/>
      <c r="P2" s="3547"/>
      <c r="Q2" s="3547"/>
      <c r="R2" s="3547"/>
    </row>
    <row r="3" spans="1:18">
      <c r="A3" s="3015" t="s">
        <v>2500</v>
      </c>
      <c r="B3" s="3016">
        <f>项目基本情况!D3</f>
        <v>45142</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3.37</v>
      </c>
      <c r="D5" s="3020">
        <f>IF(ISERROR(ROUND(POWER(1+E5,A5-C5)*(POWER(1+E5,C5)-1)/(POWER(1+E5,A5)-1),3)),0,ROUND(POWER(1+E5,A5-C5)*(POWER(1+E5,C5)-1)/(POWER(1+E5,A5)-1),4))</f>
        <v>0.15640000000000001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13.38</v>
      </c>
      <c r="D6" s="3020">
        <f>IF(ISERROR(ROUND(POWER(1+E6,A6-C6)*(POWER(1+E6,C6)-1)/(POWER(1+E6,A6)-1),3)),0,ROUND(POWER(1+E6,A6-C6)*(POWER(1+E6,C6)-1)/(POWER(1+E6,A6)-1),4))</f>
        <v>0.47520000000000001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33.4</v>
      </c>
      <c r="D7" s="3020">
        <f>IF(ISERROR(ROUND(POWER(1+E7,A7-C7)*(POWER(1+E7,C7)-1)/(POWER(1+E7,A7)-1),3)),0,ROUND(POWER(1+E7,A7-C7)*(POWER(1+E7,C7)-1)/(POWER(1+E7,A7)-1),4))</f>
        <v>0.78029999999999999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45142</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59"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60"/>
      <c r="E9" s="2391" t="s">
        <v>43</v>
      </c>
      <c r="F9" s="2393"/>
      <c r="G9" s="2660"/>
      <c r="H9" s="2660"/>
      <c r="I9" s="2660"/>
      <c r="J9" s="2436"/>
      <c r="K9" s="2611"/>
      <c r="L9" s="2608"/>
      <c r="M9" s="2608"/>
      <c r="N9" s="2436"/>
      <c r="O9" s="2447"/>
      <c r="P9" s="2436"/>
      <c r="Q9" s="2436"/>
      <c r="R9" s="2436"/>
    </row>
    <row r="10" spans="1:30" ht="13.5" thickTop="1">
      <c r="A10" s="2394" t="s">
        <v>2178</v>
      </c>
      <c r="B10" s="2395" t="s">
        <v>3573</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3574</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20.6</v>
      </c>
      <c r="E15" s="2407">
        <f>IF(A13="出让",IF(E13="","",ROUNDDOWN(MIN((E13-$D$3)/365,E14),2)),E14)</f>
        <v>30.6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66"/>
      <c r="C16" s="3567"/>
      <c r="D16" s="3568"/>
      <c r="E16" s="2410" t="s">
        <v>2193</v>
      </c>
      <c r="F16" s="3569"/>
      <c r="G16" s="3570"/>
      <c r="H16" s="3570"/>
      <c r="I16" s="3571"/>
      <c r="J16" s="2436"/>
      <c r="K16" s="2612"/>
      <c r="L16" s="2448"/>
      <c r="M16" s="2448"/>
      <c r="N16" s="2504"/>
      <c r="O16" s="2448"/>
      <c r="P16" s="2504"/>
      <c r="Q16" s="2436"/>
      <c r="R16" s="2436"/>
    </row>
    <row r="17" spans="1:28">
      <c r="A17" s="313" t="s">
        <v>2194</v>
      </c>
      <c r="B17" s="302" t="s">
        <v>2195</v>
      </c>
      <c r="C17" s="8">
        <f>'数据-汇总表'!E3</f>
        <v>616.89</v>
      </c>
      <c r="D17" s="2319" t="s">
        <v>2196</v>
      </c>
      <c r="E17" s="3572" t="s">
        <v>2197</v>
      </c>
      <c r="F17" s="3573"/>
      <c r="G17" s="3573"/>
      <c r="H17" s="3573"/>
      <c r="I17" s="3574"/>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75" t="s">
        <v>2201</v>
      </c>
      <c r="F18" s="3576"/>
      <c r="G18" s="3576"/>
      <c r="H18" s="3576"/>
      <c r="I18" s="3577"/>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62" t="s">
        <v>2205</v>
      </c>
      <c r="C20" s="3563"/>
      <c r="D20" s="3564" t="s">
        <v>2206</v>
      </c>
      <c r="E20" s="3565"/>
      <c r="F20" s="2642" t="s">
        <v>1056</v>
      </c>
      <c r="G20" s="2659"/>
      <c r="H20" s="2659"/>
      <c r="I20" s="2659"/>
      <c r="J20" s="2436"/>
      <c r="K20" s="3561"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61"/>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61"/>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9"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9"/>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9"/>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0"/>
      <c r="B30" s="302" t="s">
        <v>2217</v>
      </c>
      <c r="C30" s="3551"/>
      <c r="D30" s="3552"/>
      <c r="E30" s="2659"/>
      <c r="F30" s="2659"/>
      <c r="G30" s="2659"/>
      <c r="H30" s="2659"/>
      <c r="I30" s="2659"/>
      <c r="J30" s="2436"/>
      <c r="K30" s="2611"/>
      <c r="L30" s="2608"/>
      <c r="M30" s="2608"/>
      <c r="N30" s="2436"/>
      <c r="O30" s="2447"/>
      <c r="P30" s="2436"/>
      <c r="Q30" s="2436"/>
      <c r="R30" s="2436"/>
      <c r="S30" s="2436"/>
      <c r="T30" s="2436"/>
      <c r="U30" s="2436"/>
      <c r="V30" s="2436"/>
    </row>
    <row r="31" spans="1:28">
      <c r="A31" s="3553"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54"/>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54"/>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48" t="s">
        <v>2227</v>
      </c>
      <c r="T34" s="2425" t="str">
        <f>NUMBERSTRING(7-K34,1)&amp;"通"</f>
        <v>七通</v>
      </c>
      <c r="U34" s="2436"/>
      <c r="V34" s="2436"/>
    </row>
    <row r="35" spans="1:30">
      <c r="A35" s="2426"/>
      <c r="B35" s="3555" t="s">
        <v>2228</v>
      </c>
      <c r="C35" s="3555"/>
      <c r="D35" s="3555"/>
      <c r="E35" s="3555"/>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48"/>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分套价值!D31</f>
        <v>747.82882668999991</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46.297380579999988</v>
      </c>
      <c r="B13" s="1048"/>
      <c r="C13" s="1048" t="str">
        <f>分套价值!B2</f>
        <v>2单元107</v>
      </c>
      <c r="D13" s="1622" t="s">
        <v>3379</v>
      </c>
      <c r="E13" s="13">
        <f>IF($C$3="是",ROUND($A$3*G13/$B$3,2),ROUND($A$3*(G13-AT13)/$B$3,2))</f>
        <v>46.3</v>
      </c>
      <c r="F13" s="29"/>
      <c r="G13" s="30">
        <f>H13+AC13+AT13</f>
        <v>410.74</v>
      </c>
      <c r="H13" s="17">
        <f>SUMIF(I$12:AB$12,"总值",I13:AB13)</f>
        <v>410.74</v>
      </c>
      <c r="I13" s="1623">
        <f>分套价值!C2</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46.297380579999988</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23.236609549999997</v>
      </c>
      <c r="B14" s="1048"/>
      <c r="C14" s="1048" t="str">
        <f>分套价值!B3</f>
        <v>2单元109</v>
      </c>
      <c r="D14" s="1622" t="s">
        <v>3380</v>
      </c>
      <c r="E14" s="13">
        <f>IF($C$3="是",ROUND($A$3*G14/$B$3,2),ROUND($A$3*(G14-AT14)/$B$3,2))</f>
        <v>100.49</v>
      </c>
      <c r="F14" s="29"/>
      <c r="G14" s="30">
        <f>H14+AC14+AT14</f>
        <v>891.56</v>
      </c>
      <c r="H14" s="17">
        <f>SUMIF(I$12:AB$12,"总值",I14:AB14)</f>
        <v>891.56</v>
      </c>
      <c r="I14" s="1623">
        <f>分套价值!C3</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23.236609549999997</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分套价值!B4</f>
        <v>2单元115</v>
      </c>
      <c r="D15" s="1622" t="s">
        <v>3380</v>
      </c>
      <c r="E15" s="13">
        <f>IF($C$3="是",ROUND($A$3*G15/$B$3,2),ROUND($A$3*(G15-AT15)/$B$3,2))</f>
        <v>92.52</v>
      </c>
      <c r="F15" s="29"/>
      <c r="G15" s="30">
        <f>H15+AC15+AT15</f>
        <v>820.83</v>
      </c>
      <c r="H15" s="17">
        <f>SUMIF(I$12:AB$12,"总值",I15:AB15)</f>
        <v>820.83</v>
      </c>
      <c r="I15" s="1623">
        <f>分套价值!C4</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分套价值!B5</f>
        <v>2单元116</v>
      </c>
      <c r="D16" s="1622" t="s">
        <v>3380</v>
      </c>
      <c r="E16" s="13">
        <f>IF($C$3="是",ROUND($A$3*G16/$B$3,2),ROUND($A$3*(G16-AT16)/$B$3,2))</f>
        <v>12.86</v>
      </c>
      <c r="F16" s="29"/>
      <c r="G16" s="30">
        <f>H16+AC16+AT16</f>
        <v>114.12</v>
      </c>
      <c r="H16" s="17">
        <f>SUMIF(I$12:AB$12,"总值",I16:AB16)</f>
        <v>114.12</v>
      </c>
      <c r="I16" s="1623">
        <f>分套价值!C5</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分套价值!B6</f>
        <v>2单元120</v>
      </c>
      <c r="D17" s="1622" t="s">
        <v>3380</v>
      </c>
      <c r="E17" s="13">
        <f>IF($C$3="是",ROUND($A$3*G17/$B$3,2),ROUND($A$3*(G17-AT17)/$B$3,2))</f>
        <v>25.88</v>
      </c>
      <c r="F17" s="29"/>
      <c r="G17" s="30">
        <f>H17+AC17+AT17</f>
        <v>229.57</v>
      </c>
      <c r="H17" s="17">
        <f>SUMIF(I$12:AB$12,"总值",I17:AB17)</f>
        <v>229.57</v>
      </c>
      <c r="I17" s="1623">
        <f>分套价值!C6</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分套价值!B7</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分套价值!C7</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分套价值!B8</f>
        <v>2单元122</v>
      </c>
      <c r="D19" s="1622" t="s">
        <v>3380</v>
      </c>
      <c r="E19" s="32">
        <f t="shared" si="7"/>
        <v>65.319999999999993</v>
      </c>
      <c r="F19" s="33"/>
      <c r="G19" s="34">
        <f t="shared" si="8"/>
        <v>579.52</v>
      </c>
      <c r="H19" s="35">
        <f t="shared" si="9"/>
        <v>579.52</v>
      </c>
      <c r="I19" s="1623">
        <f>分套价值!C8</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分套价值!B9</f>
        <v>2单元123</v>
      </c>
      <c r="D20" s="1622" t="s">
        <v>3380</v>
      </c>
      <c r="E20" s="32">
        <f t="shared" si="7"/>
        <v>44.24</v>
      </c>
      <c r="F20" s="33"/>
      <c r="G20" s="34">
        <f t="shared" si="8"/>
        <v>392.45</v>
      </c>
      <c r="H20" s="35">
        <f t="shared" si="9"/>
        <v>392.45</v>
      </c>
      <c r="I20" s="1623">
        <f>分套价值!C9</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分套价值!B10</f>
        <v>2单元126</v>
      </c>
      <c r="D21" s="1622" t="s">
        <v>3380</v>
      </c>
      <c r="E21" s="32">
        <f t="shared" si="7"/>
        <v>14.64</v>
      </c>
      <c r="F21" s="33"/>
      <c r="G21" s="34">
        <f t="shared" si="8"/>
        <v>129.91</v>
      </c>
      <c r="H21" s="35">
        <f t="shared" si="9"/>
        <v>129.91</v>
      </c>
      <c r="I21" s="1623">
        <f>分套价值!C10</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分套价值!B11</f>
        <v>2单元127</v>
      </c>
      <c r="D22" s="1622" t="s">
        <v>3380</v>
      </c>
      <c r="E22" s="32">
        <f t="shared" si="7"/>
        <v>14.68</v>
      </c>
      <c r="F22" s="33"/>
      <c r="G22" s="34">
        <f t="shared" si="8"/>
        <v>130.21</v>
      </c>
      <c r="H22" s="35">
        <f t="shared" si="9"/>
        <v>130.21</v>
      </c>
      <c r="I22" s="1623">
        <f>分套价值!C11</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分套价值!B12</f>
        <v>2单元128</v>
      </c>
      <c r="D23" s="1622" t="s">
        <v>3380</v>
      </c>
      <c r="E23" s="32">
        <f t="shared" si="7"/>
        <v>24.77</v>
      </c>
      <c r="F23" s="33"/>
      <c r="G23" s="34">
        <f t="shared" si="8"/>
        <v>219.79</v>
      </c>
      <c r="H23" s="35">
        <f t="shared" si="9"/>
        <v>219.79</v>
      </c>
      <c r="I23" s="1623">
        <f>分套价值!C12</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分套价值!B13</f>
        <v>2单元129</v>
      </c>
      <c r="D24" s="1622" t="s">
        <v>3380</v>
      </c>
      <c r="E24" s="32">
        <f t="shared" si="7"/>
        <v>16.59</v>
      </c>
      <c r="F24" s="33"/>
      <c r="G24" s="34">
        <f t="shared" si="8"/>
        <v>147.19999999999999</v>
      </c>
      <c r="H24" s="35">
        <f t="shared" si="9"/>
        <v>147.19999999999999</v>
      </c>
      <c r="I24" s="1623">
        <f>分套价值!C13</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分套价值!B14</f>
        <v>2单元130</v>
      </c>
      <c r="D25" s="1622" t="s">
        <v>3380</v>
      </c>
      <c r="E25" s="32">
        <f t="shared" si="7"/>
        <v>24.94</v>
      </c>
      <c r="F25" s="33"/>
      <c r="G25" s="34">
        <f t="shared" si="8"/>
        <v>221.24</v>
      </c>
      <c r="H25" s="35">
        <f t="shared" si="9"/>
        <v>221.24</v>
      </c>
      <c r="I25" s="1623">
        <f>分套价值!C14</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分套价值!B15</f>
        <v>2单元131</v>
      </c>
      <c r="D26" s="1622" t="s">
        <v>3380</v>
      </c>
      <c r="E26" s="32">
        <f t="shared" si="7"/>
        <v>38.46</v>
      </c>
      <c r="F26" s="33"/>
      <c r="G26" s="34">
        <f t="shared" si="8"/>
        <v>341.21</v>
      </c>
      <c r="H26" s="35">
        <f t="shared" si="9"/>
        <v>341.21</v>
      </c>
      <c r="I26" s="1623">
        <f>分套价值!C15</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分套价值!B16</f>
        <v>2单元132</v>
      </c>
      <c r="D27" s="1622" t="s">
        <v>3380</v>
      </c>
      <c r="E27" s="32">
        <f t="shared" si="7"/>
        <v>11.84</v>
      </c>
      <c r="F27" s="33"/>
      <c r="G27" s="34">
        <f t="shared" si="8"/>
        <v>105.02</v>
      </c>
      <c r="H27" s="35">
        <f t="shared" si="9"/>
        <v>105.02</v>
      </c>
      <c r="I27" s="1623">
        <f>分套价值!C16</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分套价值!B17</f>
        <v>2单元133</v>
      </c>
      <c r="D28" s="1622" t="s">
        <v>3380</v>
      </c>
      <c r="E28" s="32">
        <f t="shared" si="7"/>
        <v>11.86</v>
      </c>
      <c r="F28" s="33"/>
      <c r="G28" s="34">
        <f t="shared" si="8"/>
        <v>105.26</v>
      </c>
      <c r="H28" s="35">
        <f t="shared" si="9"/>
        <v>105.26</v>
      </c>
      <c r="I28" s="1623">
        <f>分套价值!C17</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分套价值!B18</f>
        <v>2单元134</v>
      </c>
      <c r="D29" s="1622" t="s">
        <v>3380</v>
      </c>
      <c r="E29" s="32">
        <f t="shared" si="7"/>
        <v>6.33</v>
      </c>
      <c r="F29" s="33"/>
      <c r="G29" s="34">
        <f t="shared" si="8"/>
        <v>56.19</v>
      </c>
      <c r="H29" s="35">
        <f t="shared" si="9"/>
        <v>56.19</v>
      </c>
      <c r="I29" s="1623">
        <f>分套价值!C18</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分套价值!B19</f>
        <v>2单元150</v>
      </c>
      <c r="D30" s="1622" t="s">
        <v>3380</v>
      </c>
      <c r="E30" s="32">
        <f t="shared" si="7"/>
        <v>4.93</v>
      </c>
      <c r="F30" s="33"/>
      <c r="G30" s="34">
        <f t="shared" si="8"/>
        <v>43.73</v>
      </c>
      <c r="H30" s="35">
        <f t="shared" si="9"/>
        <v>43.73</v>
      </c>
      <c r="I30" s="1623">
        <f>分套价值!C19</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分套价值!B20</f>
        <v>3单元102</v>
      </c>
      <c r="D31" s="1622" t="s">
        <v>3380</v>
      </c>
      <c r="E31" s="32">
        <f t="shared" si="7"/>
        <v>31.28</v>
      </c>
      <c r="F31" s="33"/>
      <c r="G31" s="34">
        <f t="shared" si="8"/>
        <v>277.54000000000002</v>
      </c>
      <c r="H31" s="35">
        <f t="shared" si="9"/>
        <v>277.54000000000002</v>
      </c>
      <c r="I31" s="1623">
        <f>分套价值!C20</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分套价值!B22</f>
        <v>2单元301</v>
      </c>
      <c r="D32" s="1622" t="s">
        <v>3379</v>
      </c>
      <c r="E32" s="32">
        <f t="shared" si="7"/>
        <v>23.24</v>
      </c>
      <c r="F32" s="33"/>
      <c r="G32" s="34">
        <f t="shared" si="8"/>
        <v>206.15</v>
      </c>
      <c r="H32" s="35">
        <f t="shared" si="9"/>
        <v>206.15</v>
      </c>
      <c r="I32" s="36"/>
      <c r="J32" s="36"/>
      <c r="K32" s="36">
        <f>分套价值!C22</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分套价值!B23</f>
        <v>2单元302</v>
      </c>
      <c r="D33" s="1622" t="s">
        <v>3380</v>
      </c>
      <c r="E33" s="32">
        <f t="shared" si="7"/>
        <v>19.28</v>
      </c>
      <c r="F33" s="33"/>
      <c r="G33" s="34">
        <f t="shared" si="8"/>
        <v>171.04</v>
      </c>
      <c r="H33" s="35">
        <f t="shared" si="9"/>
        <v>171.04</v>
      </c>
      <c r="I33" s="36"/>
      <c r="J33" s="36"/>
      <c r="K33" s="36">
        <f>分套价值!C23</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分套价值!B24</f>
        <v>2单元303</v>
      </c>
      <c r="D34" s="1622" t="s">
        <v>3380</v>
      </c>
      <c r="E34" s="32">
        <f t="shared" si="7"/>
        <v>19.38</v>
      </c>
      <c r="F34" s="33"/>
      <c r="G34" s="34">
        <f t="shared" si="8"/>
        <v>171.97</v>
      </c>
      <c r="H34" s="35">
        <f t="shared" si="9"/>
        <v>171.97</v>
      </c>
      <c r="I34" s="36"/>
      <c r="J34" s="36"/>
      <c r="K34" s="36">
        <f>分套价值!C24</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分套价值!B25</f>
        <v>2单元321</v>
      </c>
      <c r="D35" s="1622" t="s">
        <v>3380</v>
      </c>
      <c r="E35" s="32">
        <f t="shared" si="7"/>
        <v>12.23</v>
      </c>
      <c r="F35" s="33"/>
      <c r="G35" s="34">
        <f t="shared" si="8"/>
        <v>108.47</v>
      </c>
      <c r="H35" s="35">
        <f t="shared" si="9"/>
        <v>108.47</v>
      </c>
      <c r="I35" s="36"/>
      <c r="J35" s="36"/>
      <c r="K35" s="36">
        <f>分套价值!C25</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分套价值!B26</f>
        <v>2单元322</v>
      </c>
      <c r="D36" s="1622" t="s">
        <v>3380</v>
      </c>
      <c r="E36" s="32">
        <f t="shared" si="7"/>
        <v>12.23</v>
      </c>
      <c r="F36" s="33"/>
      <c r="G36" s="34">
        <f t="shared" si="8"/>
        <v>108.47</v>
      </c>
      <c r="H36" s="35">
        <f t="shared" si="9"/>
        <v>108.47</v>
      </c>
      <c r="I36" s="36"/>
      <c r="J36" s="36"/>
      <c r="K36" s="36">
        <f>分套价值!C26</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分套价值!B27</f>
        <v>2单元323</v>
      </c>
      <c r="D37" s="1622" t="s">
        <v>3380</v>
      </c>
      <c r="E37" s="32">
        <f t="shared" si="7"/>
        <v>15.56</v>
      </c>
      <c r="F37" s="33"/>
      <c r="G37" s="34">
        <f t="shared" si="8"/>
        <v>138.01</v>
      </c>
      <c r="H37" s="35">
        <f t="shared" si="9"/>
        <v>138.01</v>
      </c>
      <c r="I37" s="36"/>
      <c r="J37" s="36"/>
      <c r="K37" s="36">
        <f>分套价值!C27</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分套价值!B28</f>
        <v>2单元325</v>
      </c>
      <c r="D38" s="1622" t="s">
        <v>3380</v>
      </c>
      <c r="E38" s="32">
        <f t="shared" si="7"/>
        <v>15.56</v>
      </c>
      <c r="F38" s="33"/>
      <c r="G38" s="34">
        <f t="shared" si="8"/>
        <v>138.01</v>
      </c>
      <c r="H38" s="35">
        <f t="shared" si="9"/>
        <v>138.01</v>
      </c>
      <c r="I38" s="36"/>
      <c r="J38" s="36"/>
      <c r="K38" s="36">
        <f>分套价值!C28</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分套价值!B29</f>
        <v>2单元326</v>
      </c>
      <c r="D39" s="1622" t="s">
        <v>3380</v>
      </c>
      <c r="E39" s="32">
        <f t="shared" si="7"/>
        <v>22.74</v>
      </c>
      <c r="F39" s="33"/>
      <c r="G39" s="34">
        <f t="shared" si="8"/>
        <v>201.75</v>
      </c>
      <c r="H39" s="35">
        <f t="shared" si="9"/>
        <v>201.75</v>
      </c>
      <c r="I39" s="36"/>
      <c r="J39" s="36"/>
      <c r="K39" s="36">
        <f>分套价值!C29</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7" t="s">
        <v>1131</v>
      </c>
      <c r="B2" s="3587"/>
      <c r="C2" s="3587"/>
      <c r="D2" s="793" t="s">
        <v>1107</v>
      </c>
      <c r="E2" s="1636" t="s">
        <v>1108</v>
      </c>
      <c r="F2" s="2654"/>
      <c r="G2" s="2645"/>
      <c r="H2" s="2646"/>
      <c r="I2" s="2322" t="s">
        <v>1132</v>
      </c>
      <c r="J2" s="2654"/>
      <c r="K2" s="2654"/>
      <c r="L2" s="2654"/>
      <c r="M2" s="2654"/>
      <c r="N2" s="2656"/>
      <c r="O2" s="2654"/>
      <c r="P2" s="2654"/>
    </row>
    <row r="3" spans="1:16" ht="15.75" thickBot="1">
      <c r="A3" s="3588" t="s">
        <v>1105</v>
      </c>
      <c r="B3" s="3588"/>
      <c r="C3" s="3588"/>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89"/>
      <c r="B4" s="3590"/>
      <c r="C4" s="3591"/>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92" t="s">
        <v>1110</v>
      </c>
      <c r="C5" s="3592"/>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92" t="s">
        <v>1111</v>
      </c>
      <c r="C6" s="3592"/>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4"/>
      <c r="B7" s="3585"/>
      <c r="C7" s="3586"/>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81" t="s">
        <v>1135</v>
      </c>
      <c r="L16" s="3582"/>
      <c r="M16" s="3582"/>
      <c r="N16" s="3582"/>
      <c r="O16" s="3582"/>
      <c r="P16" s="3583"/>
    </row>
    <row r="17" spans="1:19" ht="15">
      <c r="A17" s="1647" t="s">
        <v>1136</v>
      </c>
      <c r="B17" s="1648" t="s">
        <v>1137</v>
      </c>
      <c r="C17" s="1649" t="s">
        <v>1138</v>
      </c>
      <c r="D17" s="1650" t="s">
        <v>1126</v>
      </c>
      <c r="E17" s="1651" t="s">
        <v>1127</v>
      </c>
      <c r="F17" s="1652"/>
      <c r="G17" s="1653"/>
      <c r="H17" s="1654" t="s">
        <v>1139</v>
      </c>
      <c r="I17" s="1655" t="s">
        <v>1124</v>
      </c>
      <c r="J17" s="1136"/>
      <c r="K17" s="3578" t="s">
        <v>1140</v>
      </c>
      <c r="L17" s="3579"/>
      <c r="M17" s="3580"/>
      <c r="N17" s="3578" t="s">
        <v>1141</v>
      </c>
      <c r="O17" s="3579"/>
      <c r="P17" s="3580"/>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37" sqref="U3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45142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20.6</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20.6</v>
      </c>
      <c r="AF6" s="1345"/>
      <c r="AG6" s="138">
        <f>IF(AF6="",0,AE6-AF6)</f>
        <v>0</v>
      </c>
      <c r="AH6" s="3423">
        <f>K6</f>
        <v>410.74</v>
      </c>
      <c r="AI6" s="76">
        <v>365</v>
      </c>
      <c r="AJ6" s="77"/>
      <c r="AK6" s="78">
        <v>0.01</v>
      </c>
      <c r="AL6" s="79">
        <v>1.5E-3</v>
      </c>
      <c r="AM6" s="80">
        <v>0.01</v>
      </c>
      <c r="AN6" s="1712" t="s">
        <v>3432</v>
      </c>
      <c r="AO6" s="52">
        <f ca="1">SUMIF(INDIRECT("'"&amp;AN6&amp;"'"&amp;"!A:A"),"总价",INDIRECT("'"&amp;AN6&amp;"'"&amp;"!B:B"))</f>
        <v>1960.6797999999999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30.6</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30.6</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643.66079999999999</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3" t="s">
        <v>2281</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5"/>
  <sheetViews>
    <sheetView topLeftCell="A10" workbookViewId="0">
      <selection activeCell="F15" sqref="F15"/>
    </sheetView>
  </sheetViews>
  <sheetFormatPr defaultRowHeight="13.5"/>
  <cols>
    <col min="1" max="1" width="9" style="3477"/>
    <col min="2" max="2" width="13" style="3477" customWidth="1"/>
    <col min="3" max="3" width="14.25" style="3477" customWidth="1"/>
    <col min="4" max="4" width="15.375" style="3477" customWidth="1"/>
    <col min="5" max="5" width="19.25" style="3477" bestFit="1" customWidth="1"/>
    <col min="6" max="6" width="17.5" style="3477" customWidth="1"/>
    <col min="7" max="7" width="15" style="3477" customWidth="1"/>
    <col min="8" max="12" width="9" style="3477"/>
    <col min="13" max="13" width="10.5" style="3477" bestFit="1" customWidth="1"/>
    <col min="14" max="16384" width="9" style="3477"/>
  </cols>
  <sheetData>
    <row r="1" spans="1:13">
      <c r="A1" s="3475" t="s">
        <v>3387</v>
      </c>
      <c r="B1" s="3475" t="s">
        <v>3388</v>
      </c>
      <c r="C1" s="3475" t="s">
        <v>3389</v>
      </c>
      <c r="D1" s="3476" t="s">
        <v>3390</v>
      </c>
      <c r="E1" s="3476" t="s">
        <v>3565</v>
      </c>
      <c r="F1" s="3476" t="s">
        <v>3391</v>
      </c>
      <c r="G1" s="3476" t="s">
        <v>3392</v>
      </c>
      <c r="H1" s="3476"/>
      <c r="I1" s="3476"/>
      <c r="J1" s="3476"/>
      <c r="K1" s="3476" t="s">
        <v>3575</v>
      </c>
      <c r="L1" s="3476" t="s">
        <v>3576</v>
      </c>
    </row>
    <row r="2" spans="1:13">
      <c r="A2" s="3478">
        <v>1</v>
      </c>
      <c r="B2" s="3478" t="s">
        <v>3393</v>
      </c>
      <c r="C2" s="3481">
        <v>410.74</v>
      </c>
      <c r="D2" s="3482">
        <v>46.297380580000002</v>
      </c>
      <c r="E2" s="3479">
        <v>3049</v>
      </c>
      <c r="F2" s="3479">
        <f ca="1">典型户型修正商!S24</f>
        <v>3083</v>
      </c>
      <c r="G2" s="3479" t="s">
        <v>673</v>
      </c>
      <c r="H2" s="3479" t="s">
        <v>3490</v>
      </c>
      <c r="I2" s="3479" t="s">
        <v>3491</v>
      </c>
      <c r="J2" s="3479" t="s">
        <v>3495</v>
      </c>
      <c r="K2" s="3479">
        <f>E2/C2*10000</f>
        <v>74231.874178312311</v>
      </c>
      <c r="L2" s="3479">
        <f ca="1">F2/C2*10000</f>
        <v>75059.648439402052</v>
      </c>
      <c r="M2" s="3849">
        <f ca="1">(L2-K2)/K2</f>
        <v>1.1151197113807805E-2</v>
      </c>
    </row>
    <row r="3" spans="1:13">
      <c r="A3" s="3478">
        <v>2</v>
      </c>
      <c r="B3" s="3478" t="s">
        <v>3394</v>
      </c>
      <c r="C3" s="3481">
        <v>891.56</v>
      </c>
      <c r="D3" s="3482">
        <v>100.49396852</v>
      </c>
      <c r="E3" s="3479">
        <v>6551</v>
      </c>
      <c r="F3" s="3479">
        <f ca="1">典型户型修正商!S25</f>
        <v>6105</v>
      </c>
      <c r="G3" s="3479" t="s">
        <v>673</v>
      </c>
      <c r="H3" s="3479" t="s">
        <v>3490</v>
      </c>
      <c r="I3" s="3479" t="s">
        <v>3492</v>
      </c>
      <c r="J3" s="3479" t="s">
        <v>3493</v>
      </c>
      <c r="K3" s="3479">
        <f t="shared" ref="K3:K29" si="0">E3/C3*10000</f>
        <v>73477.94876396429</v>
      </c>
      <c r="L3" s="3479">
        <f t="shared" ref="L3:L29" ca="1" si="1">F3/C3*10000</f>
        <v>68475.481179056937</v>
      </c>
      <c r="M3" s="3849">
        <f t="shared" ref="M3:M20" ca="1" si="2">(L3-K3)/K3</f>
        <v>-6.8081208975728905E-2</v>
      </c>
    </row>
    <row r="4" spans="1:13">
      <c r="A4" s="3478">
        <v>3</v>
      </c>
      <c r="B4" s="3478" t="s">
        <v>3395</v>
      </c>
      <c r="C4" s="3481">
        <v>820.83</v>
      </c>
      <c r="D4" s="3482">
        <v>92.521495110000004</v>
      </c>
      <c r="E4" s="3479">
        <v>6032</v>
      </c>
      <c r="F4" s="3479">
        <f ca="1">典型户型修正商!S26</f>
        <v>6100</v>
      </c>
      <c r="G4" s="3479" t="s">
        <v>673</v>
      </c>
      <c r="H4" s="3479" t="s">
        <v>3490</v>
      </c>
      <c r="I4" s="3479" t="s">
        <v>3497</v>
      </c>
      <c r="J4" s="3479" t="s">
        <v>3577</v>
      </c>
      <c r="K4" s="3479">
        <f t="shared" si="0"/>
        <v>73486.592838955694</v>
      </c>
      <c r="L4" s="3479">
        <f t="shared" ca="1" si="1"/>
        <v>74315.022599076532</v>
      </c>
      <c r="M4" s="3849">
        <f t="shared" ca="1" si="2"/>
        <v>1.1273209549071413E-2</v>
      </c>
    </row>
    <row r="5" spans="1:13">
      <c r="A5" s="3478">
        <v>4</v>
      </c>
      <c r="B5" s="3478" t="s">
        <v>3396</v>
      </c>
      <c r="C5" s="3481">
        <v>114.12</v>
      </c>
      <c r="D5" s="3482">
        <v>12.863264040000001</v>
      </c>
      <c r="E5" s="3479">
        <v>865</v>
      </c>
      <c r="F5" s="3479">
        <f ca="1">典型户型修正商!S27</f>
        <v>874</v>
      </c>
      <c r="G5" s="3479" t="s">
        <v>673</v>
      </c>
      <c r="H5" s="3479" t="s">
        <v>3490</v>
      </c>
      <c r="I5" s="3479" t="s">
        <v>3498</v>
      </c>
      <c r="J5" s="3479" t="s">
        <v>3495</v>
      </c>
      <c r="K5" s="3479">
        <f t="shared" si="0"/>
        <v>75797.406239046613</v>
      </c>
      <c r="L5" s="3479">
        <f t="shared" ca="1" si="1"/>
        <v>76586.049772169645</v>
      </c>
      <c r="M5" s="3849">
        <f t="shared" ca="1" si="2"/>
        <v>1.0404624277456687E-2</v>
      </c>
    </row>
    <row r="6" spans="1:13">
      <c r="A6" s="3478">
        <v>5</v>
      </c>
      <c r="B6" s="3478" t="s">
        <v>3397</v>
      </c>
      <c r="C6" s="3481">
        <v>229.57</v>
      </c>
      <c r="D6" s="3482">
        <v>25.87644169</v>
      </c>
      <c r="E6" s="3479">
        <v>1317</v>
      </c>
      <c r="F6" s="3479">
        <f ca="1">典型户型修正商!S28</f>
        <v>1346</v>
      </c>
      <c r="G6" s="3479" t="s">
        <v>673</v>
      </c>
      <c r="H6" s="3479" t="s">
        <v>3496</v>
      </c>
      <c r="I6" s="3479" t="s">
        <v>3497</v>
      </c>
      <c r="J6" s="3479" t="s">
        <v>3494</v>
      </c>
      <c r="K6" s="3479">
        <f t="shared" si="0"/>
        <v>57368.123012588752</v>
      </c>
      <c r="L6" s="3479">
        <f t="shared" ca="1" si="1"/>
        <v>58631.354271028446</v>
      </c>
      <c r="M6" s="3849">
        <f t="shared" ca="1" si="2"/>
        <v>2.2019741837509519E-2</v>
      </c>
    </row>
    <row r="7" spans="1:13">
      <c r="A7" s="3478">
        <v>6</v>
      </c>
      <c r="B7" s="3478" t="s">
        <v>3398</v>
      </c>
      <c r="C7" s="3481">
        <v>174.61</v>
      </c>
      <c r="D7" s="3482">
        <v>19.68151537</v>
      </c>
      <c r="E7" s="3479">
        <v>1012</v>
      </c>
      <c r="F7" s="3479">
        <f ca="1">典型户型修正商!S29</f>
        <v>1034</v>
      </c>
      <c r="G7" s="3479" t="s">
        <v>673</v>
      </c>
      <c r="H7" s="3479" t="s">
        <v>3496</v>
      </c>
      <c r="I7" s="3479" t="s">
        <v>3497</v>
      </c>
      <c r="J7" s="3479" t="s">
        <v>3494</v>
      </c>
      <c r="K7" s="3479">
        <f t="shared" si="0"/>
        <v>57957.734379474256</v>
      </c>
      <c r="L7" s="3479">
        <f t="shared" ca="1" si="1"/>
        <v>59217.685126854121</v>
      </c>
      <c r="M7" s="3849">
        <f t="shared" ca="1" si="2"/>
        <v>2.1739130434782448E-2</v>
      </c>
    </row>
    <row r="8" spans="1:13">
      <c r="A8" s="3478">
        <v>7</v>
      </c>
      <c r="B8" s="3478" t="s">
        <v>3399</v>
      </c>
      <c r="C8" s="3481">
        <v>579.52</v>
      </c>
      <c r="D8" s="3482">
        <v>65.321755839999994</v>
      </c>
      <c r="E8" s="3479">
        <v>3258</v>
      </c>
      <c r="F8" s="3479">
        <f ca="1">典型户型修正商!S30</f>
        <v>3331</v>
      </c>
      <c r="G8" s="3479" t="s">
        <v>673</v>
      </c>
      <c r="H8" s="3479" t="s">
        <v>3496</v>
      </c>
      <c r="I8" s="3479" t="s">
        <v>3499</v>
      </c>
      <c r="J8" s="3479" t="s">
        <v>3494</v>
      </c>
      <c r="K8" s="3479">
        <f t="shared" si="0"/>
        <v>56218.939812258417</v>
      </c>
      <c r="L8" s="3479">
        <f t="shared" ca="1" si="1"/>
        <v>57478.602981778029</v>
      </c>
      <c r="M8" s="3849">
        <f t="shared" ca="1" si="2"/>
        <v>2.2406384284837495E-2</v>
      </c>
    </row>
    <row r="9" spans="1:13">
      <c r="A9" s="3478">
        <v>8</v>
      </c>
      <c r="B9" s="3478" t="s">
        <v>3400</v>
      </c>
      <c r="C9" s="3481">
        <v>392.45</v>
      </c>
      <c r="D9" s="3482">
        <v>44.235786650000001</v>
      </c>
      <c r="E9" s="3479">
        <v>2229</v>
      </c>
      <c r="F9" s="3479">
        <f ca="1">典型户型修正商!S31</f>
        <v>2279</v>
      </c>
      <c r="G9" s="3479" t="s">
        <v>673</v>
      </c>
      <c r="H9" s="3479" t="s">
        <v>3496</v>
      </c>
      <c r="I9" s="3479" t="s">
        <v>3497</v>
      </c>
      <c r="J9" s="3479" t="s">
        <v>3494</v>
      </c>
      <c r="K9" s="3479">
        <f t="shared" si="0"/>
        <v>56797.044209453437</v>
      </c>
      <c r="L9" s="3479">
        <f t="shared" ca="1" si="1"/>
        <v>58071.091858835527</v>
      </c>
      <c r="M9" s="3849">
        <f t="shared" ca="1" si="2"/>
        <v>2.2431583669807138E-2</v>
      </c>
    </row>
    <row r="10" spans="1:13">
      <c r="A10" s="3478">
        <v>9</v>
      </c>
      <c r="B10" s="3478" t="s">
        <v>3401</v>
      </c>
      <c r="C10" s="3481">
        <v>129.91</v>
      </c>
      <c r="D10" s="3482">
        <v>14.64306547</v>
      </c>
      <c r="E10" s="3479">
        <v>753</v>
      </c>
      <c r="F10" s="3479">
        <f ca="1">典型户型修正商!S32</f>
        <v>769</v>
      </c>
      <c r="G10" s="3479" t="s">
        <v>673</v>
      </c>
      <c r="H10" s="3479" t="s">
        <v>3496</v>
      </c>
      <c r="I10" s="3479" t="s">
        <v>3497</v>
      </c>
      <c r="J10" s="3479" t="s">
        <v>3494</v>
      </c>
      <c r="K10" s="3479">
        <f t="shared" si="0"/>
        <v>57963.205295974134</v>
      </c>
      <c r="L10" s="3479">
        <f t="shared" ca="1" si="1"/>
        <v>59194.82718805327</v>
      </c>
      <c r="M10" s="3849">
        <f t="shared" ca="1" si="2"/>
        <v>2.1248339973439653E-2</v>
      </c>
    </row>
    <row r="11" spans="1:13">
      <c r="A11" s="3478">
        <v>10</v>
      </c>
      <c r="B11" s="3478" t="s">
        <v>3402</v>
      </c>
      <c r="C11" s="3481">
        <v>130.21</v>
      </c>
      <c r="D11" s="3482">
        <v>14.67688057</v>
      </c>
      <c r="E11" s="3479">
        <v>755</v>
      </c>
      <c r="F11" s="3479">
        <f ca="1">典型户型修正商!S33</f>
        <v>771</v>
      </c>
      <c r="G11" s="3479" t="s">
        <v>673</v>
      </c>
      <c r="H11" s="3479" t="s">
        <v>3496</v>
      </c>
      <c r="I11" s="3479" t="s">
        <v>3499</v>
      </c>
      <c r="J11" s="3479" t="s">
        <v>3494</v>
      </c>
      <c r="K11" s="3479">
        <f t="shared" si="0"/>
        <v>57983.25781429997</v>
      </c>
      <c r="L11" s="3479">
        <f t="shared" ca="1" si="1"/>
        <v>59212.0420858613</v>
      </c>
      <c r="M11" s="3849">
        <f t="shared" ca="1" si="2"/>
        <v>2.1192052980132551E-2</v>
      </c>
    </row>
    <row r="12" spans="1:13">
      <c r="A12" s="3478">
        <v>11</v>
      </c>
      <c r="B12" s="3478" t="s">
        <v>3403</v>
      </c>
      <c r="C12" s="3481">
        <v>219.79</v>
      </c>
      <c r="D12" s="3482">
        <v>24.774069430000001</v>
      </c>
      <c r="E12" s="3479">
        <v>1261</v>
      </c>
      <c r="F12" s="3479">
        <f ca="1">典型户型修正商!S34</f>
        <v>1289</v>
      </c>
      <c r="G12" s="3479" t="s">
        <v>673</v>
      </c>
      <c r="H12" s="3479" t="s">
        <v>3496</v>
      </c>
      <c r="I12" s="3479" t="s">
        <v>3497</v>
      </c>
      <c r="J12" s="3479" t="s">
        <v>3494</v>
      </c>
      <c r="K12" s="3479">
        <f t="shared" si="0"/>
        <v>57372.946903862779</v>
      </c>
      <c r="L12" s="3479">
        <f t="shared" ca="1" si="1"/>
        <v>58646.890213385508</v>
      </c>
      <c r="M12" s="3849">
        <f t="shared" ca="1" si="2"/>
        <v>2.2204599524187196E-2</v>
      </c>
    </row>
    <row r="13" spans="1:13">
      <c r="A13" s="3478">
        <v>12</v>
      </c>
      <c r="B13" s="3478" t="s">
        <v>3404</v>
      </c>
      <c r="C13" s="3481">
        <v>147.19999999999999</v>
      </c>
      <c r="D13" s="3482">
        <v>16.591942400000001</v>
      </c>
      <c r="E13" s="3479">
        <v>853</v>
      </c>
      <c r="F13" s="3479">
        <f ca="1">典型户型修正商!S35</f>
        <v>872</v>
      </c>
      <c r="G13" s="3479" t="s">
        <v>673</v>
      </c>
      <c r="H13" s="3479" t="s">
        <v>3496</v>
      </c>
      <c r="I13" s="3479" t="s">
        <v>3497</v>
      </c>
      <c r="J13" s="3479" t="s">
        <v>3494</v>
      </c>
      <c r="K13" s="3479">
        <f t="shared" si="0"/>
        <v>57948.369565217392</v>
      </c>
      <c r="L13" s="3479">
        <f t="shared" ca="1" si="1"/>
        <v>59239.130434782615</v>
      </c>
      <c r="M13" s="3849">
        <f t="shared" ca="1" si="2"/>
        <v>2.2274325908558133E-2</v>
      </c>
    </row>
    <row r="14" spans="1:13">
      <c r="A14" s="3478">
        <v>13</v>
      </c>
      <c r="B14" s="3478" t="s">
        <v>3405</v>
      </c>
      <c r="C14" s="3481">
        <v>221.24</v>
      </c>
      <c r="D14" s="3482">
        <v>24.937509080000002</v>
      </c>
      <c r="E14" s="3479">
        <v>1269</v>
      </c>
      <c r="F14" s="3479">
        <f ca="1">典型户型修正商!S36</f>
        <v>1297</v>
      </c>
      <c r="G14" s="3479" t="s">
        <v>673</v>
      </c>
      <c r="H14" s="3479" t="s">
        <v>3496</v>
      </c>
      <c r="I14" s="3479" t="s">
        <v>3499</v>
      </c>
      <c r="J14" s="3479" t="s">
        <v>3494</v>
      </c>
      <c r="K14" s="3479">
        <f t="shared" si="0"/>
        <v>57358.524679081536</v>
      </c>
      <c r="L14" s="3479">
        <f t="shared" ca="1" si="1"/>
        <v>58624.118604230694</v>
      </c>
      <c r="M14" s="3849">
        <f t="shared" ca="1" si="2"/>
        <v>2.2064617809298644E-2</v>
      </c>
    </row>
    <row r="15" spans="1:13">
      <c r="A15" s="3478">
        <v>14</v>
      </c>
      <c r="B15" s="3478" t="s">
        <v>3406</v>
      </c>
      <c r="C15" s="3481">
        <v>341.21</v>
      </c>
      <c r="D15" s="3482">
        <v>38.460167570000003</v>
      </c>
      <c r="E15" s="3479">
        <v>1938</v>
      </c>
      <c r="F15" s="3479">
        <f ca="1">典型户型修正商!S37</f>
        <v>1981</v>
      </c>
      <c r="G15" s="3479" t="s">
        <v>673</v>
      </c>
      <c r="H15" s="3479" t="s">
        <v>3496</v>
      </c>
      <c r="I15" s="3479" t="s">
        <v>3500</v>
      </c>
      <c r="J15" s="3479" t="s">
        <v>3494</v>
      </c>
      <c r="K15" s="3479">
        <f t="shared" si="0"/>
        <v>56797.866416576304</v>
      </c>
      <c r="L15" s="3479">
        <f t="shared" ca="1" si="1"/>
        <v>58058.087394859467</v>
      </c>
      <c r="M15" s="3849">
        <f t="shared" ca="1" si="2"/>
        <v>2.2187822497419924E-2</v>
      </c>
    </row>
    <row r="16" spans="1:13">
      <c r="A16" s="3478">
        <v>15</v>
      </c>
      <c r="B16" s="3478" t="s">
        <v>3407</v>
      </c>
      <c r="C16" s="3481">
        <v>105.02</v>
      </c>
      <c r="D16" s="3482">
        <v>11.837539339999999</v>
      </c>
      <c r="E16" s="3479">
        <v>609</v>
      </c>
      <c r="F16" s="3479">
        <f ca="1">典型户型修正商!S38</f>
        <v>622</v>
      </c>
      <c r="G16" s="3479" t="s">
        <v>673</v>
      </c>
      <c r="H16" s="3479" t="s">
        <v>3496</v>
      </c>
      <c r="I16" s="3479" t="s">
        <v>3497</v>
      </c>
      <c r="J16" s="3479" t="s">
        <v>3494</v>
      </c>
      <c r="K16" s="3479">
        <f t="shared" si="0"/>
        <v>57988.954484860027</v>
      </c>
      <c r="L16" s="3479">
        <f t="shared" ca="1" si="1"/>
        <v>59226.813940201871</v>
      </c>
      <c r="M16" s="3849">
        <f t="shared" ca="1" si="2"/>
        <v>2.1346469622331773E-2</v>
      </c>
    </row>
    <row r="17" spans="1:13">
      <c r="A17" s="3478">
        <v>16</v>
      </c>
      <c r="B17" s="3478" t="s">
        <v>3408</v>
      </c>
      <c r="C17" s="3481">
        <v>105.26</v>
      </c>
      <c r="D17" s="3482">
        <v>11.86459142</v>
      </c>
      <c r="E17" s="3479">
        <v>610</v>
      </c>
      <c r="F17" s="3479">
        <f ca="1">典型户型修正商!S39</f>
        <v>623</v>
      </c>
      <c r="G17" s="3479" t="s">
        <v>673</v>
      </c>
      <c r="H17" s="3479" t="s">
        <v>3496</v>
      </c>
      <c r="I17" s="3479" t="s">
        <v>3501</v>
      </c>
      <c r="J17" s="3479" t="s">
        <v>3494</v>
      </c>
      <c r="K17" s="3479">
        <f t="shared" si="0"/>
        <v>57951.738552156559</v>
      </c>
      <c r="L17" s="3479">
        <f t="shared" ca="1" si="1"/>
        <v>59186.775603268099</v>
      </c>
      <c r="M17" s="3849">
        <f t="shared" ca="1" si="2"/>
        <v>2.1311475409836179E-2</v>
      </c>
    </row>
    <row r="18" spans="1:13">
      <c r="A18" s="3478">
        <v>17</v>
      </c>
      <c r="B18" s="3478" t="s">
        <v>3409</v>
      </c>
      <c r="C18" s="3481">
        <v>56.19</v>
      </c>
      <c r="D18" s="3482">
        <v>6.33356823</v>
      </c>
      <c r="E18" s="3479">
        <v>368</v>
      </c>
      <c r="F18" s="3479">
        <f ca="1">典型户型修正商!S40</f>
        <v>400</v>
      </c>
      <c r="G18" s="3479" t="s">
        <v>673</v>
      </c>
      <c r="H18" s="3479" t="s">
        <v>3496</v>
      </c>
      <c r="I18" s="3479" t="s">
        <v>3503</v>
      </c>
      <c r="J18" s="3479" t="s">
        <v>3502</v>
      </c>
      <c r="K18" s="3479">
        <f t="shared" si="0"/>
        <v>65492.080441359678</v>
      </c>
      <c r="L18" s="3479">
        <f t="shared" ca="1" si="1"/>
        <v>71187.043957999645</v>
      </c>
      <c r="M18" s="3849">
        <f t="shared" ca="1" si="2"/>
        <v>8.6956521739130363E-2</v>
      </c>
    </row>
    <row r="19" spans="1:13">
      <c r="A19" s="3478">
        <v>18</v>
      </c>
      <c r="B19" s="3478" t="s">
        <v>3410</v>
      </c>
      <c r="C19" s="3481">
        <v>43.73</v>
      </c>
      <c r="D19" s="3482">
        <v>4.9291144100000004</v>
      </c>
      <c r="E19" s="3479">
        <v>286</v>
      </c>
      <c r="F19" s="3479">
        <f ca="1">典型户型修正商!S41</f>
        <v>262</v>
      </c>
      <c r="G19" s="3479" t="s">
        <v>673</v>
      </c>
      <c r="H19" s="3479" t="s">
        <v>3496</v>
      </c>
      <c r="I19" s="3479" t="s">
        <v>3504</v>
      </c>
      <c r="J19" s="3479" t="s">
        <v>3494</v>
      </c>
      <c r="K19" s="3479">
        <f t="shared" si="0"/>
        <v>65401.326320603708</v>
      </c>
      <c r="L19" s="3479">
        <f t="shared" ca="1" si="1"/>
        <v>59913.103132860742</v>
      </c>
      <c r="M19" s="3849">
        <f t="shared" ca="1" si="2"/>
        <v>-8.3916083916083878E-2</v>
      </c>
    </row>
    <row r="20" spans="1:13">
      <c r="A20" s="3478">
        <v>19</v>
      </c>
      <c r="B20" s="3478" t="s">
        <v>3411</v>
      </c>
      <c r="C20" s="3481">
        <v>277.54000000000002</v>
      </c>
      <c r="D20" s="3482">
        <v>31.283476180000001</v>
      </c>
      <c r="E20" s="3479">
        <v>2081</v>
      </c>
      <c r="F20" s="3479">
        <f ca="1">典型户型修正商!S42</f>
        <v>2104</v>
      </c>
      <c r="G20" s="3479" t="s">
        <v>673</v>
      </c>
      <c r="H20" s="3479" t="s">
        <v>3490</v>
      </c>
      <c r="I20" s="3479" t="s">
        <v>3505</v>
      </c>
      <c r="J20" s="3479" t="s">
        <v>3495</v>
      </c>
      <c r="K20" s="3479">
        <f t="shared" si="0"/>
        <v>74980.183036679387</v>
      </c>
      <c r="L20" s="3479">
        <f t="shared" ca="1" si="1"/>
        <v>75808.892411904584</v>
      </c>
      <c r="M20" s="3849">
        <f t="shared" ca="1" si="2"/>
        <v>1.105237866410385E-2</v>
      </c>
    </row>
    <row r="21" spans="1:13" s="3851" customFormat="1">
      <c r="A21" s="3475"/>
      <c r="B21" s="3475"/>
      <c r="C21" s="3476">
        <f>SUM(C2:C20)</f>
        <v>5390.7</v>
      </c>
      <c r="D21" s="3476">
        <f>SUM(D2:D20)</f>
        <v>607.62353189999988</v>
      </c>
      <c r="E21" s="3852">
        <f>SUM(E2:E20)</f>
        <v>35096</v>
      </c>
      <c r="F21" s="3852">
        <f ca="1">SUM(F2:F20)</f>
        <v>35142</v>
      </c>
      <c r="G21" s="3852"/>
      <c r="H21" s="3852"/>
      <c r="I21" s="3852"/>
      <c r="J21" s="3852"/>
      <c r="K21" s="3852"/>
      <c r="L21" s="3852"/>
      <c r="M21" s="3850">
        <f ca="1">E21-F21</f>
        <v>-46</v>
      </c>
    </row>
    <row r="22" spans="1:13">
      <c r="A22" s="3478">
        <v>20</v>
      </c>
      <c r="B22" s="3478" t="s">
        <v>3412</v>
      </c>
      <c r="C22" s="3481">
        <v>206.15</v>
      </c>
      <c r="D22" s="3482">
        <v>23.236609550000001</v>
      </c>
      <c r="E22" s="3479">
        <v>844</v>
      </c>
      <c r="F22" s="3479">
        <f ca="1">典型户型修正!S24</f>
        <v>894</v>
      </c>
      <c r="G22" s="3479" t="s">
        <v>21</v>
      </c>
      <c r="H22" s="3479"/>
      <c r="I22" s="3479"/>
      <c r="J22" s="3479"/>
      <c r="K22" s="3479">
        <f t="shared" si="0"/>
        <v>40941.062333252492</v>
      </c>
      <c r="L22" s="3479">
        <f t="shared" ca="1" si="1"/>
        <v>43366.480717923841</v>
      </c>
    </row>
    <row r="23" spans="1:13">
      <c r="A23" s="3478">
        <v>21</v>
      </c>
      <c r="B23" s="3478" t="s">
        <v>3413</v>
      </c>
      <c r="C23" s="3481">
        <v>171.04</v>
      </c>
      <c r="D23" s="3482">
        <v>19.27911568</v>
      </c>
      <c r="E23" s="3479">
        <v>700</v>
      </c>
      <c r="F23" s="3479">
        <f ca="1">典型户型修正!S25</f>
        <v>742</v>
      </c>
      <c r="G23" s="3479" t="s">
        <v>21</v>
      </c>
      <c r="H23" s="3479"/>
      <c r="I23" s="3479"/>
      <c r="J23" s="3479"/>
      <c r="K23" s="3479">
        <f t="shared" si="0"/>
        <v>40926.099158091674</v>
      </c>
      <c r="L23" s="3479">
        <f t="shared" ca="1" si="1"/>
        <v>43381.665107577181</v>
      </c>
    </row>
    <row r="24" spans="1:13">
      <c r="A24" s="3478">
        <v>22</v>
      </c>
      <c r="B24" s="3478" t="s">
        <v>3414</v>
      </c>
      <c r="C24" s="3481">
        <v>171.97</v>
      </c>
      <c r="D24" s="3482">
        <v>19.383942489999999</v>
      </c>
      <c r="E24" s="3479">
        <v>704</v>
      </c>
      <c r="F24" s="3479">
        <f ca="1">典型户型修正!S26</f>
        <v>746</v>
      </c>
      <c r="G24" s="3479" t="s">
        <v>21</v>
      </c>
      <c r="H24" s="3479"/>
      <c r="I24" s="3479"/>
      <c r="J24" s="3479"/>
      <c r="K24" s="3479">
        <f t="shared" si="0"/>
        <v>40937.372797580974</v>
      </c>
      <c r="L24" s="3479">
        <f t="shared" ca="1" si="1"/>
        <v>43379.659242891204</v>
      </c>
    </row>
    <row r="25" spans="1:13">
      <c r="A25" s="3478">
        <v>23</v>
      </c>
      <c r="B25" s="3478" t="s">
        <v>3415</v>
      </c>
      <c r="C25" s="3481">
        <v>108.47</v>
      </c>
      <c r="D25" s="3482">
        <v>12.22641299</v>
      </c>
      <c r="E25" s="3479">
        <v>444</v>
      </c>
      <c r="F25" s="3479">
        <f ca="1">典型户型修正!S27</f>
        <v>470</v>
      </c>
      <c r="G25" s="3479" t="s">
        <v>21</v>
      </c>
      <c r="H25" s="3479"/>
      <c r="I25" s="3479"/>
      <c r="J25" s="3479"/>
      <c r="K25" s="3479">
        <f t="shared" si="0"/>
        <v>40932.97685996128</v>
      </c>
      <c r="L25" s="3479">
        <f t="shared" ca="1" si="1"/>
        <v>43329.952982391449</v>
      </c>
    </row>
    <row r="26" spans="1:13">
      <c r="A26" s="3478">
        <v>24</v>
      </c>
      <c r="B26" s="3478" t="s">
        <v>3416</v>
      </c>
      <c r="C26" s="3481">
        <v>108.47</v>
      </c>
      <c r="D26" s="3482">
        <v>12.22641299</v>
      </c>
      <c r="E26" s="3479">
        <v>444</v>
      </c>
      <c r="F26" s="3479">
        <f ca="1">典型户型修正!S28</f>
        <v>470</v>
      </c>
      <c r="G26" s="3479" t="s">
        <v>21</v>
      </c>
      <c r="H26" s="3479"/>
      <c r="I26" s="3479"/>
      <c r="J26" s="3479"/>
      <c r="K26" s="3479">
        <f t="shared" si="0"/>
        <v>40932.97685996128</v>
      </c>
      <c r="L26" s="3479">
        <f t="shared" ca="1" si="1"/>
        <v>43329.952982391449</v>
      </c>
    </row>
    <row r="27" spans="1:13">
      <c r="A27" s="3478">
        <v>25</v>
      </c>
      <c r="B27" s="3478" t="s">
        <v>3417</v>
      </c>
      <c r="C27" s="3481">
        <v>138.01</v>
      </c>
      <c r="D27" s="3482">
        <v>15.556073169999999</v>
      </c>
      <c r="E27" s="3479">
        <v>565</v>
      </c>
      <c r="F27" s="3479">
        <f ca="1">典型户型修正!S29</f>
        <v>598</v>
      </c>
      <c r="G27" s="3479" t="s">
        <v>21</v>
      </c>
      <c r="H27" s="3479"/>
      <c r="I27" s="3479"/>
      <c r="J27" s="3479"/>
      <c r="K27" s="3479">
        <f t="shared" si="0"/>
        <v>40939.062386783567</v>
      </c>
      <c r="L27" s="3479">
        <f t="shared" ca="1" si="1"/>
        <v>43330.193464241725</v>
      </c>
    </row>
    <row r="28" spans="1:13">
      <c r="A28" s="3478">
        <v>26</v>
      </c>
      <c r="B28" s="3478" t="s">
        <v>3418</v>
      </c>
      <c r="C28" s="3481">
        <v>138.01</v>
      </c>
      <c r="D28" s="3482">
        <v>15.556073169999999</v>
      </c>
      <c r="E28" s="3479">
        <v>565</v>
      </c>
      <c r="F28" s="3479">
        <f ca="1">典型户型修正!S30</f>
        <v>598</v>
      </c>
      <c r="G28" s="3479" t="s">
        <v>21</v>
      </c>
      <c r="H28" s="3479"/>
      <c r="I28" s="3479"/>
      <c r="J28" s="3479"/>
      <c r="K28" s="3479">
        <f t="shared" si="0"/>
        <v>40939.062386783567</v>
      </c>
      <c r="L28" s="3479">
        <f t="shared" ca="1" si="1"/>
        <v>43330.193464241725</v>
      </c>
    </row>
    <row r="29" spans="1:13">
      <c r="A29" s="3478">
        <v>27</v>
      </c>
      <c r="B29" s="3478" t="s">
        <v>3419</v>
      </c>
      <c r="C29" s="3481">
        <v>201.75</v>
      </c>
      <c r="D29" s="3482">
        <v>22.740654750000001</v>
      </c>
      <c r="E29" s="3479">
        <v>826</v>
      </c>
      <c r="F29" s="3479">
        <f ca="1">典型户型修正!S31</f>
        <v>875</v>
      </c>
      <c r="G29" s="3479" t="s">
        <v>21</v>
      </c>
      <c r="H29" s="3479"/>
      <c r="I29" s="3479"/>
      <c r="J29" s="3479"/>
      <c r="K29" s="3479">
        <f t="shared" si="0"/>
        <v>40941.75960346964</v>
      </c>
      <c r="L29" s="3479">
        <f t="shared" ca="1" si="1"/>
        <v>43370.508054522921</v>
      </c>
    </row>
    <row r="30" spans="1:13" s="3851" customFormat="1">
      <c r="A30" s="3504"/>
      <c r="B30" s="3505"/>
      <c r="C30" s="3476">
        <f>SUM(C22:C29)</f>
        <v>1243.8699999999999</v>
      </c>
      <c r="D30" s="3476">
        <f>SUM(D22:D29)</f>
        <v>140.20529479000001</v>
      </c>
      <c r="E30" s="3852">
        <f>SUM(E22:E29)</f>
        <v>5092</v>
      </c>
      <c r="F30" s="3852">
        <f ca="1">SUM(F22:F29)</f>
        <v>5393</v>
      </c>
      <c r="G30" s="3852"/>
      <c r="H30" s="3852"/>
      <c r="I30" s="3852"/>
      <c r="J30" s="3852"/>
      <c r="K30" s="3852"/>
      <c r="L30" s="3852"/>
      <c r="M30" s="3850">
        <f ca="1">E30-F30</f>
        <v>-301</v>
      </c>
    </row>
    <row r="31" spans="1:13" s="3851" customFormat="1">
      <c r="A31" s="3595" t="s">
        <v>3420</v>
      </c>
      <c r="B31" s="3596"/>
      <c r="C31" s="3480">
        <f>SUM(C30,C21)</f>
        <v>6634.57</v>
      </c>
      <c r="D31" s="3480">
        <f t="shared" ref="D31:F31" si="3">SUM(D30,D21)</f>
        <v>747.82882668999991</v>
      </c>
      <c r="E31" s="3480">
        <f t="shared" si="3"/>
        <v>40188</v>
      </c>
      <c r="F31" s="3480">
        <f t="shared" ca="1" si="3"/>
        <v>40535</v>
      </c>
      <c r="G31" s="3480"/>
      <c r="H31" s="3476"/>
      <c r="I31" s="3476"/>
      <c r="J31" s="3476"/>
      <c r="K31" s="3476"/>
      <c r="L31" s="3476"/>
      <c r="M31" s="3850">
        <f ca="1">E31-F31</f>
        <v>-347</v>
      </c>
    </row>
    <row r="32" spans="1:13">
      <c r="E32" s="3502"/>
      <c r="F32" s="3502"/>
    </row>
    <row r="33" spans="5:6">
      <c r="E33" s="3503"/>
      <c r="F33" s="3503"/>
    </row>
    <row r="34" spans="5:6">
      <c r="E34" s="3502"/>
      <c r="F34" s="3502"/>
    </row>
    <row r="35" spans="5:6">
      <c r="E35" s="3503"/>
      <c r="F35" s="3503"/>
    </row>
  </sheetData>
  <mergeCells count="1">
    <mergeCell ref="A31:B31"/>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2" sqref="K2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747.82882668999991</v>
      </c>
      <c r="C2" s="2681"/>
      <c r="D2" s="2681"/>
      <c r="E2" s="2681"/>
      <c r="F2" s="2681"/>
      <c r="G2" s="2682"/>
      <c r="H2" s="2683"/>
      <c r="I2" s="2683"/>
      <c r="J2" s="2683"/>
      <c r="K2" s="2683"/>
    </row>
    <row r="3" spans="1:11" ht="16.5">
      <c r="A3" s="2507" t="s">
        <v>662</v>
      </c>
      <c r="B3" s="2509">
        <f>项目基本情况!D3</f>
        <v>45142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40535</v>
      </c>
      <c r="C5" s="2507">
        <f ca="1">IF(B5=D14,结果表!H102,ROUND(B5*10000/$B$1,0))</f>
        <v>61097</v>
      </c>
      <c r="D5" s="2507">
        <f ca="1">ROUND(B5*10000/$B$2,0)</f>
        <v>542036</v>
      </c>
      <c r="E5" s="2681"/>
      <c r="F5" s="2682"/>
      <c r="G5" s="2682"/>
      <c r="H5" s="2683"/>
      <c r="I5" s="2683"/>
      <c r="J5" s="2683"/>
      <c r="K5" s="2683"/>
    </row>
    <row r="6" spans="1:11" ht="16.5">
      <c r="A6" s="2507" t="s">
        <v>656</v>
      </c>
      <c r="B6" s="2507">
        <f ca="1">SUM(G14:G23)</f>
        <v>40535</v>
      </c>
      <c r="C6" s="2507">
        <f ca="1">IF(B6=G14,结果表!H108,ROUND(B6*10000/$B$1,0))</f>
        <v>61097</v>
      </c>
      <c r="D6" s="2507">
        <f ca="1">ROUND(B6*10000/$B$2,0)</f>
        <v>542036</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f>分套价值!D31</f>
        <v>747.82882668999991</v>
      </c>
      <c r="D14" s="2513">
        <f ca="1">典型户型修正!S22</f>
        <v>5393</v>
      </c>
      <c r="E14" s="2513">
        <f ca="1">ROUND(D14*10000/B14,0)</f>
        <v>43357</v>
      </c>
      <c r="F14" s="2513">
        <f ca="1">ROUND(D14*10000/C14,0)</f>
        <v>72115</v>
      </c>
      <c r="G14" s="2513">
        <f ca="1">D14</f>
        <v>5393</v>
      </c>
      <c r="H14" s="2513"/>
      <c r="I14" s="2513"/>
      <c r="J14" s="2682"/>
      <c r="K14" s="2683"/>
    </row>
    <row r="15" spans="1:11" ht="16.5">
      <c r="A15" s="2512" t="s">
        <v>649</v>
      </c>
      <c r="B15" s="2513">
        <f>典型户型修正商!B22</f>
        <v>5390.7</v>
      </c>
      <c r="C15" s="2513"/>
      <c r="D15" s="2513">
        <f ca="1">典型户型修正商!S22</f>
        <v>35142</v>
      </c>
      <c r="E15" s="2513">
        <f t="shared" ref="E15:E23" ca="1" si="0">ROUND(D15*10000/B15,0)</f>
        <v>65190</v>
      </c>
      <c r="F15" s="2513" t="e">
        <f t="shared" ref="F15:F23" ca="1" si="1">ROUND(D15*10000/C15,0)</f>
        <v>#DIV/0!</v>
      </c>
      <c r="G15" s="1328">
        <f ca="1">D15</f>
        <v>35142</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3439</v>
      </c>
      <c r="D4" s="1753" t="s">
        <v>3433</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598">
        <v>25</v>
      </c>
      <c r="C5" s="3614"/>
      <c r="D5" s="3634"/>
      <c r="E5" s="131" t="s">
        <v>1269</v>
      </c>
      <c r="F5" s="1754"/>
      <c r="G5" s="1754"/>
      <c r="H5" s="1754"/>
      <c r="I5" s="1370"/>
    </row>
    <row r="6" spans="1:12" ht="12.75">
      <c r="A6" s="3611"/>
      <c r="B6" s="3598"/>
      <c r="C6" s="3615"/>
      <c r="D6" s="3634"/>
      <c r="E6" s="131" t="s">
        <v>1270</v>
      </c>
      <c r="F6" s="1754"/>
      <c r="G6" s="1754"/>
      <c r="H6" s="1754"/>
      <c r="I6" s="1370"/>
    </row>
    <row r="7" spans="1:12" ht="12.75">
      <c r="A7" s="3611"/>
      <c r="B7" s="3598"/>
      <c r="C7" s="3616"/>
      <c r="D7" s="3634"/>
      <c r="E7" s="131" t="s">
        <v>1271</v>
      </c>
      <c r="F7" s="1754"/>
      <c r="G7" s="1754"/>
      <c r="H7" s="1754"/>
      <c r="I7" s="1370"/>
    </row>
    <row r="8" spans="1:12" ht="12.75">
      <c r="A8" s="3611" t="s">
        <v>1272</v>
      </c>
      <c r="B8" s="3598">
        <v>15</v>
      </c>
      <c r="C8" s="3614"/>
      <c r="D8" s="3634"/>
      <c r="E8" s="131" t="s">
        <v>1273</v>
      </c>
      <c r="F8" s="1754"/>
      <c r="G8" s="1754"/>
      <c r="H8" s="1754"/>
      <c r="I8" s="1370"/>
    </row>
    <row r="9" spans="1:12" ht="12.75">
      <c r="A9" s="3611"/>
      <c r="B9" s="3598"/>
      <c r="C9" s="3616"/>
      <c r="D9" s="3634"/>
      <c r="E9" s="131" t="s">
        <v>1274</v>
      </c>
      <c r="F9" s="1754"/>
      <c r="G9" s="1754"/>
      <c r="H9" s="1754"/>
      <c r="I9" s="1370"/>
    </row>
    <row r="10" spans="1:12" ht="12.75">
      <c r="A10" s="3611" t="s">
        <v>1275</v>
      </c>
      <c r="B10" s="3598">
        <v>15</v>
      </c>
      <c r="C10" s="3614"/>
      <c r="D10" s="3634"/>
      <c r="E10" s="131" t="s">
        <v>1276</v>
      </c>
      <c r="F10" s="1754"/>
      <c r="G10" s="1754"/>
      <c r="H10" s="1754"/>
      <c r="I10" s="1370"/>
    </row>
    <row r="11" spans="1:12" ht="12.75">
      <c r="A11" s="3611"/>
      <c r="B11" s="3598"/>
      <c r="C11" s="3616"/>
      <c r="D11" s="3634"/>
      <c r="E11" s="131" t="s">
        <v>1277</v>
      </c>
      <c r="F11" s="1754"/>
      <c r="G11" s="1754"/>
      <c r="H11" s="1754"/>
      <c r="I11" s="1370"/>
    </row>
    <row r="12" spans="1:12" ht="12.75">
      <c r="A12" s="3611" t="s">
        <v>1278</v>
      </c>
      <c r="B12" s="3598">
        <v>15</v>
      </c>
      <c r="C12" s="3614"/>
      <c r="D12" s="3634"/>
      <c r="E12" s="131" t="s">
        <v>1279</v>
      </c>
      <c r="F12" s="1754"/>
      <c r="G12" s="1754"/>
      <c r="H12" s="1754"/>
      <c r="I12" s="1370"/>
    </row>
    <row r="13" spans="1:12" ht="12.75">
      <c r="A13" s="3611"/>
      <c r="B13" s="3598"/>
      <c r="C13" s="3616"/>
      <c r="D13" s="3634"/>
      <c r="E13" s="131" t="s">
        <v>1280</v>
      </c>
      <c r="F13" s="1754"/>
      <c r="G13" s="1754"/>
      <c r="H13" s="1754"/>
      <c r="I13" s="1370"/>
    </row>
    <row r="14" spans="1:12" ht="12.75">
      <c r="A14" s="3611" t="s">
        <v>1281</v>
      </c>
      <c r="B14" s="3598">
        <v>30</v>
      </c>
      <c r="C14" s="3614">
        <v>6</v>
      </c>
      <c r="D14" s="3634">
        <v>4</v>
      </c>
      <c r="E14" s="131" t="s">
        <v>1282</v>
      </c>
      <c r="F14" s="1754"/>
      <c r="G14" s="1754"/>
      <c r="H14" s="1754"/>
      <c r="I14" s="1370"/>
    </row>
    <row r="15" spans="1:12" ht="12.75">
      <c r="A15" s="3611"/>
      <c r="B15" s="3598"/>
      <c r="C15" s="3615"/>
      <c r="D15" s="3634"/>
      <c r="E15" s="131" t="s">
        <v>1283</v>
      </c>
      <c r="F15" s="1754"/>
      <c r="G15" s="1754"/>
      <c r="H15" s="1754"/>
      <c r="I15" s="1370"/>
    </row>
    <row r="16" spans="1:12" ht="12.75">
      <c r="A16" s="3611"/>
      <c r="B16" s="3598"/>
      <c r="C16" s="3616"/>
      <c r="D16" s="363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1" t="s">
        <v>2130</v>
      </c>
      <c r="F18" s="3622"/>
      <c r="G18" s="3622"/>
      <c r="H18" s="3622"/>
      <c r="I18" s="3622"/>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643.66079999999999</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31223</v>
      </c>
      <c r="E20" s="1761"/>
      <c r="F20" s="1023" t="s">
        <v>1295</v>
      </c>
      <c r="G20" s="139">
        <f ca="1">ROUND(C20*$C$18+D20*$D$18,0)</f>
        <v>43366</v>
      </c>
      <c r="H20" s="805" t="s">
        <v>1296</v>
      </c>
      <c r="I20" s="129"/>
    </row>
    <row r="21" spans="1:36" ht="15" customHeight="1" thickBot="1">
      <c r="A21" s="825"/>
      <c r="B21" s="1762" t="s">
        <v>1297</v>
      </c>
      <c r="C21" s="716">
        <f ca="1">ROUND(C19*10000/L19,0)</f>
        <v>456493</v>
      </c>
      <c r="D21" s="717">
        <f ca="1">ROUND(D19*10000/L19,0)</f>
        <v>276962</v>
      </c>
      <c r="E21" s="825"/>
      <c r="F21" s="1762" t="s">
        <v>1297</v>
      </c>
      <c r="G21" s="140">
        <f ca="1">ROUND(G19*10000/L19,0)</f>
        <v>384682</v>
      </c>
      <c r="H21" s="1763" t="s">
        <v>1296</v>
      </c>
      <c r="I21" s="129"/>
    </row>
    <row r="22" spans="1:36" ht="15" thickBot="1">
      <c r="A22" s="1685" t="s">
        <v>1298</v>
      </c>
      <c r="B22" s="1764"/>
      <c r="C22" s="1765"/>
      <c r="D22" s="718">
        <f ca="1">IF(C19&lt;D19,D19/C19-1,C19/D19-1)</f>
        <v>0.64821144926023155</v>
      </c>
      <c r="E22" s="129"/>
      <c r="F22" s="129"/>
      <c r="G22" s="129"/>
      <c r="H22" s="129"/>
      <c r="I22" s="129"/>
    </row>
    <row r="23" spans="1:36" ht="13.5" thickBot="1">
      <c r="A23" s="1744"/>
      <c r="B23" s="1744"/>
      <c r="C23" s="1744"/>
      <c r="D23" s="1744"/>
      <c r="E23" s="129"/>
      <c r="F23" s="129"/>
      <c r="G23" s="129"/>
      <c r="H23" s="129"/>
      <c r="I23" s="129"/>
    </row>
    <row r="24" spans="1:36" ht="14.25">
      <c r="A24" s="3605" t="s">
        <v>1299</v>
      </c>
      <c r="B24" s="1759" t="s">
        <v>1291</v>
      </c>
      <c r="C24" s="136">
        <f>IF(B30=0,0,D30)</f>
        <v>0</v>
      </c>
      <c r="D24" s="1766"/>
      <c r="E24" s="129"/>
      <c r="F24" s="129"/>
      <c r="G24" s="129"/>
      <c r="H24" s="129"/>
      <c r="I24" s="129"/>
    </row>
    <row r="25" spans="1:36" ht="14.25">
      <c r="A25" s="360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43366</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25" t="s">
        <v>1312</v>
      </c>
      <c r="B36" s="1784" t="s">
        <v>1313</v>
      </c>
      <c r="C36" s="145"/>
      <c r="D36" s="1785"/>
      <c r="E36" s="1786"/>
      <c r="F36" s="1787"/>
      <c r="G36" s="129"/>
      <c r="H36" s="129"/>
      <c r="I36" s="129"/>
    </row>
    <row r="37" spans="1:15" ht="15.75" thickBot="1">
      <c r="A37" s="3626"/>
      <c r="B37" s="1671" t="s">
        <v>1314</v>
      </c>
      <c r="C37" s="147"/>
      <c r="D37" s="1136"/>
      <c r="E37" s="1136"/>
      <c r="F37" s="1787"/>
      <c r="G37" s="129"/>
      <c r="H37" s="129"/>
      <c r="I37" s="129"/>
    </row>
    <row r="38" spans="1:15" ht="15.75" thickBot="1">
      <c r="A38" s="3627"/>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2" t="s">
        <v>1326</v>
      </c>
      <c r="B45" s="3603"/>
      <c r="C45" s="3604"/>
      <c r="D45" s="155" t="e">
        <f ca="1">ROUND(H101*F45,0)</f>
        <v>#REF!</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3"/>
      <c r="I46" s="159"/>
      <c r="J46" s="2518">
        <v>1</v>
      </c>
      <c r="K46" s="3661" t="s">
        <v>1331</v>
      </c>
      <c r="L46" s="3661"/>
      <c r="M46" s="3681"/>
      <c r="N46" s="3681"/>
      <c r="O46" s="3681"/>
    </row>
    <row r="47" spans="1:15" ht="12" customHeight="1">
      <c r="A47" s="160" t="s">
        <v>1332</v>
      </c>
      <c r="B47" s="161"/>
      <c r="C47" s="162"/>
      <c r="D47" s="1084" t="s">
        <v>1333</v>
      </c>
      <c r="E47" s="302" t="s">
        <v>1334</v>
      </c>
      <c r="F47" s="163" t="s">
        <v>1335</v>
      </c>
      <c r="G47" s="2541" t="s">
        <v>1336</v>
      </c>
      <c r="H47" s="2542"/>
      <c r="I47" s="159"/>
      <c r="J47" s="2518">
        <v>2</v>
      </c>
      <c r="K47" s="3661" t="s">
        <v>1337</v>
      </c>
      <c r="L47" s="3661"/>
      <c r="M47" s="3682">
        <f>'数据-取费表'!B2</f>
        <v>45142</v>
      </c>
      <c r="N47" s="3682"/>
      <c r="O47" s="3682"/>
    </row>
    <row r="48" spans="1:15" ht="25.5">
      <c r="A48" s="3630" t="s">
        <v>1338</v>
      </c>
      <c r="B48" s="3613"/>
      <c r="C48" s="3613"/>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661" t="s">
        <v>1340</v>
      </c>
      <c r="L48" s="3661"/>
      <c r="M48" s="3683" t="e">
        <f ca="1">H101</f>
        <v>#REF!</v>
      </c>
      <c r="N48" s="3683"/>
      <c r="O48" s="3683"/>
    </row>
    <row r="49" spans="1:35" ht="25.5" customHeight="1">
      <c r="A49" s="2330" t="s">
        <v>1341</v>
      </c>
      <c r="B49" s="3597" t="s">
        <v>1342</v>
      </c>
      <c r="C49" s="3597"/>
      <c r="D49" s="1587">
        <v>0</v>
      </c>
      <c r="E49" s="324" t="s">
        <v>1343</v>
      </c>
      <c r="F49" s="2421" t="s">
        <v>28</v>
      </c>
      <c r="G49" s="3667"/>
      <c r="H49" s="2307" t="s">
        <v>2133</v>
      </c>
      <c r="I49" s="2308"/>
      <c r="J49" s="2518">
        <v>4</v>
      </c>
      <c r="K49" s="3661" t="str">
        <f>IF(项目基本情况!E8="房地产抵押价值","房地产抵押价值","抵押担保权已注销时的房地产抵押价值")</f>
        <v>房地产抵押价值</v>
      </c>
      <c r="L49" s="3661"/>
      <c r="M49" s="3683" t="str">
        <f ca="1">IF(项目基本情况!E8="房地产抵押价值",H107,H109)</f>
        <v>——</v>
      </c>
      <c r="N49" s="3683"/>
      <c r="O49" s="3683"/>
    </row>
    <row r="50" spans="1:35" ht="25.5" customHeight="1">
      <c r="A50" s="2546"/>
      <c r="B50" s="3597" t="s">
        <v>1344</v>
      </c>
      <c r="C50" s="3597"/>
      <c r="D50" s="2547"/>
      <c r="E50" s="332"/>
      <c r="F50" s="2421"/>
      <c r="G50" s="3668"/>
      <c r="H50" s="2309" t="s">
        <v>2134</v>
      </c>
      <c r="I50" s="2308"/>
      <c r="J50" s="3680" t="s">
        <v>1345</v>
      </c>
      <c r="K50" s="3680"/>
      <c r="L50" s="3680"/>
      <c r="M50" s="3680"/>
      <c r="N50" s="3680"/>
      <c r="O50" s="3680"/>
    </row>
    <row r="51" spans="1:35" ht="20.45" customHeight="1">
      <c r="A51" s="2548"/>
      <c r="B51" s="3597" t="s">
        <v>1346</v>
      </c>
      <c r="C51" s="3597"/>
      <c r="D51" s="1084"/>
      <c r="E51" s="327"/>
      <c r="F51" s="2421"/>
      <c r="G51" s="3669"/>
      <c r="H51" s="2309" t="s">
        <v>2135</v>
      </c>
      <c r="I51" s="2308"/>
      <c r="J51" s="2519" t="s">
        <v>1347</v>
      </c>
      <c r="K51" s="3661" t="s">
        <v>1348</v>
      </c>
      <c r="L51" s="3661"/>
      <c r="M51" s="2519" t="s">
        <v>1349</v>
      </c>
      <c r="N51" s="2519" t="s">
        <v>1350</v>
      </c>
      <c r="O51" s="2519" t="s">
        <v>1351</v>
      </c>
    </row>
    <row r="52" spans="1:35" ht="24" customHeight="1">
      <c r="A52" s="2332" t="s">
        <v>1352</v>
      </c>
      <c r="B52" s="3597" t="s">
        <v>1353</v>
      </c>
      <c r="C52" s="3597"/>
      <c r="D52" s="1084" t="e">
        <f ca="1">ROUND(D45*'数据-取费表'!B41/(1+'数据-取费表'!C42),0)</f>
        <v>#REF!</v>
      </c>
      <c r="E52" s="2331" t="s">
        <v>1354</v>
      </c>
      <c r="F52" s="2549">
        <f>'数据-取费表'!B41</f>
        <v>5.6000000000000001E-2</v>
      </c>
      <c r="G52" s="2550"/>
      <c r="H52" s="2539"/>
      <c r="I52" s="1804"/>
      <c r="J52" s="2518">
        <v>1</v>
      </c>
      <c r="K52" s="3662" t="s">
        <v>1355</v>
      </c>
      <c r="L52" s="3662"/>
      <c r="M52" s="2520" t="b">
        <f>D48</f>
        <v>0</v>
      </c>
      <c r="N52" s="2518" t="str">
        <f>E48</f>
        <v>销售额×税（费）率</v>
      </c>
      <c r="O52" s="2521">
        <f>F48</f>
        <v>5.6000000000000001E-2</v>
      </c>
    </row>
    <row r="53" spans="1:35" ht="12" customHeight="1">
      <c r="A53" s="2332" t="s">
        <v>1356</v>
      </c>
      <c r="B53" s="3623" t="s">
        <v>2286</v>
      </c>
      <c r="C53" s="3624"/>
      <c r="D53" s="1084" t="e">
        <f ca="1">ROUND(D45*'数据-取费表'!B41/(1+'数据-取费表'!C42),0)</f>
        <v>#REF!</v>
      </c>
      <c r="E53" s="2331" t="s">
        <v>1354</v>
      </c>
      <c r="F53" s="2549">
        <f>'数据-取费表'!B41</f>
        <v>5.6000000000000001E-2</v>
      </c>
      <c r="G53" s="2550"/>
      <c r="H53" s="2539"/>
      <c r="I53" s="1804"/>
      <c r="J53" s="2518">
        <v>2</v>
      </c>
      <c r="K53" s="3662" t="s">
        <v>1357</v>
      </c>
      <c r="L53" s="3662"/>
      <c r="M53" s="2520" t="e">
        <f t="shared" ref="M53:O54" ca="1" si="0">D55</f>
        <v>#REF!</v>
      </c>
      <c r="N53" s="2518" t="str">
        <f t="shared" si="0"/>
        <v>销售额×税（费）率</v>
      </c>
      <c r="O53" s="2521" t="str">
        <f t="shared" si="0"/>
        <v>免征</v>
      </c>
    </row>
    <row r="54" spans="1:35" ht="12" customHeight="1">
      <c r="A54" s="2332" t="s">
        <v>1358</v>
      </c>
      <c r="B54" s="3623" t="s">
        <v>2287</v>
      </c>
      <c r="C54" s="3624"/>
      <c r="D54" s="1084" t="e">
        <f ca="1">C68</f>
        <v>#REF!</v>
      </c>
      <c r="E54" s="327" t="s">
        <v>1359</v>
      </c>
      <c r="F54" s="2549">
        <f>'数据-取费表'!B41</f>
        <v>5.6000000000000001E-2</v>
      </c>
      <c r="G54" s="2550"/>
      <c r="H54" s="2551"/>
      <c r="I54" s="1804"/>
      <c r="J54" s="2518">
        <v>3</v>
      </c>
      <c r="K54" s="3662" t="s">
        <v>1360</v>
      </c>
      <c r="L54" s="3662"/>
      <c r="M54" s="2520" t="e">
        <f t="shared" ca="1" si="0"/>
        <v>#REF!</v>
      </c>
      <c r="N54" s="2518" t="str">
        <f t="shared" si="0"/>
        <v>增值额×税（费）率</v>
      </c>
      <c r="O54" s="2522" t="str">
        <f t="shared" si="0"/>
        <v>免征</v>
      </c>
    </row>
    <row r="55" spans="1:35" ht="24" customHeight="1">
      <c r="A55" s="3612" t="s">
        <v>1361</v>
      </c>
      <c r="B55" s="3613"/>
      <c r="C55" s="3613"/>
      <c r="D55" s="2321" t="e">
        <f ca="1">IF(H55="个人住宅",0,ROUND(D45*I55,0))</f>
        <v>#REF!</v>
      </c>
      <c r="E55" s="2331" t="s">
        <v>1362</v>
      </c>
      <c r="F55" s="2549" t="str">
        <f>IF(H55="正常",I55,"免征")</f>
        <v>免征</v>
      </c>
      <c r="G55" s="2550"/>
      <c r="H55" s="2545"/>
      <c r="I55" s="165">
        <f>'数据-取费表'!B49</f>
        <v>5.0000000000000001E-4</v>
      </c>
      <c r="J55" s="2518">
        <f>IF(H59="非个人房产","",4)</f>
        <v>4</v>
      </c>
      <c r="K55" s="3662" t="str">
        <f>IF(H59="非个人房产","——","个人所得税")</f>
        <v>个人所得税</v>
      </c>
      <c r="L55" s="3662"/>
      <c r="M55" s="2523" t="e">
        <f ca="1">D59</f>
        <v>#REF!</v>
      </c>
      <c r="N55" s="2037" t="str">
        <f>E59</f>
        <v>差额计税</v>
      </c>
      <c r="O55" s="2524">
        <f>F59</f>
        <v>0.01</v>
      </c>
    </row>
    <row r="56" spans="1:35" ht="24.75">
      <c r="A56" s="3612" t="s">
        <v>1363</v>
      </c>
      <c r="B56" s="3613"/>
      <c r="C56" s="3613"/>
      <c r="D56" s="2321" t="e">
        <f ca="1">IF(H56="个人住宅",D57,D58)</f>
        <v>#REF!</v>
      </c>
      <c r="E56" s="2331" t="s">
        <v>1364</v>
      </c>
      <c r="F56" s="2549" t="str">
        <f>IF(H56="正常",F58,"免征")</f>
        <v>免征</v>
      </c>
      <c r="G56" s="2552" t="s">
        <v>1365</v>
      </c>
      <c r="H56" s="2553"/>
      <c r="I56" s="1805"/>
      <c r="J56" s="2518" t="str">
        <f>IF(项目基本情况!K6="上海银行",IF(J55="",4,J55+1),"")</f>
        <v/>
      </c>
      <c r="K56" s="3685" t="str">
        <f>IF(项目基本情况!K6="上海银行","其他处置费用","")</f>
        <v/>
      </c>
      <c r="L56" s="3686"/>
      <c r="M56" s="2520" t="str">
        <f>IF(项目基本情况!K6="上海银行",M69,"")</f>
        <v/>
      </c>
      <c r="N56" s="3685" t="str">
        <f>IF(项目基本情况!K6="上海银行","包含处置中涉及的律师、诉讼、拍卖、评估等费用","")</f>
        <v/>
      </c>
      <c r="O56" s="3688"/>
    </row>
    <row r="57" spans="1:35" ht="12.75">
      <c r="A57" s="2332" t="s">
        <v>1341</v>
      </c>
      <c r="B57" s="3623" t="s">
        <v>1366</v>
      </c>
      <c r="C57" s="3624"/>
      <c r="D57" s="1587">
        <v>0</v>
      </c>
      <c r="E57" s="324" t="s">
        <v>1343</v>
      </c>
      <c r="F57" s="302"/>
      <c r="G57" s="2550"/>
      <c r="H57" s="2554"/>
      <c r="I57" s="1805"/>
      <c r="J57" s="3662">
        <f>IF(AND(J55="",J56=""),4,IF(项目基本情况!K6="上海银行",结果表!J56+1,结果表!J55+1))</f>
        <v>5</v>
      </c>
      <c r="K57" s="3662" t="s">
        <v>1367</v>
      </c>
      <c r="L57" s="2525" t="s">
        <v>1368</v>
      </c>
      <c r="M57" s="2526"/>
      <c r="N57" s="2527">
        <f ca="1">SUMIF(M52:M56,"&lt;9e307")</f>
        <v>0</v>
      </c>
      <c r="O57" s="2528"/>
      <c r="P57" s="2685" t="e">
        <f ca="1">N57/M49</f>
        <v>#VALUE!</v>
      </c>
    </row>
    <row r="58" spans="1:35" ht="24.75">
      <c r="A58" s="2332" t="s">
        <v>1352</v>
      </c>
      <c r="B58" s="3623" t="s">
        <v>1369</v>
      </c>
      <c r="C58" s="3597"/>
      <c r="D58" s="2321" t="e">
        <f ca="1">IF(H58="转让取得",C81,C97)</f>
        <v>#REF!</v>
      </c>
      <c r="E58" s="2331" t="s">
        <v>1364</v>
      </c>
      <c r="F58" s="302" t="s">
        <v>28</v>
      </c>
      <c r="G58" s="2550"/>
      <c r="H58" s="2553"/>
      <c r="I58" s="1805"/>
      <c r="J58" s="3662"/>
      <c r="K58" s="3662"/>
      <c r="L58" s="2525" t="s">
        <v>1370</v>
      </c>
      <c r="M58" s="2529"/>
      <c r="N58" s="2530" t="str">
        <f ca="1">NUMBERSTRING(INT(N57*10000),2)&amp;"元整"</f>
        <v>零元整</v>
      </c>
      <c r="O58" s="2531"/>
    </row>
    <row r="59" spans="1:35" ht="24.75" thickBot="1">
      <c r="A59" s="3665" t="s">
        <v>1371</v>
      </c>
      <c r="B59" s="3666"/>
      <c r="C59" s="366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3">
        <f>J57+1</f>
        <v>6</v>
      </c>
      <c r="K59" s="3662" t="s">
        <v>1372</v>
      </c>
      <c r="L59" s="2518" t="s">
        <v>1368</v>
      </c>
      <c r="M59" s="2532"/>
      <c r="N59" s="2533" t="e">
        <f ca="1">M49-N57</f>
        <v>#VALUE!</v>
      </c>
      <c r="O59" s="2534"/>
    </row>
    <row r="60" spans="1:35" ht="12" customHeight="1">
      <c r="A60" s="1806"/>
      <c r="B60" s="1744"/>
      <c r="C60" s="1744"/>
      <c r="D60" s="1744"/>
      <c r="E60" s="1575"/>
      <c r="F60" s="1805"/>
      <c r="G60" s="1805"/>
      <c r="H60" s="1807"/>
      <c r="I60" s="129"/>
      <c r="J60" s="3664"/>
      <c r="K60" s="3662"/>
      <c r="L60" s="2525" t="s">
        <v>1370</v>
      </c>
      <c r="M60" s="2529"/>
      <c r="N60" s="2530" t="e">
        <f ca="1">NUMBERSTRING(INT(N59*10000),2)&amp;"元整"</f>
        <v>#VALUE!</v>
      </c>
      <c r="O60" s="2531"/>
    </row>
    <row r="61" spans="1:35" ht="13.5" thickBot="1">
      <c r="A61" s="3610" t="s">
        <v>1373</v>
      </c>
      <c r="B61" s="3610"/>
      <c r="C61" s="3610"/>
      <c r="D61" s="3610"/>
      <c r="E61" s="3610"/>
      <c r="F61" s="1805"/>
      <c r="G61" s="1805"/>
      <c r="H61" s="1807"/>
      <c r="I61" s="129"/>
      <c r="J61" s="2518">
        <f>J59+1</f>
        <v>7</v>
      </c>
      <c r="K61" s="3662" t="s">
        <v>1374</v>
      </c>
      <c r="L61" s="3662"/>
      <c r="M61" s="2535"/>
      <c r="N61" s="2536" t="e">
        <f ca="1">ROUND(N59*10000/'数据-汇总表'!E3,0)</f>
        <v>#VALUE!</v>
      </c>
      <c r="O61" s="2537"/>
    </row>
    <row r="62" spans="1:35" ht="12.75">
      <c r="A62" s="3628" t="s">
        <v>1375</v>
      </c>
      <c r="B62" s="3629"/>
      <c r="C62" s="2018"/>
      <c r="D62" s="2018"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87" t="s">
        <v>1379</v>
      </c>
      <c r="K63" s="1329" t="s">
        <v>1380</v>
      </c>
      <c r="L63" s="1329"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87"/>
      <c r="K64" s="1329" t="s">
        <v>1382</v>
      </c>
      <c r="L64" s="132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87"/>
      <c r="K65" s="1329" t="s">
        <v>1385</v>
      </c>
      <c r="L65" s="1329"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87"/>
      <c r="K66" s="1329" t="s">
        <v>1387</v>
      </c>
      <c r="L66" s="1329"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87"/>
      <c r="K67" s="1329" t="s">
        <v>1390</v>
      </c>
      <c r="L67" s="132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87"/>
      <c r="K68" s="1329" t="s">
        <v>1392</v>
      </c>
      <c r="L68" s="1329"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7"/>
      <c r="K69" s="1329" t="s">
        <v>1393</v>
      </c>
      <c r="L69" s="1329"/>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8" t="s">
        <v>1375</v>
      </c>
      <c r="B71" s="3629"/>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3" t="s">
        <v>1402</v>
      </c>
      <c r="F76" s="3597"/>
      <c r="G76" s="3597"/>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07" t="s">
        <v>1406</v>
      </c>
      <c r="F78" s="3608"/>
      <c r="G78" s="3608"/>
      <c r="H78" s="361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8" t="s">
        <v>1375</v>
      </c>
      <c r="B84" s="3629"/>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89" t="s">
        <v>2128</v>
      </c>
      <c r="H90" s="369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7" t="s">
        <v>1419</v>
      </c>
      <c r="F91" s="3608"/>
      <c r="G91" s="360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7" t="s">
        <v>1422</v>
      </c>
      <c r="F92" s="3608"/>
      <c r="G92" s="3608"/>
      <c r="H92" s="3617"/>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07" t="s">
        <v>1406</v>
      </c>
      <c r="F93" s="3608"/>
      <c r="G93" s="3608"/>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8" t="s">
        <v>1426</v>
      </c>
      <c r="F94" s="3619"/>
      <c r="G94" s="3619"/>
      <c r="H94" s="362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9" t="s">
        <v>1428</v>
      </c>
      <c r="B100" s="3590"/>
      <c r="C100" s="3590"/>
      <c r="D100" s="3609"/>
      <c r="E100" s="3590" t="s">
        <v>1429</v>
      </c>
      <c r="F100" s="3590"/>
      <c r="G100" s="3590"/>
      <c r="H100" s="3609"/>
      <c r="I100" s="129"/>
    </row>
    <row r="101" spans="1:35" ht="18.75" customHeight="1">
      <c r="A101" s="3670" t="s">
        <v>1430</v>
      </c>
      <c r="B101" s="3671"/>
      <c r="C101" s="2580" t="str">
        <f>C4</f>
        <v>比较法-办公</v>
      </c>
      <c r="D101" s="2581" t="str">
        <f>D4</f>
        <v>收益法 (元)</v>
      </c>
      <c r="E101" s="3684" t="s">
        <v>1431</v>
      </c>
      <c r="F101" s="3641"/>
      <c r="G101" s="1824" t="s">
        <v>1432</v>
      </c>
      <c r="H101" s="2590" t="e">
        <f ca="1">H118</f>
        <v>#REF!</v>
      </c>
      <c r="I101" s="129"/>
    </row>
    <row r="102" spans="1:35" ht="18.75" customHeight="1">
      <c r="A102" s="3643" t="s">
        <v>1433</v>
      </c>
      <c r="B102" s="2579" t="s">
        <v>1432</v>
      </c>
      <c r="C102" s="2580">
        <f ca="1">IF(D32="楼面单价",ROUND(C19,0),C19)</f>
        <v>1060.8891000000001</v>
      </c>
      <c r="D102" s="2581">
        <f ca="1">IF(D32="楼面单价",ROUND(D19,0),D19)</f>
        <v>643.66079999999999</v>
      </c>
      <c r="E102" s="3684"/>
      <c r="F102" s="3641"/>
      <c r="G102" s="1824" t="s">
        <v>1434</v>
      </c>
      <c r="H102" s="2550" t="e">
        <f ca="1">I118</f>
        <v>#REF!</v>
      </c>
      <c r="I102" s="129"/>
    </row>
    <row r="103" spans="1:35" ht="42.75" customHeight="1">
      <c r="A103" s="3643"/>
      <c r="B103" s="2579" t="s">
        <v>1434</v>
      </c>
      <c r="C103" s="2582">
        <f ca="1">C20</f>
        <v>51462</v>
      </c>
      <c r="D103" s="2583">
        <f ca="1">D20</f>
        <v>31223</v>
      </c>
      <c r="E103" s="3678" t="s">
        <v>1435</v>
      </c>
      <c r="F103" s="3679"/>
      <c r="G103" s="1825" t="s">
        <v>1436</v>
      </c>
      <c r="H103" s="2590">
        <f>IF(D36="正常操作",H104+H105+H106,H105+H106)</f>
        <v>0</v>
      </c>
      <c r="I103" s="129"/>
    </row>
    <row r="104" spans="1:35" ht="18.75" customHeight="1">
      <c r="A104" s="3643"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4"/>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41"/>
      <c r="G107" s="1824" t="s">
        <v>1432</v>
      </c>
      <c r="H107" s="2590" t="e">
        <f ca="1">IF(E107="——","——",H101-H103)</f>
        <v>#REF!</v>
      </c>
      <c r="I107" s="129"/>
    </row>
    <row r="108" spans="1:35" ht="18.75" customHeight="1">
      <c r="A108" s="129"/>
      <c r="B108" s="129"/>
      <c r="C108" s="129"/>
      <c r="D108" s="129"/>
      <c r="E108" s="3640"/>
      <c r="F108" s="3641"/>
      <c r="G108" s="1824" t="s">
        <v>1434</v>
      </c>
      <c r="H108" s="2550">
        <f ca="1">IF(H107=H101,H102,ROUND(H107*10000/'数据-汇总表'!E3,0))</f>
        <v>0</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4" t="s">
        <v>1432</v>
      </c>
      <c r="H109" s="2593" t="str">
        <f>IF(E109="——","——",H101-H105-H106)</f>
        <v>——</v>
      </c>
      <c r="I109" s="129"/>
    </row>
    <row r="110" spans="1:35" ht="18.75" customHeight="1">
      <c r="A110" s="129"/>
      <c r="B110" s="129"/>
      <c r="C110" s="129"/>
      <c r="D110" s="129"/>
      <c r="E110" s="3640"/>
      <c r="F110" s="3641"/>
      <c r="G110" s="1824" t="s">
        <v>1434</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4" t="s">
        <v>1432</v>
      </c>
      <c r="H111" s="2590" t="str">
        <f>IF(E111="——","——",N59)</f>
        <v>——</v>
      </c>
      <c r="I111" s="129"/>
    </row>
    <row r="112" spans="1:35" ht="18.75" customHeight="1" thickBot="1">
      <c r="A112" s="129"/>
      <c r="B112" s="129"/>
      <c r="C112" s="129"/>
      <c r="D112" s="129"/>
      <c r="E112" s="3673"/>
      <c r="F112" s="3674"/>
      <c r="G112" s="1827" t="s">
        <v>1434</v>
      </c>
      <c r="H112" s="2594" t="str">
        <f>IF(E111="——","——",N61)</f>
        <v>——</v>
      </c>
      <c r="I112" s="129"/>
    </row>
    <row r="113" spans="1:27" ht="18.75" customHeight="1">
      <c r="A113" s="129"/>
      <c r="B113" s="129"/>
      <c r="C113" s="129"/>
      <c r="D113" s="129"/>
      <c r="E113" s="3645" t="s">
        <v>1440</v>
      </c>
      <c r="F113" s="3645"/>
      <c r="G113" s="3645"/>
      <c r="H113" s="3645"/>
      <c r="I113" s="129"/>
    </row>
    <row r="114" spans="1:27" ht="3.75" customHeight="1">
      <c r="A114" s="1744"/>
      <c r="B114" s="1744"/>
      <c r="C114" s="1744"/>
      <c r="D114" s="1744"/>
      <c r="E114" s="1806"/>
      <c r="F114" s="1806"/>
      <c r="G114" s="1806"/>
      <c r="H114" s="1806"/>
      <c r="I114" s="1744"/>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11" t="s">
        <v>1452</v>
      </c>
      <c r="B119" s="3611"/>
      <c r="C119" s="3611"/>
      <c r="D119" s="3651" t="e">
        <f ca="1">NUMBERSTRING(INT(D118*10000),2)&amp;"元整"</f>
        <v>#REF!</v>
      </c>
      <c r="E119" s="3653"/>
      <c r="F119" s="3651" t="e">
        <f ca="1">NUMBERSTRING(INT(F118*10000),2)&amp;"元整"</f>
        <v>#REF!</v>
      </c>
      <c r="G119" s="3653"/>
      <c r="H119" s="3651" t="e">
        <f ca="1">NUMBERSTRING(INT(H118*10000),2)&amp;"元整"</f>
        <v>#REF!</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1" t="s">
        <v>1452</v>
      </c>
      <c r="B121" s="3652"/>
      <c r="C121" s="3653"/>
      <c r="D121" s="3651" t="str">
        <f>IF(D120=0,"零元整",NUMBERSTRING(INT(D120*10000),2)&amp;"元整")</f>
        <v>零元整</v>
      </c>
      <c r="E121" s="3652"/>
      <c r="F121" s="3652"/>
      <c r="G121" s="3652"/>
      <c r="H121" s="3652"/>
      <c r="I121" s="3653"/>
      <c r="AA121" s="722"/>
    </row>
    <row r="122" spans="1:27" ht="18.75" customHeight="1">
      <c r="A122" s="3642" t="str">
        <f>IF(项目基本情况!B9="房地产市场价值","",MID(E107,3,LEN(E107)-2))</f>
        <v>房地产抵押价值</v>
      </c>
      <c r="B122" s="3642"/>
      <c r="C122" s="3642"/>
      <c r="D122" s="3675" t="e">
        <f ca="1">H107</f>
        <v>#REF!</v>
      </c>
      <c r="E122" s="3676"/>
      <c r="F122" s="3676"/>
      <c r="G122" s="3676"/>
      <c r="H122" s="3676"/>
      <c r="I122" s="3677"/>
      <c r="AA122" s="722"/>
    </row>
    <row r="123" spans="1:27" ht="18.75" customHeight="1">
      <c r="A123" s="3611" t="s">
        <v>1452</v>
      </c>
      <c r="B123" s="3611"/>
      <c r="C123" s="3611"/>
      <c r="D123" s="3651" t="e">
        <f ca="1">NUMBERSTRING(INT(D122*10000),2)&amp;"元整"</f>
        <v>#REF!</v>
      </c>
      <c r="E123" s="3652"/>
      <c r="F123" s="3652"/>
      <c r="G123" s="3652"/>
      <c r="H123" s="3652"/>
      <c r="I123" s="3653"/>
      <c r="AA123" s="722"/>
    </row>
    <row r="124" spans="1:27" ht="18.75" customHeight="1">
      <c r="A124" s="3642" t="str">
        <f>IF(项目基本情况!B9="房地产市场价值","",MID(E109,3,LEN(E109)-2))</f>
        <v/>
      </c>
      <c r="B124" s="3642"/>
      <c r="C124" s="3642"/>
      <c r="D124" s="3675" t="str">
        <f>H109</f>
        <v>——</v>
      </c>
      <c r="E124" s="3676"/>
      <c r="F124" s="3676"/>
      <c r="G124" s="3676"/>
      <c r="H124" s="3676"/>
      <c r="I124" s="3677"/>
      <c r="AA124" s="722"/>
    </row>
    <row r="125" spans="1:27" ht="18.75" customHeight="1">
      <c r="A125" s="3611" t="s">
        <v>1452</v>
      </c>
      <c r="B125" s="3611"/>
      <c r="C125" s="3611"/>
      <c r="D125" s="3651" t="e">
        <f>NUMBERSTRING(INT(D124*10000),2)&amp;"元整"</f>
        <v>#VALUE!</v>
      </c>
      <c r="E125" s="3652"/>
      <c r="F125" s="3652"/>
      <c r="G125" s="3652"/>
      <c r="H125" s="3652"/>
      <c r="I125" s="3653"/>
      <c r="AA125" s="722"/>
    </row>
    <row r="126" spans="1:27" ht="18.75" customHeight="1">
      <c r="A126" s="3642" t="str">
        <f>IF(项目基本情况!B9="房地产市场价值","",MID(E111,3,LEN(E111)-2))</f>
        <v/>
      </c>
      <c r="B126" s="3642"/>
      <c r="C126" s="3642"/>
      <c r="D126" s="3675" t="str">
        <f>H111</f>
        <v>——</v>
      </c>
      <c r="E126" s="3676"/>
      <c r="F126" s="3676"/>
      <c r="G126" s="3676"/>
      <c r="H126" s="3676"/>
      <c r="I126" s="3677"/>
      <c r="AA126" s="722"/>
    </row>
    <row r="127" spans="1:27" ht="18.75" customHeight="1">
      <c r="A127" s="3611" t="s">
        <v>1452</v>
      </c>
      <c r="B127" s="3611"/>
      <c r="C127" s="3611"/>
      <c r="D127" s="3651" t="e">
        <f>NUMBERSTRING(INT(D126*10000),2)&amp;"元整"</f>
        <v>#VALUE!</v>
      </c>
      <c r="E127" s="3652"/>
      <c r="F127" s="3652"/>
      <c r="G127" s="3652"/>
      <c r="H127" s="3652"/>
      <c r="I127" s="3653"/>
      <c r="AA127" s="722"/>
    </row>
    <row r="128" spans="1:27" ht="21.75" customHeight="1">
      <c r="A128" s="3658" t="s">
        <v>1453</v>
      </c>
      <c r="B128" s="3658"/>
      <c r="C128" s="3658"/>
      <c r="D128" s="3658"/>
      <c r="E128" s="3658"/>
      <c r="F128" s="3658"/>
      <c r="G128" s="3658"/>
      <c r="H128" s="3658"/>
      <c r="I128" s="365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6" t="str">
        <f>项目基本情况!B1</f>
        <v>北京市房地产抵押价值预评估</v>
      </c>
      <c r="C37" s="3506"/>
      <c r="D37" s="3506"/>
      <c r="E37" s="3506"/>
      <c r="F37" s="3506"/>
      <c r="G37" s="3506"/>
      <c r="H37" s="3506"/>
      <c r="I37" s="3506"/>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353</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5722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14</v>
      </c>
      <c r="D35" s="220"/>
      <c r="E35" s="220"/>
      <c r="F35" s="259">
        <f>'数据-取费表'!B33</f>
        <v>0.05</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17</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17</v>
      </c>
      <c r="D42" s="238"/>
      <c r="E42" s="238"/>
      <c r="F42" s="239"/>
      <c r="G42" s="3691" t="s">
        <v>1544</v>
      </c>
    </row>
    <row r="43" spans="1:7" ht="13.5" customHeight="1">
      <c r="A43" s="777" t="s">
        <v>347</v>
      </c>
      <c r="B43" s="215" t="s">
        <v>1545</v>
      </c>
      <c r="C43" s="238">
        <f ca="1">ROUND(IF('数据-取费表'!B22&lt;=1,C39*F22*'数据-取费表'!B21/2,C39*(POWER((1+F22),'数据-取费表'!B21/2)-1)),0)</f>
        <v>0</v>
      </c>
      <c r="D43" s="238"/>
      <c r="E43" s="238"/>
      <c r="F43" s="239"/>
      <c r="G43" s="3692"/>
    </row>
    <row r="44" spans="1:7" ht="13.5" customHeight="1">
      <c r="A44" s="777" t="s">
        <v>348</v>
      </c>
      <c r="B44" s="215" t="s">
        <v>1546</v>
      </c>
      <c r="C44" s="238">
        <f ca="1">ROUND(IF('数据-取费表'!B22&lt;=1,C40*F22*'数据-取费表'!B21/2,C40*(POWER((1+F22),'数据-取费表'!B21/2)-1)),4)</f>
        <v>1.1000000000000001E-3</v>
      </c>
      <c r="D44" s="238"/>
      <c r="E44" s="238"/>
      <c r="F44" s="239"/>
      <c r="G44" s="3693"/>
    </row>
    <row r="45" spans="1:7" s="214" customFormat="1" ht="13.5" customHeight="1">
      <c r="A45" s="255" t="s">
        <v>1547</v>
      </c>
      <c r="B45" s="244" t="s">
        <v>1513</v>
      </c>
      <c r="C45" s="245">
        <f ca="1">C46</f>
        <v>57</v>
      </c>
      <c r="D45" s="235">
        <f ca="1">C47</f>
        <v>3.5999999999999999E-3</v>
      </c>
      <c r="E45" s="236" t="s">
        <v>1539</v>
      </c>
      <c r="F45" s="246">
        <f ca="1">F27</f>
        <v>0.18</v>
      </c>
      <c r="G45" s="247" t="s">
        <v>1548</v>
      </c>
    </row>
    <row r="46" spans="1:7" s="214" customFormat="1" ht="13.5" customHeight="1">
      <c r="A46" s="777" t="s">
        <v>346</v>
      </c>
      <c r="B46" s="248" t="s">
        <v>1549</v>
      </c>
      <c r="C46" s="249">
        <f ca="1">ROUND((C33+C39)*F27,0)</f>
        <v>57</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337</v>
      </c>
      <c r="D51" s="232"/>
      <c r="E51" s="232"/>
      <c r="F51" s="264"/>
      <c r="G51" s="234" t="s">
        <v>1560</v>
      </c>
    </row>
    <row r="52" spans="1:7" s="208" customFormat="1" ht="16.5" thickBot="1">
      <c r="A52" s="265" t="s">
        <v>1561</v>
      </c>
      <c r="B52" s="266"/>
      <c r="C52" s="267">
        <f ca="1">C31+C51</f>
        <v>353</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353.87720000000002</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5736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13745</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13612</v>
      </c>
      <c r="D24" s="238"/>
      <c r="E24" s="238"/>
      <c r="F24" s="239"/>
      <c r="G24" s="240" t="s">
        <v>1586</v>
      </c>
    </row>
    <row r="25" spans="1:7" s="214" customFormat="1" ht="24">
      <c r="A25" s="777" t="s">
        <v>1476</v>
      </c>
      <c r="B25" s="215" t="s">
        <v>1587</v>
      </c>
      <c r="C25" s="1125">
        <f ca="1">ROUND(IF('数据-取费表'!B22&lt;=1,C20*F22*'数据-取费表'!B22/2,C20*(POWER((1+F22),'数据-取费表'!B22/2)-1)),0)</f>
        <v>133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175969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3079823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138800</v>
      </c>
      <c r="D35" s="220"/>
      <c r="E35" s="220"/>
      <c r="F35" s="259">
        <f>'数据-取费表'!B33</f>
        <v>0.05</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61596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168757</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165448</v>
      </c>
      <c r="D42" s="238"/>
      <c r="E42" s="238"/>
      <c r="F42" s="239"/>
      <c r="G42" s="3691" t="s">
        <v>1591</v>
      </c>
    </row>
    <row r="43" spans="1:7" ht="13.5" customHeight="1">
      <c r="A43" s="777" t="s">
        <v>347</v>
      </c>
      <c r="B43" s="215" t="s">
        <v>1545</v>
      </c>
      <c r="C43" s="238">
        <f ca="1">ROUND(IF('数据-取费表'!B22&lt;=1,C39*F22*'数据-取费表'!B20/2,C39*(POWER((1+F22),'数据-取费表'!B20/2)-1)),0)</f>
        <v>3309</v>
      </c>
      <c r="D43" s="238"/>
      <c r="E43" s="238"/>
      <c r="F43" s="239"/>
      <c r="G43" s="3692"/>
    </row>
    <row r="44" spans="1:7" ht="13.5" customHeight="1">
      <c r="A44" s="777" t="s">
        <v>348</v>
      </c>
      <c r="B44" s="215" t="s">
        <v>1546</v>
      </c>
      <c r="C44" s="238">
        <f ca="1">ROUND(IF('数据-取费表'!B22&lt;=1,C40*F22*'数据-取费表'!B20/2,C40*(POWER((1+F22),'数据-取费表'!B20/2)-1)),4)</f>
        <v>1.1000000000000001E-3</v>
      </c>
      <c r="D44" s="238"/>
      <c r="E44" s="238"/>
      <c r="F44" s="239"/>
      <c r="G44" s="3693"/>
    </row>
    <row r="45" spans="1:7" s="214" customFormat="1" ht="13.5" customHeight="1">
      <c r="A45" s="255" t="s">
        <v>1547</v>
      </c>
      <c r="B45" s="244" t="s">
        <v>1513</v>
      </c>
      <c r="C45" s="245">
        <f ca="1">C46</f>
        <v>565455</v>
      </c>
      <c r="D45" s="235">
        <f ca="1">C47</f>
        <v>3.5999999999999999E-3</v>
      </c>
      <c r="E45" s="236" t="s">
        <v>1539</v>
      </c>
      <c r="F45" s="246">
        <f ca="1">F27</f>
        <v>0.18</v>
      </c>
      <c r="G45" s="247" t="s">
        <v>1548</v>
      </c>
    </row>
    <row r="46" spans="1:7" s="214" customFormat="1" ht="13.5" customHeight="1">
      <c r="A46" s="777" t="s">
        <v>346</v>
      </c>
      <c r="B46" s="248" t="s">
        <v>1549</v>
      </c>
      <c r="C46" s="249">
        <f ca="1">ROUND((C33+C39)*F27,0)</f>
        <v>565455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4203504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3362803</v>
      </c>
      <c r="D51" s="232"/>
      <c r="E51" s="232"/>
      <c r="F51" s="264"/>
      <c r="G51" s="234" t="s">
        <v>1560</v>
      </c>
    </row>
    <row r="52" spans="1:7" s="208" customFormat="1" ht="16.5" thickBot="1">
      <c r="A52" s="265" t="s">
        <v>1561</v>
      </c>
      <c r="B52" s="266"/>
      <c r="C52" s="267">
        <f ca="1">C31+C51</f>
        <v>3538772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N41" sqref="N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16" t="s">
        <v>1775</v>
      </c>
      <c r="Q4" s="3717"/>
      <c r="R4" s="3722" t="s">
        <v>1771</v>
      </c>
      <c r="S4" s="3723"/>
      <c r="T4" s="3722" t="s">
        <v>1772</v>
      </c>
      <c r="U4" s="3723"/>
      <c r="V4" s="3728" t="s">
        <v>1773</v>
      </c>
      <c r="W4" s="3728"/>
      <c r="X4" s="1955"/>
      <c r="Y4" s="3722" t="s">
        <v>1775</v>
      </c>
      <c r="Z4" s="3723"/>
      <c r="AA4" s="3741" t="s">
        <v>1771</v>
      </c>
      <c r="AB4" s="3741" t="s">
        <v>1772</v>
      </c>
      <c r="AC4" s="3709" t="s">
        <v>1773</v>
      </c>
    </row>
    <row r="5" spans="1:29" ht="15">
      <c r="A5" s="358"/>
      <c r="B5" s="359"/>
      <c r="C5" s="3738" t="s">
        <v>1673</v>
      </c>
      <c r="D5" s="3733"/>
      <c r="E5" s="3744" t="s">
        <v>3482</v>
      </c>
      <c r="F5" s="3745"/>
      <c r="G5" s="3732" t="s">
        <v>3483</v>
      </c>
      <c r="H5" s="3733"/>
      <c r="I5" s="3732" t="s">
        <v>3442</v>
      </c>
      <c r="J5" s="3733"/>
      <c r="K5" s="559"/>
      <c r="L5" s="2710"/>
      <c r="M5" s="2711"/>
      <c r="N5" s="2711"/>
      <c r="O5" s="2711"/>
      <c r="P5" s="3718"/>
      <c r="Q5" s="3719"/>
      <c r="R5" s="3724"/>
      <c r="S5" s="3725"/>
      <c r="T5" s="3724"/>
      <c r="U5" s="3725"/>
      <c r="V5" s="3729"/>
      <c r="W5" s="3729"/>
      <c r="X5" s="1352"/>
      <c r="Y5" s="3724"/>
      <c r="Z5" s="3725"/>
      <c r="AA5" s="3742"/>
      <c r="AB5" s="3742"/>
      <c r="AC5" s="3710"/>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20"/>
      <c r="Q6" s="3721"/>
      <c r="R6" s="3724"/>
      <c r="S6" s="3725"/>
      <c r="T6" s="3726"/>
      <c r="U6" s="3727"/>
      <c r="V6" s="3729"/>
      <c r="W6" s="3729"/>
      <c r="X6" s="1352"/>
      <c r="Y6" s="3726"/>
      <c r="Z6" s="3727"/>
      <c r="AA6" s="3743"/>
      <c r="AB6" s="3743"/>
      <c r="AC6" s="3711"/>
    </row>
    <row r="7" spans="1:29" s="108" customFormat="1" ht="15.75" thickBot="1">
      <c r="A7" s="362" t="s">
        <v>1679</v>
      </c>
      <c r="B7" s="363"/>
      <c r="C7" s="364">
        <f>'数据-取费表'!B2</f>
        <v>45142</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34" t="s">
        <v>1680</v>
      </c>
      <c r="Q7" s="3737"/>
      <c r="R7" s="698" t="s">
        <v>14</v>
      </c>
      <c r="S7" s="699">
        <f t="shared" ref="S7:S15" si="0">F7</f>
        <v>100</v>
      </c>
      <c r="T7" s="698" t="s">
        <v>14</v>
      </c>
      <c r="U7" s="699">
        <f t="shared" ref="U7:U15" si="1">H7</f>
        <v>100</v>
      </c>
      <c r="V7" s="698" t="s">
        <v>14</v>
      </c>
      <c r="W7" s="699">
        <f t="shared" ref="W7:W15" si="2">J7</f>
        <v>100</v>
      </c>
      <c r="X7" s="700"/>
      <c r="Y7" s="3736" t="s">
        <v>1680</v>
      </c>
      <c r="Z7" s="3735"/>
      <c r="AA7" s="701">
        <f>D7/F7</f>
        <v>1</v>
      </c>
      <c r="AB7" s="701">
        <f>D7/H7</f>
        <v>1</v>
      </c>
      <c r="AC7" s="1956">
        <f>D7/J7</f>
        <v>1</v>
      </c>
    </row>
    <row r="8" spans="1:29" s="108" customFormat="1" ht="15.75" thickBot="1">
      <c r="A8" s="362" t="s">
        <v>1681</v>
      </c>
      <c r="B8" s="363"/>
      <c r="C8" s="368" t="s">
        <v>3443</v>
      </c>
      <c r="D8" s="365">
        <v>100</v>
      </c>
      <c r="E8" s="368" t="s">
        <v>3514</v>
      </c>
      <c r="F8" s="367">
        <f>SUMIF(62:62,E8,63:63)-SUMIF(62:62,C8,63:63)+100</f>
        <v>102</v>
      </c>
      <c r="G8" s="368" t="s">
        <v>3514</v>
      </c>
      <c r="H8" s="365">
        <f>SUMIF(62:62,G8,63:63)-SUMIF(62:62,C8,63:63)+100</f>
        <v>102</v>
      </c>
      <c r="I8" s="368" t="s">
        <v>3514</v>
      </c>
      <c r="J8" s="365">
        <f>SUMIF(62:62,I8,63:63)-SUMIF(62:62,C8,63:63)+100</f>
        <v>102</v>
      </c>
      <c r="K8" s="560"/>
      <c r="L8" s="2712"/>
      <c r="M8" s="2713"/>
      <c r="N8" s="2713"/>
      <c r="O8" s="2713"/>
      <c r="P8" s="3734" t="s">
        <v>1683</v>
      </c>
      <c r="Q8" s="3735"/>
      <c r="R8" s="698" t="s">
        <v>14</v>
      </c>
      <c r="S8" s="699">
        <f t="shared" si="0"/>
        <v>102</v>
      </c>
      <c r="T8" s="698" t="s">
        <v>14</v>
      </c>
      <c r="U8" s="699">
        <f t="shared" si="1"/>
        <v>102</v>
      </c>
      <c r="V8" s="698" t="s">
        <v>14</v>
      </c>
      <c r="W8" s="699">
        <f t="shared" si="2"/>
        <v>102</v>
      </c>
      <c r="X8" s="700"/>
      <c r="Y8" s="3736" t="s">
        <v>1683</v>
      </c>
      <c r="Z8" s="3735"/>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1956">
        <f t="shared" si="5"/>
        <v>1</v>
      </c>
    </row>
    <row r="10" spans="1:29" s="378" customFormat="1" ht="27.75" thickTop="1">
      <c r="A10" s="374"/>
      <c r="B10" s="375" t="s">
        <v>1688</v>
      </c>
      <c r="C10" s="532" t="s">
        <v>3519</v>
      </c>
      <c r="D10" s="127">
        <v>100</v>
      </c>
      <c r="E10" s="532" t="s">
        <v>3520</v>
      </c>
      <c r="F10" s="127">
        <f>SUMIF(66:66,E10,67:67)-SUMIF(66:66,C10,67:67)+100</f>
        <v>99</v>
      </c>
      <c r="G10" s="532" t="s">
        <v>3520</v>
      </c>
      <c r="H10" s="127">
        <f>SUMIF(66:66,G10,67:67)-SUMIF(66:66,C10,67:67)+100</f>
        <v>99</v>
      </c>
      <c r="I10" s="532" t="s">
        <v>3519</v>
      </c>
      <c r="J10" s="127">
        <f>SUMIF(66:66,I10,67:67)-SUMIF(66:66,C10,67:67)+100</f>
        <v>100</v>
      </c>
      <c r="K10" s="560"/>
      <c r="L10" s="2714"/>
      <c r="M10" s="2715"/>
      <c r="N10" s="2715"/>
      <c r="O10" s="2715"/>
      <c r="P10" s="3694"/>
      <c r="Q10" s="1340" t="str">
        <f t="shared" si="6"/>
        <v>土地使用年限（年）</v>
      </c>
      <c r="R10" s="698" t="s">
        <v>14</v>
      </c>
      <c r="S10" s="699">
        <f t="shared" si="0"/>
        <v>99</v>
      </c>
      <c r="T10" s="698" t="s">
        <v>14</v>
      </c>
      <c r="U10" s="699">
        <f t="shared" si="1"/>
        <v>99</v>
      </c>
      <c r="V10" s="698" t="s">
        <v>14</v>
      </c>
      <c r="W10" s="699">
        <f t="shared" si="2"/>
        <v>100</v>
      </c>
      <c r="X10" s="700"/>
      <c r="Y10" s="3598"/>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4"/>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4"/>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4"/>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694"/>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00" t="s">
        <v>1691</v>
      </c>
      <c r="Q15" s="1349" t="str">
        <f t="shared" si="6"/>
        <v>办公集聚程度</v>
      </c>
      <c r="R15" s="702" t="s">
        <v>14</v>
      </c>
      <c r="S15" s="703">
        <f t="shared" si="0"/>
        <v>100</v>
      </c>
      <c r="T15" s="702" t="s">
        <v>14</v>
      </c>
      <c r="U15" s="703">
        <f t="shared" si="1"/>
        <v>100</v>
      </c>
      <c r="V15" s="702" t="s">
        <v>14</v>
      </c>
      <c r="W15" s="703">
        <f t="shared" si="2"/>
        <v>100</v>
      </c>
      <c r="X15" s="1352"/>
      <c r="Y15" s="3702"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01"/>
      <c r="Q16" s="1349"/>
      <c r="R16" s="702"/>
      <c r="S16" s="703"/>
      <c r="T16" s="702"/>
      <c r="U16" s="703"/>
      <c r="V16" s="702"/>
      <c r="W16" s="703"/>
      <c r="X16" s="1352"/>
      <c r="Y16" s="3703"/>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01"/>
      <c r="Q18" s="1349"/>
      <c r="R18" s="702"/>
      <c r="S18" s="703"/>
      <c r="T18" s="702"/>
      <c r="U18" s="703"/>
      <c r="V18" s="702"/>
      <c r="W18" s="703"/>
      <c r="X18" s="1352"/>
      <c r="Y18" s="3703"/>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01"/>
      <c r="Q20" s="1349"/>
      <c r="R20" s="702"/>
      <c r="S20" s="703"/>
      <c r="T20" s="702"/>
      <c r="U20" s="703"/>
      <c r="V20" s="702"/>
      <c r="W20" s="703"/>
      <c r="X20" s="1352"/>
      <c r="Y20" s="3703"/>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01"/>
      <c r="Q22" s="1349"/>
      <c r="R22" s="702"/>
      <c r="S22" s="703"/>
      <c r="T22" s="702"/>
      <c r="U22" s="703"/>
      <c r="V22" s="702"/>
      <c r="W22" s="703"/>
      <c r="X22" s="1352"/>
      <c r="Y22" s="3703"/>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01"/>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01"/>
      <c r="Q24" s="1349"/>
      <c r="R24" s="702"/>
      <c r="S24" s="703"/>
      <c r="T24" s="702"/>
      <c r="U24" s="703"/>
      <c r="V24" s="702"/>
      <c r="W24" s="703"/>
      <c r="X24" s="1352"/>
      <c r="Y24" s="3703"/>
      <c r="Z24" s="1353"/>
      <c r="AA24" s="1350">
        <v>1</v>
      </c>
      <c r="AB24" s="1350">
        <v>1</v>
      </c>
      <c r="AC24" s="1959">
        <v>1</v>
      </c>
    </row>
    <row r="25" spans="1:29" ht="27">
      <c r="A25" s="358"/>
      <c r="B25" s="578" t="s">
        <v>1815</v>
      </c>
      <c r="C25" s="3486" t="s">
        <v>3447</v>
      </c>
      <c r="D25" s="386">
        <v>100</v>
      </c>
      <c r="E25" s="3486" t="s">
        <v>3486</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01"/>
      <c r="Q25" s="1349" t="str">
        <f>B25</f>
        <v>毗邻道路的类型与等级</v>
      </c>
      <c r="R25" s="702" t="s">
        <v>14</v>
      </c>
      <c r="S25" s="703">
        <f>F25</f>
        <v>99</v>
      </c>
      <c r="T25" s="702" t="s">
        <v>14</v>
      </c>
      <c r="U25" s="703">
        <f>H25</f>
        <v>100</v>
      </c>
      <c r="V25" s="702" t="s">
        <v>14</v>
      </c>
      <c r="W25" s="703">
        <f>J25</f>
        <v>100</v>
      </c>
      <c r="X25" s="1352"/>
      <c r="Y25" s="3703"/>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3485</v>
      </c>
      <c r="F26" s="386"/>
      <c r="G26" s="581" t="s">
        <v>3448</v>
      </c>
      <c r="H26" s="386"/>
      <c r="I26" s="581" t="s">
        <v>3448</v>
      </c>
      <c r="J26" s="386"/>
      <c r="K26" s="564"/>
      <c r="L26" s="2717"/>
      <c r="M26" s="2711"/>
      <c r="N26" s="2711"/>
      <c r="O26" s="2711"/>
      <c r="P26" s="3701"/>
      <c r="Q26" s="1349"/>
      <c r="R26" s="702"/>
      <c r="S26" s="703"/>
      <c r="T26" s="702"/>
      <c r="U26" s="703"/>
      <c r="V26" s="702"/>
      <c r="W26" s="703"/>
      <c r="X26" s="1352"/>
      <c r="Y26" s="3703"/>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01"/>
      <c r="Q27" s="1349" t="str">
        <f t="shared" ref="Q27:Q47" si="11">B27</f>
        <v>楼层</v>
      </c>
      <c r="R27" s="702" t="s">
        <v>14</v>
      </c>
      <c r="S27" s="703">
        <f>F27</f>
        <v>103</v>
      </c>
      <c r="T27" s="702" t="s">
        <v>14</v>
      </c>
      <c r="U27" s="703">
        <f>H27</f>
        <v>100</v>
      </c>
      <c r="V27" s="702" t="s">
        <v>14</v>
      </c>
      <c r="W27" s="703">
        <f>J27</f>
        <v>103</v>
      </c>
      <c r="X27" s="1352"/>
      <c r="Y27" s="3703"/>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01"/>
      <c r="Q28" s="1340" t="str">
        <f t="shared" si="11"/>
        <v>朝向</v>
      </c>
      <c r="R28" s="698" t="s">
        <v>14</v>
      </c>
      <c r="S28" s="699">
        <f>F28</f>
        <v>100</v>
      </c>
      <c r="T28" s="698" t="s">
        <v>14</v>
      </c>
      <c r="U28" s="699">
        <f>H28</f>
        <v>100</v>
      </c>
      <c r="V28" s="698" t="s">
        <v>14</v>
      </c>
      <c r="W28" s="699">
        <f>J28</f>
        <v>100</v>
      </c>
      <c r="X28" s="700"/>
      <c r="Y28" s="3703"/>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01"/>
      <c r="Q29" s="1349">
        <f t="shared" si="11"/>
        <v>111</v>
      </c>
      <c r="R29" s="702" t="s">
        <v>14</v>
      </c>
      <c r="S29" s="703">
        <f t="shared" ref="S29:S47" si="12">F29</f>
        <v>100</v>
      </c>
      <c r="T29" s="702" t="s">
        <v>14</v>
      </c>
      <c r="U29" s="703">
        <f t="shared" ref="U29:U47" si="13">H29</f>
        <v>100</v>
      </c>
      <c r="V29" s="702" t="s">
        <v>14</v>
      </c>
      <c r="W29" s="703">
        <f t="shared" ref="W29:W47" si="14">J29</f>
        <v>100</v>
      </c>
      <c r="X29" s="1352"/>
      <c r="Y29" s="3703"/>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01"/>
      <c r="Q32" s="1349">
        <f t="shared" si="11"/>
        <v>111</v>
      </c>
      <c r="R32" s="702" t="s">
        <v>14</v>
      </c>
      <c r="S32" s="703">
        <f t="shared" si="12"/>
        <v>100</v>
      </c>
      <c r="T32" s="702" t="s">
        <v>14</v>
      </c>
      <c r="U32" s="703">
        <f t="shared" si="13"/>
        <v>100</v>
      </c>
      <c r="V32" s="702" t="s">
        <v>14</v>
      </c>
      <c r="W32" s="703">
        <f t="shared" si="14"/>
        <v>100</v>
      </c>
      <c r="X32" s="1352"/>
      <c r="Y32" s="3703"/>
      <c r="Z32" s="1353">
        <f t="shared" si="15"/>
        <v>111</v>
      </c>
      <c r="AA32" s="1350">
        <f t="shared" si="3"/>
        <v>1</v>
      </c>
      <c r="AB32" s="1350">
        <f t="shared" si="4"/>
        <v>1</v>
      </c>
      <c r="AC32" s="1959">
        <f t="shared" si="5"/>
        <v>1</v>
      </c>
    </row>
    <row r="33" spans="1:29" ht="15">
      <c r="A33" s="391" t="s">
        <v>1694</v>
      </c>
      <c r="B33" s="63" t="s">
        <v>1817</v>
      </c>
      <c r="C33" s="1964" t="s">
        <v>3475</v>
      </c>
      <c r="D33" s="418">
        <v>100</v>
      </c>
      <c r="E33" s="1964" t="s">
        <v>3484</v>
      </c>
      <c r="F33" s="412">
        <f>SUMIF(101:101,E33,102:102)-SUMIF(101:101,C33,102:102)+100</f>
        <v>103</v>
      </c>
      <c r="G33" s="1964" t="s">
        <v>3484</v>
      </c>
      <c r="H33" s="386">
        <f>SUMIF(101:101,G33,102:102)-SUMIF(101:101,C33,102:102)+100</f>
        <v>103</v>
      </c>
      <c r="I33" s="1964" t="s">
        <v>3475</v>
      </c>
      <c r="J33" s="418">
        <f>SUMIF(101:101,I33,102:102)-SUMIF(101:101,C33,102:102)+100</f>
        <v>100</v>
      </c>
      <c r="K33" s="561">
        <v>3</v>
      </c>
      <c r="L33" s="2717"/>
      <c r="M33" s="2711"/>
      <c r="N33" s="2711"/>
      <c r="O33" s="2711"/>
      <c r="P33" s="3704" t="s">
        <v>1696</v>
      </c>
      <c r="Q33" s="1349" t="str">
        <f t="shared" si="11"/>
        <v>建筑类型</v>
      </c>
      <c r="R33" s="702" t="s">
        <v>14</v>
      </c>
      <c r="S33" s="703">
        <f t="shared" si="12"/>
        <v>103</v>
      </c>
      <c r="T33" s="702" t="s">
        <v>14</v>
      </c>
      <c r="U33" s="703">
        <f t="shared" si="13"/>
        <v>103</v>
      </c>
      <c r="V33" s="702" t="s">
        <v>14</v>
      </c>
      <c r="W33" s="703">
        <f t="shared" si="14"/>
        <v>100</v>
      </c>
      <c r="X33" s="1352"/>
      <c r="Y33" s="3707"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05"/>
      <c r="Q34" s="704" t="str">
        <f t="shared" si="11"/>
        <v>项目建筑规模</v>
      </c>
      <c r="R34" s="705" t="s">
        <v>14</v>
      </c>
      <c r="S34" s="706">
        <f t="shared" si="12"/>
        <v>100</v>
      </c>
      <c r="T34" s="705" t="s">
        <v>14</v>
      </c>
      <c r="U34" s="706">
        <f t="shared" si="13"/>
        <v>100</v>
      </c>
      <c r="V34" s="705" t="s">
        <v>14</v>
      </c>
      <c r="W34" s="706">
        <f t="shared" si="14"/>
        <v>99</v>
      </c>
      <c r="X34" s="707"/>
      <c r="Y34" s="3707"/>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05"/>
      <c r="Q35" s="1349" t="str">
        <f t="shared" si="11"/>
        <v>建筑结构</v>
      </c>
      <c r="R35" s="702" t="s">
        <v>14</v>
      </c>
      <c r="S35" s="703">
        <f t="shared" si="12"/>
        <v>100</v>
      </c>
      <c r="T35" s="702" t="s">
        <v>14</v>
      </c>
      <c r="U35" s="703">
        <f t="shared" si="13"/>
        <v>100</v>
      </c>
      <c r="V35" s="702" t="s">
        <v>14</v>
      </c>
      <c r="W35" s="703">
        <f t="shared" si="14"/>
        <v>100</v>
      </c>
      <c r="X35" s="1352"/>
      <c r="Y35" s="3707"/>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05"/>
      <c r="Q36" s="1349" t="str">
        <f t="shared" si="11"/>
        <v>公共部分装修</v>
      </c>
      <c r="R36" s="702" t="s">
        <v>14</v>
      </c>
      <c r="S36" s="703">
        <f t="shared" si="12"/>
        <v>100</v>
      </c>
      <c r="T36" s="702" t="s">
        <v>14</v>
      </c>
      <c r="U36" s="703">
        <f t="shared" si="13"/>
        <v>100</v>
      </c>
      <c r="V36" s="702" t="s">
        <v>14</v>
      </c>
      <c r="W36" s="703">
        <f t="shared" si="14"/>
        <v>100</v>
      </c>
      <c r="X36" s="1352"/>
      <c r="Y36" s="3707"/>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05"/>
      <c r="Q37" s="1349" t="str">
        <f t="shared" si="11"/>
        <v>成新度</v>
      </c>
      <c r="R37" s="702" t="s">
        <v>14</v>
      </c>
      <c r="S37" s="703">
        <f t="shared" si="12"/>
        <v>99</v>
      </c>
      <c r="T37" s="702" t="s">
        <v>14</v>
      </c>
      <c r="U37" s="703">
        <f t="shared" si="13"/>
        <v>99</v>
      </c>
      <c r="V37" s="702" t="s">
        <v>14</v>
      </c>
      <c r="W37" s="703">
        <f t="shared" si="14"/>
        <v>100</v>
      </c>
      <c r="X37" s="1352"/>
      <c r="Y37" s="3707"/>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5"/>
      <c r="Q38" s="1340" t="str">
        <f t="shared" si="11"/>
        <v>写字楼等级</v>
      </c>
      <c r="R38" s="698" t="s">
        <v>14</v>
      </c>
      <c r="S38" s="699">
        <f t="shared" si="12"/>
        <v>100</v>
      </c>
      <c r="T38" s="698" t="s">
        <v>14</v>
      </c>
      <c r="U38" s="699">
        <f t="shared" si="13"/>
        <v>100</v>
      </c>
      <c r="V38" s="698" t="s">
        <v>14</v>
      </c>
      <c r="W38" s="699">
        <f t="shared" si="14"/>
        <v>100</v>
      </c>
      <c r="X38" s="700"/>
      <c r="Y38" s="3707"/>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05" t="s">
        <v>1696</v>
      </c>
      <c r="Q39" s="1349" t="str">
        <f t="shared" si="11"/>
        <v>物业管理</v>
      </c>
      <c r="R39" s="702" t="s">
        <v>14</v>
      </c>
      <c r="S39" s="703">
        <f t="shared" si="12"/>
        <v>100</v>
      </c>
      <c r="T39" s="702" t="s">
        <v>14</v>
      </c>
      <c r="U39" s="703">
        <f t="shared" si="13"/>
        <v>100</v>
      </c>
      <c r="V39" s="702" t="s">
        <v>14</v>
      </c>
      <c r="W39" s="703">
        <f t="shared" si="14"/>
        <v>100</v>
      </c>
      <c r="X39" s="1352"/>
      <c r="Y39" s="3707"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05"/>
      <c r="Q40" s="1349" t="str">
        <f t="shared" si="11"/>
        <v>市政基础设施</v>
      </c>
      <c r="R40" s="702" t="s">
        <v>14</v>
      </c>
      <c r="S40" s="703">
        <f t="shared" si="12"/>
        <v>100</v>
      </c>
      <c r="T40" s="702" t="s">
        <v>14</v>
      </c>
      <c r="U40" s="703">
        <f t="shared" si="13"/>
        <v>100</v>
      </c>
      <c r="V40" s="702" t="s">
        <v>14</v>
      </c>
      <c r="W40" s="703">
        <f t="shared" si="14"/>
        <v>100</v>
      </c>
      <c r="X40" s="1352"/>
      <c r="Y40" s="3707"/>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05"/>
      <c r="Q41" s="1349" t="str">
        <f t="shared" si="11"/>
        <v>层高</v>
      </c>
      <c r="R41" s="702" t="s">
        <v>14</v>
      </c>
      <c r="S41" s="703">
        <f t="shared" si="12"/>
        <v>100</v>
      </c>
      <c r="T41" s="702" t="s">
        <v>14</v>
      </c>
      <c r="U41" s="703">
        <f t="shared" si="13"/>
        <v>100</v>
      </c>
      <c r="V41" s="702" t="s">
        <v>14</v>
      </c>
      <c r="W41" s="703">
        <f t="shared" si="14"/>
        <v>100</v>
      </c>
      <c r="X41" s="1352"/>
      <c r="Y41" s="3707"/>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5"/>
      <c r="Q42" s="704" t="str">
        <f t="shared" si="11"/>
        <v>单套建筑面积</v>
      </c>
      <c r="R42" s="705" t="s">
        <v>14</v>
      </c>
      <c r="S42" s="706">
        <f t="shared" si="12"/>
        <v>100</v>
      </c>
      <c r="T42" s="705" t="s">
        <v>14</v>
      </c>
      <c r="U42" s="706">
        <f t="shared" si="13"/>
        <v>100</v>
      </c>
      <c r="V42" s="705" t="s">
        <v>14</v>
      </c>
      <c r="W42" s="706">
        <f t="shared" si="14"/>
        <v>100</v>
      </c>
      <c r="X42" s="707"/>
      <c r="Y42" s="3707"/>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05"/>
      <c r="Q43" s="1349" t="str">
        <f t="shared" si="11"/>
        <v>内部装修</v>
      </c>
      <c r="R43" s="702" t="s">
        <v>14</v>
      </c>
      <c r="S43" s="703">
        <f t="shared" si="12"/>
        <v>100</v>
      </c>
      <c r="T43" s="702" t="s">
        <v>14</v>
      </c>
      <c r="U43" s="703">
        <f t="shared" si="13"/>
        <v>100</v>
      </c>
      <c r="V43" s="702" t="s">
        <v>14</v>
      </c>
      <c r="W43" s="703">
        <f t="shared" si="14"/>
        <v>102</v>
      </c>
      <c r="X43" s="1352"/>
      <c r="Y43" s="3707"/>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05"/>
      <c r="Q44" s="1349" t="str">
        <f t="shared" si="11"/>
        <v>内部装修维护情况</v>
      </c>
      <c r="R44" s="702" t="s">
        <v>14</v>
      </c>
      <c r="S44" s="703">
        <f t="shared" si="12"/>
        <v>100</v>
      </c>
      <c r="T44" s="702" t="s">
        <v>14</v>
      </c>
      <c r="U44" s="703">
        <f t="shared" si="13"/>
        <v>100</v>
      </c>
      <c r="V44" s="702" t="s">
        <v>14</v>
      </c>
      <c r="W44" s="703">
        <f t="shared" si="14"/>
        <v>100</v>
      </c>
      <c r="X44" s="1352"/>
      <c r="Y44" s="3707"/>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5"/>
      <c r="Q45" s="1340">
        <f t="shared" si="11"/>
        <v>111</v>
      </c>
      <c r="R45" s="698" t="s">
        <v>14</v>
      </c>
      <c r="S45" s="699">
        <f t="shared" si="12"/>
        <v>100</v>
      </c>
      <c r="T45" s="698" t="s">
        <v>14</v>
      </c>
      <c r="U45" s="699">
        <f t="shared" si="13"/>
        <v>100</v>
      </c>
      <c r="V45" s="698" t="s">
        <v>14</v>
      </c>
      <c r="W45" s="699">
        <f t="shared" si="14"/>
        <v>100</v>
      </c>
      <c r="X45" s="700"/>
      <c r="Y45" s="3707"/>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5"/>
      <c r="Q46" s="1349">
        <f t="shared" si="11"/>
        <v>111</v>
      </c>
      <c r="R46" s="702" t="s">
        <v>14</v>
      </c>
      <c r="S46" s="703">
        <f t="shared" si="12"/>
        <v>100</v>
      </c>
      <c r="T46" s="702" t="s">
        <v>14</v>
      </c>
      <c r="U46" s="703">
        <f t="shared" si="13"/>
        <v>100</v>
      </c>
      <c r="V46" s="702" t="s">
        <v>14</v>
      </c>
      <c r="W46" s="703">
        <f t="shared" si="14"/>
        <v>100</v>
      </c>
      <c r="X46" s="1352"/>
      <c r="Y46" s="3707"/>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6"/>
      <c r="Q47" s="1349">
        <f t="shared" si="11"/>
        <v>111</v>
      </c>
      <c r="R47" s="702" t="s">
        <v>14</v>
      </c>
      <c r="S47" s="703">
        <f t="shared" si="12"/>
        <v>100</v>
      </c>
      <c r="T47" s="702" t="s">
        <v>14</v>
      </c>
      <c r="U47" s="703">
        <f t="shared" si="13"/>
        <v>100</v>
      </c>
      <c r="V47" s="702" t="s">
        <v>14</v>
      </c>
      <c r="W47" s="703">
        <f t="shared" si="14"/>
        <v>100</v>
      </c>
      <c r="X47" s="1352"/>
      <c r="Y47" s="3708"/>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694" t="str">
        <f>A48</f>
        <v>成交单价（元/平方米）</v>
      </c>
      <c r="Q48" s="3695"/>
      <c r="R48" s="3696">
        <f>E48</f>
        <v>53303</v>
      </c>
      <c r="S48" s="3696"/>
      <c r="T48" s="3696">
        <f>G48</f>
        <v>53315</v>
      </c>
      <c r="U48" s="3696"/>
      <c r="V48" s="3696">
        <f>I48</f>
        <v>55000</v>
      </c>
      <c r="W48" s="3696"/>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694" t="str">
        <f>A49</f>
        <v>比较价值（元/平方米）</v>
      </c>
      <c r="Q49" s="3695"/>
      <c r="R49" s="3696">
        <f>IF(F1="售价",ROUND(PRODUCT(R48,AA7:AA47),0),ROUND(PRODUCT(R48,AA7:AA47),1))</f>
        <v>50766</v>
      </c>
      <c r="S49" s="3696"/>
      <c r="T49" s="3696">
        <f>IF(F1="售价",ROUND(PRODUCT(T48,AB7:AB47),0),ROUND(PRODUCT(T48,AB7:AB47),1))</f>
        <v>51778</v>
      </c>
      <c r="U49" s="3696"/>
      <c r="V49" s="3696">
        <f>IF(F1="售价",ROUND(PRODUCT(V48,AC7:AC47),0),ROUND(PRODUCT(V48,AC7:AC47),1))</f>
        <v>51843</v>
      </c>
      <c r="W49" s="3696"/>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697" t="str">
        <f>A50</f>
        <v>估价对象XX用房的比较价值（楼面单价，元/平方米）</v>
      </c>
      <c r="Q50" s="3698"/>
      <c r="R50" s="3699">
        <f>IF(F1="售价",ROUND(IF(D49="简单平均",AVERAGE(R49:V49),R49*F49+T49*H49+V49*J49),0),ROUND(IF(D49="简单平均",AVERAGE(R49:V49),R49*F49+T49*H49+V49*J49),1))</f>
        <v>51462</v>
      </c>
      <c r="S50" s="3699"/>
      <c r="T50" s="3699"/>
      <c r="U50" s="3699"/>
      <c r="V50" s="3699"/>
      <c r="W50" s="3699"/>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3549</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3516</v>
      </c>
      <c r="D66" s="532" t="s">
        <v>3517</v>
      </c>
      <c r="E66" s="532" t="s">
        <v>3518</v>
      </c>
      <c r="F66" s="532" t="s">
        <v>3519</v>
      </c>
      <c r="G66" s="532" t="s">
        <v>3520</v>
      </c>
      <c r="H66" s="532" t="s">
        <v>3521</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48" t="s">
        <v>694</v>
      </c>
      <c r="C6" s="1071">
        <f ca="1">ROUND(F6*F8*F7*(1-F9)/10000,0)</f>
        <v>0</v>
      </c>
      <c r="D6" s="155" t="s">
        <v>2108</v>
      </c>
      <c r="E6" s="302" t="s">
        <v>696</v>
      </c>
      <c r="F6" s="303">
        <f ca="1">INDIRECT("'数据-取费表'!u"&amp;$G$1)</f>
        <v>0</v>
      </c>
      <c r="G6" s="1381"/>
      <c r="H6" s="1066" t="s">
        <v>398</v>
      </c>
      <c r="I6" s="3748" t="s">
        <v>694</v>
      </c>
      <c r="J6" s="301">
        <f ca="1">ROUND(M6*M8*M7*(1-M9)/10000,0)</f>
        <v>0</v>
      </c>
      <c r="K6" s="155" t="s">
        <v>2107</v>
      </c>
      <c r="L6" s="302" t="s">
        <v>696</v>
      </c>
      <c r="M6" s="303">
        <f ca="1">INDIRECT("'数据-取费表'!z"&amp;$G$1)</f>
        <v>0</v>
      </c>
    </row>
    <row r="7" spans="1:37" ht="18" customHeight="1">
      <c r="A7" s="1070"/>
      <c r="B7" s="3749"/>
      <c r="C7" s="1072"/>
      <c r="D7" s="307"/>
      <c r="E7" s="1073" t="s">
        <v>697</v>
      </c>
      <c r="F7" s="303">
        <f ca="1">IF(INDIRECT("'数据-取费表'!ah"&amp;$G$1)="",INDIRECT("'数据-取费表'!k"&amp;$G$1),INDIRECT("'数据-取费表'!ah"&amp;$G$1))</f>
        <v>0</v>
      </c>
      <c r="G7" s="1381"/>
      <c r="H7" s="304"/>
      <c r="I7" s="3749"/>
      <c r="J7" s="306"/>
      <c r="K7" s="307"/>
      <c r="L7" s="302" t="s">
        <v>697</v>
      </c>
      <c r="M7" s="303">
        <f ca="1">F7</f>
        <v>0</v>
      </c>
    </row>
    <row r="8" spans="1:37" ht="18" customHeight="1">
      <c r="A8" s="304"/>
      <c r="B8" s="3749"/>
      <c r="C8" s="306"/>
      <c r="D8" s="307"/>
      <c r="E8" s="302" t="s">
        <v>698</v>
      </c>
      <c r="F8" s="303">
        <f ca="1">INDIRECT("'数据-取费表'!ai"&amp;$G$1)</f>
        <v>0</v>
      </c>
      <c r="G8" s="1381"/>
      <c r="H8" s="304"/>
      <c r="I8" s="3749"/>
      <c r="J8" s="306"/>
      <c r="K8" s="307"/>
      <c r="L8" s="302" t="s">
        <v>698</v>
      </c>
      <c r="M8" s="303">
        <f ca="1">INDIRECT("'数据-取费表'!ai"&amp;$G$1)</f>
        <v>0</v>
      </c>
    </row>
    <row r="9" spans="1:37" ht="18" customHeight="1">
      <c r="A9" s="304"/>
      <c r="B9" s="3750"/>
      <c r="C9" s="306"/>
      <c r="D9" s="307"/>
      <c r="E9" s="302" t="s">
        <v>699</v>
      </c>
      <c r="F9" s="312">
        <f ca="1">INDIRECT("'数据-取费表'!w"&amp;$G$1)</f>
        <v>0</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6" t="s">
        <v>837</v>
      </c>
      <c r="L53" s="3747"/>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37" sqref="L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30.6</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643.66079999999999</v>
      </c>
      <c r="C2" s="1384" t="s">
        <v>879</v>
      </c>
      <c r="D2" s="1468">
        <f ca="1">C40+J29+L46</f>
        <v>6436608</v>
      </c>
      <c r="E2" s="1385" t="s">
        <v>880</v>
      </c>
      <c r="F2" s="1386"/>
      <c r="G2" s="2701"/>
      <c r="H2" s="2690"/>
      <c r="I2" s="2690"/>
      <c r="J2" s="2690"/>
      <c r="K2" s="2691"/>
      <c r="L2" s="2690"/>
      <c r="M2" s="2690"/>
    </row>
    <row r="3" spans="1:37" ht="18" customHeight="1" thickBot="1">
      <c r="A3" s="1387" t="s">
        <v>881</v>
      </c>
      <c r="B3" s="1388">
        <f ca="1">IF(ISERROR(D2/F43),0,ROUND(D2/F43,0))</f>
        <v>31223</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48" t="s">
        <v>694</v>
      </c>
      <c r="C6" s="1071">
        <f ca="1">ROUND(F6*F8*F7*(1-F9),0)</f>
        <v>440182</v>
      </c>
      <c r="D6" s="155" t="s">
        <v>2105</v>
      </c>
      <c r="E6" s="302" t="s">
        <v>696</v>
      </c>
      <c r="F6" s="303">
        <f ca="1">INDIRECT("'数据-取费表'!u"&amp;$G$1)</f>
        <v>6.5</v>
      </c>
      <c r="G6" s="1381"/>
      <c r="H6" s="1066" t="s">
        <v>398</v>
      </c>
      <c r="I6" s="3748" t="s">
        <v>694</v>
      </c>
      <c r="J6" s="301">
        <f ca="1">ROUND(M6*M8*M7*(1-M9),0)</f>
        <v>0</v>
      </c>
      <c r="K6" s="1373" t="s">
        <v>2106</v>
      </c>
      <c r="L6" s="302" t="s">
        <v>696</v>
      </c>
      <c r="M6" s="303">
        <f ca="1">INDIRECT("'数据-取费表'!z"&amp;$G$1)</f>
        <v>0</v>
      </c>
    </row>
    <row r="7" spans="1:37" ht="18" customHeight="1">
      <c r="A7" s="1070"/>
      <c r="B7" s="3749"/>
      <c r="C7" s="1072"/>
      <c r="D7" s="307"/>
      <c r="E7" s="1073" t="s">
        <v>697</v>
      </c>
      <c r="F7" s="303">
        <f ca="1">IF(INDIRECT("'数据-取费表'!ah"&amp;$G$1)="",INDIRECT("'数据-取费表'!k"&amp;$G$1),INDIRECT("'数据-取费表'!ah"&amp;$G$1))</f>
        <v>206.15</v>
      </c>
      <c r="G7" s="1381"/>
      <c r="H7" s="304"/>
      <c r="I7" s="3749"/>
      <c r="J7" s="306"/>
      <c r="K7" s="307"/>
      <c r="L7" s="302" t="s">
        <v>697</v>
      </c>
      <c r="M7" s="303">
        <f ca="1">F7</f>
        <v>206.15</v>
      </c>
    </row>
    <row r="8" spans="1:37" ht="18" customHeight="1">
      <c r="A8" s="304"/>
      <c r="B8" s="3749"/>
      <c r="C8" s="306"/>
      <c r="D8" s="307"/>
      <c r="E8" s="302" t="s">
        <v>698</v>
      </c>
      <c r="F8" s="303">
        <f ca="1">INDIRECT("'数据-取费表'!ai"&amp;$G$1)</f>
        <v>365</v>
      </c>
      <c r="G8" s="1381"/>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1095730</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1369663</v>
      </c>
      <c r="K14" s="12"/>
      <c r="L14" s="804"/>
      <c r="M14" s="805"/>
    </row>
    <row r="15" spans="1:37" s="1394" customFormat="1" ht="18" customHeight="1" thickBot="1">
      <c r="A15" s="979" t="s">
        <v>399</v>
      </c>
      <c r="B15" s="302" t="s">
        <v>710</v>
      </c>
      <c r="C15" s="21">
        <f ca="1">ROUND(C14*F15,0)</f>
        <v>46384</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14255</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1029204</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20584</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13697</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56395</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-14255</v>
      </c>
      <c r="K25" s="1092" t="s">
        <v>753</v>
      </c>
      <c r="L25" s="1093"/>
      <c r="M25" s="1094"/>
    </row>
    <row r="26" spans="1:37" ht="18" customHeight="1">
      <c r="A26" s="979" t="s">
        <v>397</v>
      </c>
      <c r="B26" s="302" t="s">
        <v>754</v>
      </c>
      <c r="C26" s="21">
        <f ca="1">ROUND((C19+C20)*F26,0)</f>
        <v>157468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1369663</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94089</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13697</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1644</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346643</v>
      </c>
      <c r="D39" s="1092" t="s">
        <v>773</v>
      </c>
      <c r="E39" s="1093"/>
      <c r="F39" s="1094"/>
      <c r="G39" s="1381"/>
      <c r="H39" s="2695"/>
      <c r="I39" s="1395">
        <f ca="1">C39/C5</f>
        <v>0.78651652251254733</v>
      </c>
      <c r="J39" s="1396"/>
      <c r="K39" s="2699"/>
      <c r="L39" s="2695"/>
      <c r="M39" s="2695"/>
    </row>
    <row r="40" spans="1:18" ht="18" customHeight="1">
      <c r="A40" s="299" t="s">
        <v>395</v>
      </c>
      <c r="B40" s="300" t="s">
        <v>774</v>
      </c>
      <c r="C40" s="301">
        <f ca="1">ROUND(C39*(1-((1+F42)/(1+F40))^F41)/(F40-F42),0)</f>
        <v>6376688</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30932</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-660.95939999999996</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59920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6376688</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30.6</v>
      </c>
      <c r="O48" s="1415" t="s">
        <v>404</v>
      </c>
      <c r="P48" s="1416" t="s">
        <v>821</v>
      </c>
      <c r="Q48" s="1417">
        <f ca="1">J60</f>
        <v>59920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1369663</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4879782</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30.6</v>
      </c>
      <c r="K53" s="3746" t="s">
        <v>837</v>
      </c>
      <c r="L53" s="3747"/>
      <c r="O53" s="1415" t="s">
        <v>409</v>
      </c>
      <c r="P53" s="1416" t="s">
        <v>838</v>
      </c>
      <c r="Q53" s="1417">
        <f ca="1">Q47+Q48</f>
        <v>6436608</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1095730</v>
      </c>
      <c r="D56" s="1444"/>
      <c r="E56" s="1445"/>
      <c r="F56" s="1437"/>
      <c r="I56" s="1446" t="s">
        <v>842</v>
      </c>
      <c r="J56" s="1447" t="s">
        <v>3380</v>
      </c>
      <c r="K56" s="1418" t="s">
        <v>843</v>
      </c>
      <c r="L56" s="1421" t="str">
        <f ca="1">IF(L48&lt;J51,"——",L48-J51)</f>
        <v>——</v>
      </c>
      <c r="O56" s="1415" t="s">
        <v>403</v>
      </c>
      <c r="P56" s="1416" t="s">
        <v>817</v>
      </c>
      <c r="Q56" s="1417">
        <f ca="1">C40+J29</f>
        <v>6376688</v>
      </c>
      <c r="R56" s="1417" t="s">
        <v>818</v>
      </c>
    </row>
    <row r="57" spans="1:18" s="1381" customFormat="1" ht="24.75" thickBot="1">
      <c r="A57" s="1448"/>
      <c r="B57" s="947" t="s">
        <v>767</v>
      </c>
      <c r="C57" s="238">
        <f ca="1">C29</f>
        <v>1369663</v>
      </c>
      <c r="D57" s="1449"/>
      <c r="E57" s="1450"/>
      <c r="F57" s="1451"/>
      <c r="I57" s="1452" t="s">
        <v>844</v>
      </c>
      <c r="J57" s="1453">
        <f ca="1">IF(OR(M47="住宅",J51&lt;L48,J56="是"),"——",J51-L48)</f>
        <v>17.399999999999999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15899</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547865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59920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6376688</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13697</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1644</v>
      </c>
      <c r="D65" s="961" t="s">
        <v>743</v>
      </c>
      <c r="E65" s="947" t="s">
        <v>744</v>
      </c>
      <c r="F65" s="330">
        <f t="shared" ca="1" si="0"/>
        <v>1.5E-3</v>
      </c>
      <c r="I65" s="1459" t="s">
        <v>867</v>
      </c>
      <c r="J65" s="1460">
        <v>40</v>
      </c>
      <c r="K65" s="1460">
        <v>30</v>
      </c>
      <c r="L65" s="1460">
        <v>50</v>
      </c>
      <c r="M65" s="1462">
        <v>0.02</v>
      </c>
      <c r="O65" s="1415" t="s">
        <v>403</v>
      </c>
      <c r="P65" s="1416" t="s">
        <v>868</v>
      </c>
      <c r="Q65" s="1417">
        <f ca="1">C40+J29</f>
        <v>6376688</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-15899</v>
      </c>
      <c r="D67" s="960" t="s">
        <v>753</v>
      </c>
      <c r="E67" s="965"/>
      <c r="F67" s="966"/>
      <c r="O67" s="1425" t="s">
        <v>405</v>
      </c>
      <c r="P67" s="1416" t="s">
        <v>850</v>
      </c>
      <c r="Q67" s="1463">
        <f ca="1">L51</f>
        <v>4879782</v>
      </c>
      <c r="R67" s="1417" t="s">
        <v>870</v>
      </c>
    </row>
    <row r="68" spans="1:18" s="1381" customFormat="1" ht="16.5" thickBot="1">
      <c r="A68" s="944" t="s">
        <v>395</v>
      </c>
      <c r="B68" s="945" t="s">
        <v>774</v>
      </c>
      <c r="C68" s="301">
        <f ca="1">ROUND(C67*(1-((1+F70)/(1+F68))^F69)/(F68-F70),0)</f>
        <v>-232906</v>
      </c>
      <c r="D68" s="962" t="s">
        <v>758</v>
      </c>
      <c r="E68" s="947" t="s">
        <v>759</v>
      </c>
      <c r="F68" s="312">
        <f ca="1">F40</f>
        <v>5.5E-2</v>
      </c>
      <c r="O68" s="1425" t="s">
        <v>406</v>
      </c>
      <c r="P68" s="1464" t="s">
        <v>871</v>
      </c>
      <c r="Q68" s="1417">
        <f ca="1">ROUND(Q69-Q70*Q71,0)</f>
        <v>269942</v>
      </c>
      <c r="R68" s="1417" t="s">
        <v>414</v>
      </c>
    </row>
    <row r="69" spans="1:18" s="1381" customFormat="1" ht="13.5" thickBot="1">
      <c r="A69" s="948"/>
      <c r="B69" s="949"/>
      <c r="C69" s="306"/>
      <c r="D69" s="967" t="s">
        <v>762</v>
      </c>
      <c r="E69" s="947" t="s">
        <v>763</v>
      </c>
      <c r="F69" s="333">
        <f ca="1">F41</f>
        <v>30.6</v>
      </c>
      <c r="O69" s="1425" t="s">
        <v>411</v>
      </c>
      <c r="P69" s="1464" t="s">
        <v>872</v>
      </c>
      <c r="Q69" s="1417">
        <f ca="1">C39</f>
        <v>346643</v>
      </c>
      <c r="R69" s="1417" t="s">
        <v>818</v>
      </c>
    </row>
    <row r="70" spans="1:18" s="1381" customFormat="1" ht="13.5" thickBot="1">
      <c r="A70" s="951"/>
      <c r="B70" s="952"/>
      <c r="C70" s="310"/>
      <c r="D70" s="963"/>
      <c r="E70" s="947" t="s">
        <v>766</v>
      </c>
      <c r="F70" s="1051"/>
      <c r="O70" s="1425" t="s">
        <v>412</v>
      </c>
      <c r="P70" s="1464" t="s">
        <v>873</v>
      </c>
      <c r="Q70" s="1417">
        <f ca="1">C13</f>
        <v>1095730</v>
      </c>
      <c r="R70" s="1417" t="s">
        <v>818</v>
      </c>
    </row>
    <row r="71" spans="1:18" s="1381" customFormat="1" ht="13.5" thickBot="1">
      <c r="A71" s="968" t="s">
        <v>396</v>
      </c>
      <c r="B71" s="969" t="s">
        <v>776</v>
      </c>
      <c r="C71" s="336">
        <f ca="1">ROUND(C68/F71,0)</f>
        <v>-1130</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76701</v>
      </c>
      <c r="D75" s="1381"/>
      <c r="E75" s="1381"/>
      <c r="F75" s="1381"/>
      <c r="K75" s="1399"/>
      <c r="L75" s="1381"/>
      <c r="O75" s="1415" t="s">
        <v>409</v>
      </c>
      <c r="P75" s="1416" t="s">
        <v>838</v>
      </c>
      <c r="Q75" s="1417">
        <f ca="1">Q65+Q66</f>
        <v>6376688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0.82800000000000007</v>
      </c>
    </row>
    <row r="83" spans="2:3">
      <c r="B83" s="273" t="s">
        <v>803</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B37" sqref="B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4" t="s">
        <v>2084</v>
      </c>
      <c r="D1" s="3755"/>
      <c r="E1" s="3755"/>
      <c r="F1" s="3755"/>
      <c r="G1" s="3755"/>
      <c r="H1" s="3755"/>
      <c r="I1" s="3755"/>
      <c r="J1" s="3755"/>
      <c r="K1" s="3755"/>
      <c r="L1" s="3755"/>
      <c r="M1" s="3755"/>
      <c r="N1" s="3755"/>
      <c r="O1" s="3755"/>
      <c r="P1" s="3755"/>
      <c r="Q1" s="3755"/>
      <c r="R1" s="3755"/>
      <c r="S1" s="3756"/>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5393</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43357</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51" t="s">
        <v>27</v>
      </c>
      <c r="D22" s="3752"/>
      <c r="E22" s="3752"/>
      <c r="F22" s="3752"/>
      <c r="G22" s="3752"/>
      <c r="H22" s="3752"/>
      <c r="I22" s="3752"/>
      <c r="J22" s="3752"/>
      <c r="K22" s="3752"/>
      <c r="L22" s="3752"/>
      <c r="M22" s="3752"/>
      <c r="N22" s="3752"/>
      <c r="O22" s="3752"/>
      <c r="P22" s="3752"/>
      <c r="Q22" s="3753"/>
      <c r="R22" s="660">
        <f ca="1">ROUND(S22*10000/B22,0)</f>
        <v>43357</v>
      </c>
      <c r="S22" s="21">
        <f ca="1">SUM(S24:S10000)</f>
        <v>5393</v>
      </c>
      <c r="T22" s="722">
        <v>5092</v>
      </c>
      <c r="U22" s="722">
        <f ca="1">S22-T22</f>
        <v>301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分套价值!B22</f>
        <v>2单元301</v>
      </c>
      <c r="B24" s="662">
        <f>分套价值!C22</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43366</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分套价值!B23</f>
        <v>2单元302</v>
      </c>
      <c r="B25" s="2420">
        <f>分套价值!C23</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43366</v>
      </c>
      <c r="S25" s="316">
        <f t="shared" ca="1" si="11"/>
        <v>742</v>
      </c>
    </row>
    <row r="26" spans="1:45">
      <c r="A26" s="2420" t="str">
        <f>分套价值!B24</f>
        <v>2单元303</v>
      </c>
      <c r="B26" s="2420">
        <f>分套价值!C24</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43366</v>
      </c>
      <c r="S26" s="316">
        <f t="shared" ca="1" si="11"/>
        <v>746</v>
      </c>
    </row>
    <row r="27" spans="1:45">
      <c r="A27" s="2420" t="str">
        <f>分套价值!B25</f>
        <v>2单元321</v>
      </c>
      <c r="B27" s="2420">
        <f>分套价值!C25</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43366</v>
      </c>
      <c r="S27" s="316">
        <f t="shared" ca="1" si="11"/>
        <v>470</v>
      </c>
    </row>
    <row r="28" spans="1:45">
      <c r="A28" s="2420" t="str">
        <f>分套价值!B26</f>
        <v>2单元322</v>
      </c>
      <c r="B28" s="2420">
        <f>分套价值!C26</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43366</v>
      </c>
      <c r="S28" s="316">
        <f t="shared" ca="1" si="11"/>
        <v>470</v>
      </c>
    </row>
    <row r="29" spans="1:45">
      <c r="A29" s="2420" t="str">
        <f>分套价值!B27</f>
        <v>2单元323</v>
      </c>
      <c r="B29" s="2420">
        <f>分套价值!C27</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43366</v>
      </c>
      <c r="S29" s="316">
        <f t="shared" ca="1" si="11"/>
        <v>598</v>
      </c>
    </row>
    <row r="30" spans="1:45">
      <c r="A30" s="2420" t="str">
        <f>分套价值!B28</f>
        <v>2单元325</v>
      </c>
      <c r="B30" s="2420">
        <f>分套价值!C28</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43366</v>
      </c>
      <c r="S30" s="316">
        <f t="shared" ca="1" si="11"/>
        <v>598</v>
      </c>
    </row>
    <row r="31" spans="1:45">
      <c r="A31" s="2420" t="str">
        <f>分套价值!B29</f>
        <v>2单元326</v>
      </c>
      <c r="B31" s="2420">
        <f>分套价值!C29</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43366</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3489</v>
      </c>
      <c r="D4" s="1753" t="s">
        <v>3432</v>
      </c>
      <c r="E4" s="3637" t="s">
        <v>1267</v>
      </c>
      <c r="F4" s="3638"/>
      <c r="G4" s="3638"/>
      <c r="H4" s="3638"/>
      <c r="I4" s="3639"/>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11" t="s">
        <v>1268</v>
      </c>
      <c r="B5" s="3598">
        <v>25</v>
      </c>
      <c r="C5" s="3614"/>
      <c r="D5" s="3634"/>
      <c r="E5" s="131" t="s">
        <v>1269</v>
      </c>
      <c r="F5" s="1754"/>
      <c r="G5" s="1754"/>
      <c r="H5" s="1754"/>
      <c r="I5" s="1370"/>
    </row>
    <row r="6" spans="1:12" ht="12.75">
      <c r="A6" s="3611"/>
      <c r="B6" s="3598"/>
      <c r="C6" s="3615"/>
      <c r="D6" s="3634"/>
      <c r="E6" s="131" t="s">
        <v>1270</v>
      </c>
      <c r="F6" s="1754"/>
      <c r="G6" s="1754"/>
      <c r="H6" s="1754"/>
      <c r="I6" s="1370"/>
    </row>
    <row r="7" spans="1:12" ht="12.75">
      <c r="A7" s="3611"/>
      <c r="B7" s="3598"/>
      <c r="C7" s="3616"/>
      <c r="D7" s="3634"/>
      <c r="E7" s="131" t="s">
        <v>1271</v>
      </c>
      <c r="F7" s="1754"/>
      <c r="G7" s="1754"/>
      <c r="H7" s="1754"/>
      <c r="I7" s="1370"/>
    </row>
    <row r="8" spans="1:12" ht="12.75">
      <c r="A8" s="3611" t="s">
        <v>1272</v>
      </c>
      <c r="B8" s="3598">
        <v>15</v>
      </c>
      <c r="C8" s="3614"/>
      <c r="D8" s="3634"/>
      <c r="E8" s="131" t="s">
        <v>1273</v>
      </c>
      <c r="F8" s="1754"/>
      <c r="G8" s="1754"/>
      <c r="H8" s="1754"/>
      <c r="I8" s="1370"/>
    </row>
    <row r="9" spans="1:12" ht="12.75">
      <c r="A9" s="3611"/>
      <c r="B9" s="3598"/>
      <c r="C9" s="3616"/>
      <c r="D9" s="3634"/>
      <c r="E9" s="131" t="s">
        <v>1274</v>
      </c>
      <c r="F9" s="1754"/>
      <c r="G9" s="1754"/>
      <c r="H9" s="1754"/>
      <c r="I9" s="1370"/>
    </row>
    <row r="10" spans="1:12" ht="12.75">
      <c r="A10" s="3611" t="s">
        <v>1275</v>
      </c>
      <c r="B10" s="3598">
        <v>15</v>
      </c>
      <c r="C10" s="3614"/>
      <c r="D10" s="3634"/>
      <c r="E10" s="131" t="s">
        <v>1276</v>
      </c>
      <c r="F10" s="1754"/>
      <c r="G10" s="1754"/>
      <c r="H10" s="1754"/>
      <c r="I10" s="1370"/>
    </row>
    <row r="11" spans="1:12" ht="12.75">
      <c r="A11" s="3611"/>
      <c r="B11" s="3598"/>
      <c r="C11" s="3616"/>
      <c r="D11" s="3634"/>
      <c r="E11" s="131" t="s">
        <v>1277</v>
      </c>
      <c r="F11" s="1754"/>
      <c r="G11" s="1754"/>
      <c r="H11" s="1754"/>
      <c r="I11" s="1370"/>
    </row>
    <row r="12" spans="1:12" ht="12.75">
      <c r="A12" s="3611" t="s">
        <v>1278</v>
      </c>
      <c r="B12" s="3598">
        <v>15</v>
      </c>
      <c r="C12" s="3614"/>
      <c r="D12" s="3634"/>
      <c r="E12" s="131" t="s">
        <v>1279</v>
      </c>
      <c r="F12" s="1754"/>
      <c r="G12" s="1754"/>
      <c r="H12" s="1754"/>
      <c r="I12" s="1370"/>
    </row>
    <row r="13" spans="1:12" ht="12.75">
      <c r="A13" s="3611"/>
      <c r="B13" s="3598"/>
      <c r="C13" s="3616"/>
      <c r="D13" s="3634"/>
      <c r="E13" s="131" t="s">
        <v>1280</v>
      </c>
      <c r="F13" s="1754"/>
      <c r="G13" s="1754"/>
      <c r="H13" s="1754"/>
      <c r="I13" s="1370"/>
    </row>
    <row r="14" spans="1:12" ht="12.75">
      <c r="A14" s="3611" t="s">
        <v>1281</v>
      </c>
      <c r="B14" s="3598">
        <v>30</v>
      </c>
      <c r="C14" s="3614">
        <v>6</v>
      </c>
      <c r="D14" s="3634">
        <v>4</v>
      </c>
      <c r="E14" s="131" t="s">
        <v>1282</v>
      </c>
      <c r="F14" s="1754"/>
      <c r="G14" s="1754"/>
      <c r="H14" s="1754"/>
      <c r="I14" s="1370"/>
    </row>
    <row r="15" spans="1:12" ht="12.75">
      <c r="A15" s="3611"/>
      <c r="B15" s="3598"/>
      <c r="C15" s="3615"/>
      <c r="D15" s="3634"/>
      <c r="E15" s="131" t="s">
        <v>1283</v>
      </c>
      <c r="F15" s="1754"/>
      <c r="G15" s="1754"/>
      <c r="H15" s="1754"/>
      <c r="I15" s="1370"/>
    </row>
    <row r="16" spans="1:12" ht="12.75">
      <c r="A16" s="3611"/>
      <c r="B16" s="3598"/>
      <c r="C16" s="3616"/>
      <c r="D16" s="363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1" t="s">
        <v>2130</v>
      </c>
      <c r="F18" s="3622"/>
      <c r="G18" s="3622"/>
      <c r="H18" s="3622"/>
      <c r="I18" s="3622"/>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1960.6797999999999</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47735</v>
      </c>
      <c r="E20" s="1761"/>
      <c r="F20" s="1023" t="s">
        <v>1295</v>
      </c>
      <c r="G20" s="139">
        <f ca="1">ROUND(C20*$C$18+D20*$D$18,0)</f>
        <v>75064</v>
      </c>
      <c r="H20" s="805" t="s">
        <v>1296</v>
      </c>
      <c r="I20" s="129"/>
    </row>
    <row r="21" spans="1:36" ht="15" customHeight="1" thickBot="1">
      <c r="A21" s="825"/>
      <c r="B21" s="1762" t="s">
        <v>1297</v>
      </c>
      <c r="C21" s="716">
        <f ca="1">ROUND(C19*10000/L19,0)</f>
        <v>827718</v>
      </c>
      <c r="D21" s="717">
        <f ca="1">ROUND(D19*10000/L19,0)</f>
        <v>423564</v>
      </c>
      <c r="E21" s="825"/>
      <c r="F21" s="1762" t="s">
        <v>1297</v>
      </c>
      <c r="G21" s="140">
        <f ca="1">ROUND(G19*10000/L19,0)</f>
        <v>666019</v>
      </c>
      <c r="H21" s="1763" t="s">
        <v>1296</v>
      </c>
      <c r="I21" s="129"/>
    </row>
    <row r="22" spans="1:36" ht="15" thickBot="1">
      <c r="A22" s="1685" t="s">
        <v>1298</v>
      </c>
      <c r="B22" s="1764"/>
      <c r="C22" s="1765"/>
      <c r="D22" s="718">
        <f ca="1">IF(C19&lt;D19,D19/C19-1,C19/D19-1)</f>
        <v>0.95417217028502077</v>
      </c>
      <c r="E22" s="129"/>
      <c r="F22" s="129"/>
      <c r="G22" s="129"/>
      <c r="H22" s="129"/>
      <c r="I22" s="129"/>
    </row>
    <row r="23" spans="1:36" ht="13.5" thickBot="1">
      <c r="A23" s="1744"/>
      <c r="B23" s="1744"/>
      <c r="C23" s="1744"/>
      <c r="D23" s="1744"/>
      <c r="E23" s="129"/>
      <c r="F23" s="129"/>
      <c r="G23" s="129"/>
      <c r="H23" s="129"/>
      <c r="I23" s="129"/>
    </row>
    <row r="24" spans="1:36" ht="14.25">
      <c r="A24" s="3605" t="s">
        <v>1299</v>
      </c>
      <c r="B24" s="1759" t="s">
        <v>1291</v>
      </c>
      <c r="C24" s="136">
        <f>IF(B30=0,0,D30)</f>
        <v>0</v>
      </c>
      <c r="D24" s="1766"/>
      <c r="E24" s="129"/>
      <c r="F24" s="129"/>
      <c r="G24" s="129"/>
      <c r="H24" s="129"/>
      <c r="I24" s="129"/>
    </row>
    <row r="25" spans="1:36" ht="14.25">
      <c r="A25" s="360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75064</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25" t="s">
        <v>1312</v>
      </c>
      <c r="B36" s="1784" t="s">
        <v>1313</v>
      </c>
      <c r="C36" s="145"/>
      <c r="D36" s="1785"/>
      <c r="E36" s="1786"/>
      <c r="F36" s="1787"/>
      <c r="G36" s="129"/>
      <c r="H36" s="129"/>
      <c r="I36" s="129"/>
    </row>
    <row r="37" spans="1:15" ht="15.75" thickBot="1">
      <c r="A37" s="3626"/>
      <c r="B37" s="1671" t="s">
        <v>1314</v>
      </c>
      <c r="C37" s="147"/>
      <c r="D37" s="1136"/>
      <c r="E37" s="1136"/>
      <c r="F37" s="1787"/>
      <c r="G37" s="129"/>
      <c r="H37" s="129"/>
      <c r="I37" s="129"/>
    </row>
    <row r="38" spans="1:15" ht="15.75" thickBot="1">
      <c r="A38" s="3627"/>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2" t="s">
        <v>1326</v>
      </c>
      <c r="B45" s="3603"/>
      <c r="C45" s="3604"/>
      <c r="D45" s="155" t="e">
        <f ca="1">ROUND(H101*F45,0)</f>
        <v>#REF!</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3"/>
      <c r="I46" s="159"/>
      <c r="J46" s="3471">
        <v>1</v>
      </c>
      <c r="K46" s="3661" t="s">
        <v>1331</v>
      </c>
      <c r="L46" s="3661"/>
      <c r="M46" s="3681"/>
      <c r="N46" s="3681"/>
      <c r="O46" s="3681"/>
    </row>
    <row r="47" spans="1:15" ht="12" customHeight="1">
      <c r="A47" s="160" t="s">
        <v>1332</v>
      </c>
      <c r="B47" s="161"/>
      <c r="C47" s="162"/>
      <c r="D47" s="1084" t="s">
        <v>1333</v>
      </c>
      <c r="E47" s="302" t="s">
        <v>1334</v>
      </c>
      <c r="F47" s="163" t="s">
        <v>1335</v>
      </c>
      <c r="G47" s="2541" t="s">
        <v>1336</v>
      </c>
      <c r="H47" s="2542"/>
      <c r="I47" s="159"/>
      <c r="J47" s="3471">
        <v>2</v>
      </c>
      <c r="K47" s="3661" t="s">
        <v>1337</v>
      </c>
      <c r="L47" s="3661"/>
      <c r="M47" s="3682">
        <f>'数据-取费表'!B2</f>
        <v>45142</v>
      </c>
      <c r="N47" s="3682"/>
      <c r="O47" s="3682"/>
    </row>
    <row r="48" spans="1:15" ht="25.5">
      <c r="A48" s="3630" t="s">
        <v>1338</v>
      </c>
      <c r="B48" s="3613"/>
      <c r="C48" s="3613"/>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661" t="s">
        <v>1340</v>
      </c>
      <c r="L48" s="3661"/>
      <c r="M48" s="3683" t="e">
        <f ca="1">H101</f>
        <v>#REF!</v>
      </c>
      <c r="N48" s="3683"/>
      <c r="O48" s="3683"/>
    </row>
    <row r="49" spans="1:35" ht="25.5" customHeight="1">
      <c r="A49" s="3468" t="s">
        <v>1341</v>
      </c>
      <c r="B49" s="3597" t="s">
        <v>1342</v>
      </c>
      <c r="C49" s="3597"/>
      <c r="D49" s="1587">
        <v>0</v>
      </c>
      <c r="E49" s="324" t="s">
        <v>1343</v>
      </c>
      <c r="F49" s="3458" t="s">
        <v>28</v>
      </c>
      <c r="G49" s="3667"/>
      <c r="H49" s="2307" t="s">
        <v>2133</v>
      </c>
      <c r="I49" s="2308"/>
      <c r="J49" s="3471">
        <v>4</v>
      </c>
      <c r="K49" s="3661" t="str">
        <f>IF(项目基本情况!E8="房地产抵押价值","房地产抵押价值","抵押担保权已注销时的房地产抵押价值")</f>
        <v>房地产抵押价值</v>
      </c>
      <c r="L49" s="3661"/>
      <c r="M49" s="3683" t="str">
        <f ca="1">IF(项目基本情况!E8="房地产抵押价值",H107,H109)</f>
        <v>——</v>
      </c>
      <c r="N49" s="3683"/>
      <c r="O49" s="3683"/>
    </row>
    <row r="50" spans="1:35" ht="25.5" customHeight="1">
      <c r="A50" s="2546"/>
      <c r="B50" s="3597" t="s">
        <v>1344</v>
      </c>
      <c r="C50" s="3597"/>
      <c r="D50" s="2547"/>
      <c r="E50" s="332"/>
      <c r="F50" s="3458"/>
      <c r="G50" s="3668"/>
      <c r="H50" s="2309" t="s">
        <v>2134</v>
      </c>
      <c r="I50" s="2308"/>
      <c r="J50" s="3680" t="s">
        <v>1345</v>
      </c>
      <c r="K50" s="3680"/>
      <c r="L50" s="3680"/>
      <c r="M50" s="3680"/>
      <c r="N50" s="3680"/>
      <c r="O50" s="3680"/>
    </row>
    <row r="51" spans="1:35" ht="20.45" customHeight="1">
      <c r="A51" s="2548"/>
      <c r="B51" s="3597" t="s">
        <v>1346</v>
      </c>
      <c r="C51" s="3597"/>
      <c r="D51" s="1084"/>
      <c r="E51" s="327"/>
      <c r="F51" s="3458"/>
      <c r="G51" s="3669"/>
      <c r="H51" s="2309" t="s">
        <v>2135</v>
      </c>
      <c r="I51" s="2308"/>
      <c r="J51" s="3470" t="s">
        <v>1347</v>
      </c>
      <c r="K51" s="3661" t="s">
        <v>1348</v>
      </c>
      <c r="L51" s="3661"/>
      <c r="M51" s="3470" t="s">
        <v>1349</v>
      </c>
      <c r="N51" s="3470" t="s">
        <v>1350</v>
      </c>
      <c r="O51" s="3470" t="s">
        <v>1351</v>
      </c>
    </row>
    <row r="52" spans="1:35" ht="24" customHeight="1">
      <c r="A52" s="3463" t="s">
        <v>1352</v>
      </c>
      <c r="B52" s="3597" t="s">
        <v>1353</v>
      </c>
      <c r="C52" s="3597"/>
      <c r="D52" s="1084" t="e">
        <f ca="1">ROUND(D45*'数据-取费表'!B41/(1+'数据-取费表'!C42),0)</f>
        <v>#REF!</v>
      </c>
      <c r="E52" s="3464" t="s">
        <v>1354</v>
      </c>
      <c r="F52" s="2549">
        <f>'数据-取费表'!B41</f>
        <v>5.6000000000000001E-2</v>
      </c>
      <c r="G52" s="2550"/>
      <c r="H52" s="2539"/>
      <c r="I52" s="1804"/>
      <c r="J52" s="3471">
        <v>1</v>
      </c>
      <c r="K52" s="3662" t="s">
        <v>1355</v>
      </c>
      <c r="L52" s="3662"/>
      <c r="M52" s="2520" t="b">
        <f>D48</f>
        <v>0</v>
      </c>
      <c r="N52" s="3471" t="str">
        <f>E48</f>
        <v>销售额×税（费）率</v>
      </c>
      <c r="O52" s="2521">
        <f>F48</f>
        <v>5.6000000000000001E-2</v>
      </c>
    </row>
    <row r="53" spans="1:35" ht="12" customHeight="1">
      <c r="A53" s="3463" t="s">
        <v>1356</v>
      </c>
      <c r="B53" s="3623" t="s">
        <v>2286</v>
      </c>
      <c r="C53" s="3624"/>
      <c r="D53" s="1084" t="e">
        <f ca="1">ROUND(D45*'数据-取费表'!B41/(1+'数据-取费表'!C42),0)</f>
        <v>#REF!</v>
      </c>
      <c r="E53" s="3464" t="s">
        <v>1354</v>
      </c>
      <c r="F53" s="2549">
        <f>'数据-取费表'!B41</f>
        <v>5.6000000000000001E-2</v>
      </c>
      <c r="G53" s="2550"/>
      <c r="H53" s="2539"/>
      <c r="I53" s="1804"/>
      <c r="J53" s="3471">
        <v>2</v>
      </c>
      <c r="K53" s="3662" t="s">
        <v>1357</v>
      </c>
      <c r="L53" s="3662"/>
      <c r="M53" s="2520" t="e">
        <f t="shared" ref="M53:O54" ca="1" si="0">D55</f>
        <v>#REF!</v>
      </c>
      <c r="N53" s="3471" t="str">
        <f t="shared" si="0"/>
        <v>销售额×税（费）率</v>
      </c>
      <c r="O53" s="2521" t="str">
        <f t="shared" si="0"/>
        <v>免征</v>
      </c>
    </row>
    <row r="54" spans="1:35" ht="12" customHeight="1">
      <c r="A54" s="3463" t="s">
        <v>1358</v>
      </c>
      <c r="B54" s="3623" t="s">
        <v>2287</v>
      </c>
      <c r="C54" s="3624"/>
      <c r="D54" s="1084" t="e">
        <f ca="1">C68</f>
        <v>#REF!</v>
      </c>
      <c r="E54" s="327" t="s">
        <v>1359</v>
      </c>
      <c r="F54" s="2549">
        <f>'数据-取费表'!B41</f>
        <v>5.6000000000000001E-2</v>
      </c>
      <c r="G54" s="2550"/>
      <c r="H54" s="2551"/>
      <c r="I54" s="1804"/>
      <c r="J54" s="3471">
        <v>3</v>
      </c>
      <c r="K54" s="3662" t="s">
        <v>1360</v>
      </c>
      <c r="L54" s="3662"/>
      <c r="M54" s="2520" t="e">
        <f t="shared" ca="1" si="0"/>
        <v>#REF!</v>
      </c>
      <c r="N54" s="3471" t="str">
        <f t="shared" si="0"/>
        <v>增值额×税（费）率</v>
      </c>
      <c r="O54" s="2522" t="str">
        <f t="shared" si="0"/>
        <v>免征</v>
      </c>
    </row>
    <row r="55" spans="1:35" ht="24" customHeight="1">
      <c r="A55" s="3612" t="s">
        <v>1361</v>
      </c>
      <c r="B55" s="3613"/>
      <c r="C55" s="3613"/>
      <c r="D55" s="3473" t="e">
        <f ca="1">IF(H55="个人住宅",0,ROUND(D45*I55,0))</f>
        <v>#REF!</v>
      </c>
      <c r="E55" s="3464" t="s">
        <v>1362</v>
      </c>
      <c r="F55" s="2549" t="str">
        <f>IF(H55="正常",I55,"免征")</f>
        <v>免征</v>
      </c>
      <c r="G55" s="2550"/>
      <c r="H55" s="2545"/>
      <c r="I55" s="165">
        <f>'数据-取费表'!B49</f>
        <v>5.0000000000000001E-4</v>
      </c>
      <c r="J55" s="3471">
        <f>IF(H59="非个人房产","",4)</f>
        <v>4</v>
      </c>
      <c r="K55" s="3662" t="str">
        <f>IF(H59="非个人房产","——","个人所得税")</f>
        <v>个人所得税</v>
      </c>
      <c r="L55" s="3662"/>
      <c r="M55" s="2523" t="e">
        <f ca="1">D59</f>
        <v>#REF!</v>
      </c>
      <c r="N55" s="3472" t="str">
        <f>E59</f>
        <v>差额计税</v>
      </c>
      <c r="O55" s="2524">
        <f>F59</f>
        <v>0.01</v>
      </c>
    </row>
    <row r="56" spans="1:35" ht="24.75">
      <c r="A56" s="3612" t="s">
        <v>1363</v>
      </c>
      <c r="B56" s="3613"/>
      <c r="C56" s="3613"/>
      <c r="D56" s="3473" t="e">
        <f ca="1">IF(H56="个人住宅",D57,D58)</f>
        <v>#REF!</v>
      </c>
      <c r="E56" s="3464" t="s">
        <v>1364</v>
      </c>
      <c r="F56" s="2549" t="str">
        <f>IF(H56="正常",F58,"免征")</f>
        <v>免征</v>
      </c>
      <c r="G56" s="2552" t="s">
        <v>1365</v>
      </c>
      <c r="H56" s="2553"/>
      <c r="I56" s="1805"/>
      <c r="J56" s="3471" t="str">
        <f>IF(项目基本情况!K6="上海银行",IF(J55="",4,J55+1),"")</f>
        <v/>
      </c>
      <c r="K56" s="3685" t="str">
        <f>IF(项目基本情况!K6="上海银行","其他处置费用","")</f>
        <v/>
      </c>
      <c r="L56" s="3686"/>
      <c r="M56" s="2520" t="str">
        <f>IF(项目基本情况!K6="上海银行",M69,"")</f>
        <v/>
      </c>
      <c r="N56" s="3685" t="str">
        <f>IF(项目基本情况!K6="上海银行","包含处置中涉及的律师、诉讼、拍卖、评估等费用","")</f>
        <v/>
      </c>
      <c r="O56" s="3688"/>
    </row>
    <row r="57" spans="1:35" ht="12.75">
      <c r="A57" s="3463" t="s">
        <v>1341</v>
      </c>
      <c r="B57" s="3623" t="s">
        <v>1366</v>
      </c>
      <c r="C57" s="3624"/>
      <c r="D57" s="1587">
        <v>0</v>
      </c>
      <c r="E57" s="324" t="s">
        <v>1343</v>
      </c>
      <c r="F57" s="302"/>
      <c r="G57" s="2550"/>
      <c r="H57" s="2554"/>
      <c r="I57" s="1805"/>
      <c r="J57" s="3662">
        <f>IF(AND(J55="",J56=""),4,IF(项目基本情况!K6="上海银行",结果表商!J56+1,结果表商!J55+1))</f>
        <v>5</v>
      </c>
      <c r="K57" s="3662" t="s">
        <v>1367</v>
      </c>
      <c r="L57" s="2525" t="s">
        <v>1368</v>
      </c>
      <c r="M57" s="2526"/>
      <c r="N57" s="2527">
        <f ca="1">SUMIF(M52:M56,"&lt;9e307")</f>
        <v>0</v>
      </c>
      <c r="O57" s="2528"/>
      <c r="P57" s="2685" t="e">
        <f ca="1">N57/M49</f>
        <v>#VALUE!</v>
      </c>
    </row>
    <row r="58" spans="1:35" ht="24.75">
      <c r="A58" s="3463" t="s">
        <v>1352</v>
      </c>
      <c r="B58" s="3623" t="s">
        <v>1369</v>
      </c>
      <c r="C58" s="3597"/>
      <c r="D58" s="3473" t="e">
        <f ca="1">IF(H58="转让取得",C81,C97)</f>
        <v>#REF!</v>
      </c>
      <c r="E58" s="3464" t="s">
        <v>1364</v>
      </c>
      <c r="F58" s="302" t="s">
        <v>28</v>
      </c>
      <c r="G58" s="2550"/>
      <c r="H58" s="2553"/>
      <c r="I58" s="1805"/>
      <c r="J58" s="3662"/>
      <c r="K58" s="3662"/>
      <c r="L58" s="2525" t="s">
        <v>1370</v>
      </c>
      <c r="M58" s="2529"/>
      <c r="N58" s="2530" t="str">
        <f ca="1">NUMBERSTRING(INT(N57*10000),2)&amp;"元整"</f>
        <v>零元整</v>
      </c>
      <c r="O58" s="2531"/>
    </row>
    <row r="59" spans="1:35" ht="24.75" thickBot="1">
      <c r="A59" s="3665" t="s">
        <v>1371</v>
      </c>
      <c r="B59" s="3666"/>
      <c r="C59" s="366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3">
        <f>J57+1</f>
        <v>6</v>
      </c>
      <c r="K59" s="3662" t="s">
        <v>1372</v>
      </c>
      <c r="L59" s="3471" t="s">
        <v>1368</v>
      </c>
      <c r="M59" s="2532"/>
      <c r="N59" s="2533" t="e">
        <f ca="1">M49-N57</f>
        <v>#VALUE!</v>
      </c>
      <c r="O59" s="2534"/>
    </row>
    <row r="60" spans="1:35" ht="12" customHeight="1">
      <c r="A60" s="1806"/>
      <c r="B60" s="1744"/>
      <c r="C60" s="1744"/>
      <c r="D60" s="1744"/>
      <c r="E60" s="1575"/>
      <c r="F60" s="1805"/>
      <c r="G60" s="1805"/>
      <c r="H60" s="1807"/>
      <c r="I60" s="129"/>
      <c r="J60" s="3664"/>
      <c r="K60" s="3662"/>
      <c r="L60" s="2525" t="s">
        <v>1370</v>
      </c>
      <c r="M60" s="2529"/>
      <c r="N60" s="2530" t="e">
        <f ca="1">NUMBERSTRING(INT(N59*10000),2)&amp;"元整"</f>
        <v>#VALUE!</v>
      </c>
      <c r="O60" s="2531"/>
    </row>
    <row r="61" spans="1:35" ht="13.5" thickBot="1">
      <c r="A61" s="3610" t="s">
        <v>1373</v>
      </c>
      <c r="B61" s="3610"/>
      <c r="C61" s="3610"/>
      <c r="D61" s="3610"/>
      <c r="E61" s="3610"/>
      <c r="F61" s="1805"/>
      <c r="G61" s="1805"/>
      <c r="H61" s="1807"/>
      <c r="I61" s="129"/>
      <c r="J61" s="3471">
        <f>J59+1</f>
        <v>7</v>
      </c>
      <c r="K61" s="3662" t="s">
        <v>1374</v>
      </c>
      <c r="L61" s="3662"/>
      <c r="M61" s="2535"/>
      <c r="N61" s="2536" t="e">
        <f ca="1">ROUND(N59*10000/'数据-汇总表'!E3,0)</f>
        <v>#VALUE!</v>
      </c>
      <c r="O61" s="2537"/>
    </row>
    <row r="62" spans="1:35" ht="12.75">
      <c r="A62" s="3628" t="s">
        <v>1375</v>
      </c>
      <c r="B62" s="3629"/>
      <c r="C62" s="3467"/>
      <c r="D62" s="3467"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87" t="s">
        <v>1379</v>
      </c>
      <c r="K63" s="3474" t="s">
        <v>1380</v>
      </c>
      <c r="L63" s="3474"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87"/>
      <c r="K64" s="3474" t="s">
        <v>1382</v>
      </c>
      <c r="L64" s="347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87"/>
      <c r="K65" s="3474" t="s">
        <v>1385</v>
      </c>
      <c r="L65" s="3474"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87"/>
      <c r="K66" s="3474" t="s">
        <v>1387</v>
      </c>
      <c r="L66" s="3474"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87"/>
      <c r="K67" s="3474" t="s">
        <v>1390</v>
      </c>
      <c r="L67" s="347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87"/>
      <c r="K68" s="3474" t="s">
        <v>1392</v>
      </c>
      <c r="L68" s="3474"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7"/>
      <c r="K69" s="3474" t="s">
        <v>1393</v>
      </c>
      <c r="L69" s="3474"/>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8" t="s">
        <v>1375</v>
      </c>
      <c r="B71" s="3629"/>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3" t="s">
        <v>1402</v>
      </c>
      <c r="F76" s="3597"/>
      <c r="G76" s="3597"/>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07" t="s">
        <v>1406</v>
      </c>
      <c r="F78" s="3608"/>
      <c r="G78" s="3608"/>
      <c r="H78" s="361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3473" t="e">
        <f ca="1">IF(C80&gt;=200%,"增值额超过扣除项目金额200%",IF(C80&gt;=100%,"增值额超过扣除项目金额100%，未超过200%",IF(C80&gt;=50%,"增值额超过扣除项目金额50%，未超过100%",IF(C80&lt;50%,"增值额未超过扣除项目金额50%"))))</f>
        <v>#REF!</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8" t="s">
        <v>1375</v>
      </c>
      <c r="B84" s="3629"/>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89" t="s">
        <v>2128</v>
      </c>
      <c r="H90" s="369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7" t="s">
        <v>1419</v>
      </c>
      <c r="F91" s="3608"/>
      <c r="G91" s="360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7" t="s">
        <v>1422</v>
      </c>
      <c r="F92" s="3608"/>
      <c r="G92" s="3608"/>
      <c r="H92" s="3617"/>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07" t="s">
        <v>1406</v>
      </c>
      <c r="F93" s="3608"/>
      <c r="G93" s="3608"/>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8" t="s">
        <v>1426</v>
      </c>
      <c r="F94" s="3619"/>
      <c r="G94" s="3619"/>
      <c r="H94" s="362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3473" t="e">
        <f ca="1">IF(C96&gt;=200%,"增值额超过扣除项目金额200%",IF(C96&gt;=100%,"增值额超过扣除项目金额100%，未超过200%",IF(C96&gt;=50%,"增值额超过扣除项目金额50%，未超过100%",IF(C96&lt;50%,"增值额未超过扣除项目金额50%"))))</f>
        <v>#REF!</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9" t="s">
        <v>1428</v>
      </c>
      <c r="B100" s="3590"/>
      <c r="C100" s="3590"/>
      <c r="D100" s="3609"/>
      <c r="E100" s="3590" t="s">
        <v>1429</v>
      </c>
      <c r="F100" s="3590"/>
      <c r="G100" s="3590"/>
      <c r="H100" s="3609"/>
      <c r="I100" s="129"/>
    </row>
    <row r="101" spans="1:35" ht="18.75" customHeight="1">
      <c r="A101" s="3670" t="s">
        <v>1430</v>
      </c>
      <c r="B101" s="3671"/>
      <c r="C101" s="2580" t="str">
        <f>C4</f>
        <v>比较法-商业</v>
      </c>
      <c r="D101" s="2581" t="str">
        <f>D4</f>
        <v>收益法商</v>
      </c>
      <c r="E101" s="3684" t="s">
        <v>1431</v>
      </c>
      <c r="F101" s="3641"/>
      <c r="G101" s="1824" t="s">
        <v>1432</v>
      </c>
      <c r="H101" s="2590" t="e">
        <f ca="1">H118</f>
        <v>#REF!</v>
      </c>
      <c r="I101" s="129"/>
    </row>
    <row r="102" spans="1:35" ht="18.75" customHeight="1">
      <c r="A102" s="3643" t="s">
        <v>1433</v>
      </c>
      <c r="B102" s="2579" t="s">
        <v>1432</v>
      </c>
      <c r="C102" s="2580">
        <f ca="1">IF(D32="楼面单价",ROUND(C19,0),C19)</f>
        <v>3831.5059000000001</v>
      </c>
      <c r="D102" s="2581">
        <f ca="1">IF(D32="楼面单价",ROUND(D19,0),D19)</f>
        <v>1960.6797999999999</v>
      </c>
      <c r="E102" s="3684"/>
      <c r="F102" s="3641"/>
      <c r="G102" s="1824" t="s">
        <v>1434</v>
      </c>
      <c r="H102" s="2550" t="e">
        <f ca="1">I118</f>
        <v>#REF!</v>
      </c>
      <c r="I102" s="129"/>
    </row>
    <row r="103" spans="1:35" ht="42.75" customHeight="1">
      <c r="A103" s="3643"/>
      <c r="B103" s="2579" t="s">
        <v>1434</v>
      </c>
      <c r="C103" s="2582">
        <f ca="1">C20</f>
        <v>93283</v>
      </c>
      <c r="D103" s="2583">
        <f ca="1">D20</f>
        <v>47735</v>
      </c>
      <c r="E103" s="3678" t="s">
        <v>1435</v>
      </c>
      <c r="F103" s="3679"/>
      <c r="G103" s="1825" t="s">
        <v>1436</v>
      </c>
      <c r="H103" s="2590">
        <f>IF(D36="正常操作",H104+H105+H106,H105+H106)</f>
        <v>0</v>
      </c>
      <c r="I103" s="129"/>
    </row>
    <row r="104" spans="1:35" ht="18.75" customHeight="1">
      <c r="A104" s="3643"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4"/>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41"/>
      <c r="G107" s="1824" t="s">
        <v>1432</v>
      </c>
      <c r="H107" s="2590" t="e">
        <f ca="1">IF(E107="——","——",H101-H103)</f>
        <v>#REF!</v>
      </c>
      <c r="I107" s="129"/>
    </row>
    <row r="108" spans="1:35" ht="18.75" customHeight="1">
      <c r="A108" s="129"/>
      <c r="B108" s="129"/>
      <c r="C108" s="129"/>
      <c r="D108" s="129"/>
      <c r="E108" s="3640"/>
      <c r="F108" s="3641"/>
      <c r="G108" s="1824" t="s">
        <v>1434</v>
      </c>
      <c r="H108" s="2550">
        <f ca="1">IF(H107=H101,H102,ROUND(H107*10000/'数据-汇总表'!E3,0))</f>
        <v>0</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4" t="s">
        <v>1432</v>
      </c>
      <c r="H109" s="2593" t="str">
        <f>IF(E109="——","——",H101-H105-H106)</f>
        <v>——</v>
      </c>
      <c r="I109" s="129"/>
    </row>
    <row r="110" spans="1:35" ht="18.75" customHeight="1">
      <c r="A110" s="129"/>
      <c r="B110" s="129"/>
      <c r="C110" s="129"/>
      <c r="D110" s="129"/>
      <c r="E110" s="3640"/>
      <c r="F110" s="3641"/>
      <c r="G110" s="1824" t="s">
        <v>1434</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4" t="s">
        <v>1432</v>
      </c>
      <c r="H111" s="2590" t="str">
        <f>IF(E111="——","——",N59)</f>
        <v>——</v>
      </c>
      <c r="I111" s="129"/>
    </row>
    <row r="112" spans="1:35" ht="18.75" customHeight="1" thickBot="1">
      <c r="A112" s="129"/>
      <c r="B112" s="129"/>
      <c r="C112" s="129"/>
      <c r="D112" s="129"/>
      <c r="E112" s="3673"/>
      <c r="F112" s="3674"/>
      <c r="G112" s="1827" t="s">
        <v>1434</v>
      </c>
      <c r="H112" s="2594" t="str">
        <f>IF(E111="——","——",N61)</f>
        <v>——</v>
      </c>
      <c r="I112" s="129"/>
    </row>
    <row r="113" spans="1:27" ht="18.75" customHeight="1">
      <c r="A113" s="129"/>
      <c r="B113" s="129"/>
      <c r="C113" s="129"/>
      <c r="D113" s="129"/>
      <c r="E113" s="3645" t="s">
        <v>1440</v>
      </c>
      <c r="F113" s="3645"/>
      <c r="G113" s="3645"/>
      <c r="H113" s="3645"/>
      <c r="I113" s="129"/>
    </row>
    <row r="114" spans="1:27" ht="3.75" customHeight="1">
      <c r="A114" s="1744"/>
      <c r="B114" s="1744"/>
      <c r="C114" s="1744"/>
      <c r="D114" s="1744"/>
      <c r="E114" s="1806"/>
      <c r="F114" s="1806"/>
      <c r="G114" s="1806"/>
      <c r="H114" s="1806"/>
      <c r="I114" s="1744"/>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t="e">
        <f ca="1">ROUND(IF(D32="总价",C34,E118*B118/10000),0)</f>
        <v>#REF!</v>
      </c>
      <c r="E118" s="3462" t="e">
        <f ca="1">ROUND(IF(C33="自定义",IF(D32="楼面单价",C34,D118*10000/B118),I118-G118),0)</f>
        <v>#REF!</v>
      </c>
      <c r="F118" s="3462" t="e">
        <f ca="1">ROUND(IF(D32="总价",C35,G118*B118/10000),0)</f>
        <v>#REF!</v>
      </c>
      <c r="G118" s="3462" t="e">
        <f ca="1">ROUND(IF(D32="楼面单价",C35,F118*10000/B118),0)</f>
        <v>#REF!</v>
      </c>
      <c r="H118" s="3462" t="e">
        <f ca="1">ROUND(IF(D32="总价",C32,I118*B118/10000),0)</f>
        <v>#REF!</v>
      </c>
      <c r="I118" s="3462" t="e">
        <f ca="1">ROUND(IF(D32="楼面单价",C32,H118*10000/B118),0)</f>
        <v>#REF!</v>
      </c>
    </row>
    <row r="119" spans="1:27" ht="18.75" customHeight="1">
      <c r="A119" s="3611" t="s">
        <v>1452</v>
      </c>
      <c r="B119" s="3611"/>
      <c r="C119" s="3611"/>
      <c r="D119" s="3651" t="e">
        <f ca="1">NUMBERSTRING(INT(D118*10000),2)&amp;"元整"</f>
        <v>#REF!</v>
      </c>
      <c r="E119" s="3653"/>
      <c r="F119" s="3651" t="e">
        <f ca="1">NUMBERSTRING(INT(F118*10000),2)&amp;"元整"</f>
        <v>#REF!</v>
      </c>
      <c r="G119" s="3653"/>
      <c r="H119" s="3651" t="e">
        <f ca="1">NUMBERSTRING(INT(H118*10000),2)&amp;"元整"</f>
        <v>#REF!</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1" t="s">
        <v>1452</v>
      </c>
      <c r="B121" s="3652"/>
      <c r="C121" s="3653"/>
      <c r="D121" s="3651" t="str">
        <f>IF(D120=0,"零元整",NUMBERSTRING(INT(D120*10000),2)&amp;"元整")</f>
        <v>零元整</v>
      </c>
      <c r="E121" s="3652"/>
      <c r="F121" s="3652"/>
      <c r="G121" s="3652"/>
      <c r="H121" s="3652"/>
      <c r="I121" s="3653"/>
      <c r="AA121" s="722"/>
    </row>
    <row r="122" spans="1:27" ht="18.75" customHeight="1">
      <c r="A122" s="3642" t="str">
        <f>IF(项目基本情况!B9="房地产市场价值","",MID(E107,3,LEN(E107)-2))</f>
        <v>房地产抵押价值</v>
      </c>
      <c r="B122" s="3642"/>
      <c r="C122" s="3642"/>
      <c r="D122" s="3675" t="e">
        <f ca="1">H107</f>
        <v>#REF!</v>
      </c>
      <c r="E122" s="3676"/>
      <c r="F122" s="3676"/>
      <c r="G122" s="3676"/>
      <c r="H122" s="3676"/>
      <c r="I122" s="3677"/>
      <c r="AA122" s="722"/>
    </row>
    <row r="123" spans="1:27" ht="18.75" customHeight="1">
      <c r="A123" s="3611" t="s">
        <v>1452</v>
      </c>
      <c r="B123" s="3611"/>
      <c r="C123" s="3611"/>
      <c r="D123" s="3651" t="e">
        <f ca="1">NUMBERSTRING(INT(D122*10000),2)&amp;"元整"</f>
        <v>#REF!</v>
      </c>
      <c r="E123" s="3652"/>
      <c r="F123" s="3652"/>
      <c r="G123" s="3652"/>
      <c r="H123" s="3652"/>
      <c r="I123" s="3653"/>
      <c r="AA123" s="722"/>
    </row>
    <row r="124" spans="1:27" ht="18.75" customHeight="1">
      <c r="A124" s="3642" t="str">
        <f>IF(项目基本情况!B9="房地产市场价值","",MID(E109,3,LEN(E109)-2))</f>
        <v/>
      </c>
      <c r="B124" s="3642"/>
      <c r="C124" s="3642"/>
      <c r="D124" s="3675" t="str">
        <f>H109</f>
        <v>——</v>
      </c>
      <c r="E124" s="3676"/>
      <c r="F124" s="3676"/>
      <c r="G124" s="3676"/>
      <c r="H124" s="3676"/>
      <c r="I124" s="3677"/>
      <c r="AA124" s="722"/>
    </row>
    <row r="125" spans="1:27" ht="18.75" customHeight="1">
      <c r="A125" s="3611" t="s">
        <v>1452</v>
      </c>
      <c r="B125" s="3611"/>
      <c r="C125" s="3611"/>
      <c r="D125" s="3651" t="e">
        <f>NUMBERSTRING(INT(D124*10000),2)&amp;"元整"</f>
        <v>#VALUE!</v>
      </c>
      <c r="E125" s="3652"/>
      <c r="F125" s="3652"/>
      <c r="G125" s="3652"/>
      <c r="H125" s="3652"/>
      <c r="I125" s="3653"/>
      <c r="AA125" s="722"/>
    </row>
    <row r="126" spans="1:27" ht="18.75" customHeight="1">
      <c r="A126" s="3642" t="str">
        <f>IF(项目基本情况!B9="房地产市场价值","",MID(E111,3,LEN(E111)-2))</f>
        <v/>
      </c>
      <c r="B126" s="3642"/>
      <c r="C126" s="3642"/>
      <c r="D126" s="3675" t="str">
        <f>H111</f>
        <v>——</v>
      </c>
      <c r="E126" s="3676"/>
      <c r="F126" s="3676"/>
      <c r="G126" s="3676"/>
      <c r="H126" s="3676"/>
      <c r="I126" s="3677"/>
      <c r="AA126" s="722"/>
    </row>
    <row r="127" spans="1:27" ht="18.75" customHeight="1">
      <c r="A127" s="3611" t="s">
        <v>1452</v>
      </c>
      <c r="B127" s="3611"/>
      <c r="C127" s="3611"/>
      <c r="D127" s="3651" t="e">
        <f>NUMBERSTRING(INT(D126*10000),2)&amp;"元整"</f>
        <v>#VALUE!</v>
      </c>
      <c r="E127" s="3652"/>
      <c r="F127" s="3652"/>
      <c r="G127" s="3652"/>
      <c r="H127" s="3652"/>
      <c r="I127" s="3653"/>
      <c r="AA127" s="722"/>
    </row>
    <row r="128" spans="1:27" ht="21.75" customHeight="1">
      <c r="A128" s="3658" t="s">
        <v>1453</v>
      </c>
      <c r="B128" s="3658"/>
      <c r="C128" s="3658"/>
      <c r="D128" s="3658"/>
      <c r="E128" s="3658"/>
      <c r="F128" s="3658"/>
      <c r="G128" s="3658"/>
      <c r="H128" s="3658"/>
      <c r="I128" s="365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K39" sqref="K39"/>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29" t="s">
        <v>1772</v>
      </c>
      <c r="AC4" s="3760" t="s">
        <v>1773</v>
      </c>
    </row>
    <row r="5" spans="1:29" ht="15">
      <c r="A5" s="358"/>
      <c r="B5" s="359"/>
      <c r="C5" s="3738" t="s">
        <v>1673</v>
      </c>
      <c r="D5" s="3733"/>
      <c r="E5" s="3744" t="s">
        <v>3566</v>
      </c>
      <c r="F5" s="3745"/>
      <c r="G5" s="3732" t="s">
        <v>3567</v>
      </c>
      <c r="H5" s="3733"/>
      <c r="I5" s="3732" t="s">
        <v>3568</v>
      </c>
      <c r="J5" s="3733"/>
      <c r="K5" s="559"/>
      <c r="L5" s="2710"/>
      <c r="M5" s="2711"/>
      <c r="N5" s="2711"/>
      <c r="O5" s="2711"/>
      <c r="P5" s="3763"/>
      <c r="Q5" s="3719"/>
      <c r="R5" s="3724"/>
      <c r="S5" s="3725"/>
      <c r="T5" s="3724"/>
      <c r="U5" s="3725"/>
      <c r="V5" s="3729"/>
      <c r="W5" s="3729"/>
      <c r="X5" s="1352"/>
      <c r="Y5" s="3724"/>
      <c r="Z5" s="3725"/>
      <c r="AA5" s="3742"/>
      <c r="AB5" s="3729"/>
      <c r="AC5" s="3742"/>
    </row>
    <row r="6" spans="1:29" ht="15.75" thickBot="1">
      <c r="A6" s="360"/>
      <c r="B6" s="361"/>
      <c r="C6" s="3730" t="s">
        <v>1677</v>
      </c>
      <c r="D6" s="3731"/>
      <c r="E6" s="3739" t="s">
        <v>3506</v>
      </c>
      <c r="F6" s="3740"/>
      <c r="G6" s="3730" t="s">
        <v>3506</v>
      </c>
      <c r="H6" s="3731"/>
      <c r="I6" s="3730" t="s">
        <v>3506</v>
      </c>
      <c r="J6" s="3731"/>
      <c r="K6" s="559" t="s">
        <v>1678</v>
      </c>
      <c r="L6" s="2710"/>
      <c r="M6" s="2711"/>
      <c r="N6" s="2711"/>
      <c r="O6" s="2711"/>
      <c r="P6" s="3764"/>
      <c r="Q6" s="3721"/>
      <c r="R6" s="3724"/>
      <c r="S6" s="3725"/>
      <c r="T6" s="3726"/>
      <c r="U6" s="3727"/>
      <c r="V6" s="3729"/>
      <c r="W6" s="3729"/>
      <c r="X6" s="1352"/>
      <c r="Y6" s="3726"/>
      <c r="Z6" s="3727"/>
      <c r="AA6" s="3743"/>
      <c r="AB6" s="3729"/>
      <c r="AC6" s="3743"/>
    </row>
    <row r="7" spans="1:29" s="108" customFormat="1" ht="15.75" thickBot="1">
      <c r="A7" s="362" t="s">
        <v>1679</v>
      </c>
      <c r="B7" s="363"/>
      <c r="C7" s="364">
        <f>'数据-取费表'!B2</f>
        <v>45142</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736" t="s">
        <v>1680</v>
      </c>
      <c r="Q7" s="3737"/>
      <c r="R7" s="698" t="s">
        <v>14</v>
      </c>
      <c r="S7" s="699">
        <f t="shared" ref="S7:S15" si="0">F7</f>
        <v>100</v>
      </c>
      <c r="T7" s="698" t="s">
        <v>14</v>
      </c>
      <c r="U7" s="699">
        <f t="shared" ref="U7:U15" si="1">H7</f>
        <v>100</v>
      </c>
      <c r="V7" s="698" t="s">
        <v>14</v>
      </c>
      <c r="W7" s="699">
        <f t="shared" ref="W7:W15" si="2">J7</f>
        <v>100</v>
      </c>
      <c r="X7" s="700"/>
      <c r="Y7" s="3736" t="s">
        <v>1680</v>
      </c>
      <c r="Z7" s="3735"/>
      <c r="AA7" s="701">
        <f>D7/F7</f>
        <v>1</v>
      </c>
      <c r="AB7" s="701">
        <f>D7/H7</f>
        <v>1</v>
      </c>
      <c r="AC7" s="701">
        <f>D7/J7</f>
        <v>1</v>
      </c>
    </row>
    <row r="8" spans="1:29" s="108" customFormat="1" ht="15.75" thickBot="1">
      <c r="A8" s="362" t="s">
        <v>1681</v>
      </c>
      <c r="B8" s="363"/>
      <c r="C8" s="368" t="s">
        <v>3443</v>
      </c>
      <c r="D8" s="365">
        <v>100</v>
      </c>
      <c r="E8" s="368" t="s">
        <v>3514</v>
      </c>
      <c r="F8" s="367">
        <f>SUMIF(61:61,E8,62:62)-SUMIF(61:61,C8,62:62)+100</f>
        <v>102</v>
      </c>
      <c r="G8" s="368" t="s">
        <v>3514</v>
      </c>
      <c r="H8" s="365">
        <f>SUMIF(61:61,G8,62:62)-SUMIF(61:61,C8,62:62)+100</f>
        <v>102</v>
      </c>
      <c r="I8" s="368" t="s">
        <v>3514</v>
      </c>
      <c r="J8" s="365">
        <f>SUMIF(61:61,I8,62:62)-SUMIF(61:61,C8,62:62)+100</f>
        <v>102</v>
      </c>
      <c r="K8" s="560"/>
      <c r="L8" s="2712"/>
      <c r="M8" s="2713"/>
      <c r="N8" s="2713"/>
      <c r="O8" s="2713"/>
      <c r="P8" s="3736" t="s">
        <v>1683</v>
      </c>
      <c r="Q8" s="3735"/>
      <c r="R8" s="698" t="s">
        <v>14</v>
      </c>
      <c r="S8" s="699">
        <f t="shared" si="0"/>
        <v>102</v>
      </c>
      <c r="T8" s="698" t="s">
        <v>14</v>
      </c>
      <c r="U8" s="699">
        <f t="shared" si="1"/>
        <v>102</v>
      </c>
      <c r="V8" s="698" t="s">
        <v>14</v>
      </c>
      <c r="W8" s="699">
        <f t="shared" si="2"/>
        <v>102</v>
      </c>
      <c r="X8" s="700"/>
      <c r="Y8" s="3736" t="s">
        <v>1683</v>
      </c>
      <c r="Z8" s="3735"/>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3515</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75" thickTop="1">
      <c r="A10" s="374"/>
      <c r="B10" s="375" t="s">
        <v>1688</v>
      </c>
      <c r="C10" s="532" t="s">
        <v>3519</v>
      </c>
      <c r="D10" s="127">
        <v>100</v>
      </c>
      <c r="E10" s="532" t="s">
        <v>3520</v>
      </c>
      <c r="F10" s="376">
        <f>SUMIF(65:65,E10,66:66)-SUMIF(65:65,C10,66:66)+100</f>
        <v>99</v>
      </c>
      <c r="G10" s="532" t="s">
        <v>3520</v>
      </c>
      <c r="H10" s="127">
        <f>SUMIF(65:65,G10,66:66)-SUMIF(65:65,C10,66:66)+100</f>
        <v>99</v>
      </c>
      <c r="I10" s="532" t="s">
        <v>3520</v>
      </c>
      <c r="J10" s="127">
        <f>SUMIF(65:65,I10,66:66)-SUMIF(65:65,C10,66:66)+100</f>
        <v>99</v>
      </c>
      <c r="K10" s="560"/>
      <c r="L10" s="2714"/>
      <c r="M10" s="2715"/>
      <c r="N10" s="2715"/>
      <c r="O10" s="2715"/>
      <c r="P10" s="3694"/>
      <c r="Q10" s="1340" t="str">
        <f t="shared" si="6"/>
        <v>土地使用年限（年）</v>
      </c>
      <c r="R10" s="698" t="s">
        <v>14</v>
      </c>
      <c r="S10" s="699">
        <f t="shared" si="0"/>
        <v>99</v>
      </c>
      <c r="T10" s="698" t="s">
        <v>14</v>
      </c>
      <c r="U10" s="699">
        <f t="shared" si="1"/>
        <v>99</v>
      </c>
      <c r="V10" s="698" t="s">
        <v>14</v>
      </c>
      <c r="W10" s="699">
        <f t="shared" si="2"/>
        <v>99</v>
      </c>
      <c r="X10" s="700"/>
      <c r="Y10" s="3598"/>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4"/>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4"/>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4"/>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4"/>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97</v>
      </c>
      <c r="G15" s="395"/>
      <c r="H15" s="392">
        <f>SUMIF(76:76,G16,77:77)-SUMIF(76:76,C16,77:77)+100</f>
        <v>97</v>
      </c>
      <c r="I15" s="393"/>
      <c r="J15" s="392">
        <f>SUMIF(76:76,I16,77:77)-SUMIF(76:76,C16,77:77)+100</f>
        <v>97</v>
      </c>
      <c r="K15" s="563">
        <v>3</v>
      </c>
      <c r="L15" s="2717"/>
      <c r="M15" s="2711"/>
      <c r="N15" s="2711"/>
      <c r="O15" s="2711"/>
      <c r="P15" s="3700" t="s">
        <v>1691</v>
      </c>
      <c r="Q15" s="1349" t="str">
        <f t="shared" si="6"/>
        <v>商业繁华度</v>
      </c>
      <c r="R15" s="702" t="s">
        <v>14</v>
      </c>
      <c r="S15" s="703">
        <f t="shared" si="0"/>
        <v>97</v>
      </c>
      <c r="T15" s="702" t="s">
        <v>14</v>
      </c>
      <c r="U15" s="703">
        <f t="shared" si="1"/>
        <v>97</v>
      </c>
      <c r="V15" s="702" t="s">
        <v>14</v>
      </c>
      <c r="W15" s="703">
        <f t="shared" si="2"/>
        <v>97</v>
      </c>
      <c r="X15" s="1352"/>
      <c r="Y15" s="3702" t="s">
        <v>1691</v>
      </c>
      <c r="Z15" s="1353" t="str">
        <f t="shared" si="7"/>
        <v>商业繁华度</v>
      </c>
      <c r="AA15" s="1350">
        <f t="shared" si="3"/>
        <v>1.0309278350515463</v>
      </c>
      <c r="AB15" s="1350">
        <f t="shared" si="4"/>
        <v>1.0309278350515463</v>
      </c>
      <c r="AC15" s="1350">
        <f t="shared" si="5"/>
        <v>1.0309278350515463</v>
      </c>
    </row>
    <row r="16" spans="1:29" ht="15">
      <c r="A16" s="379"/>
      <c r="B16" s="397"/>
      <c r="C16" s="398" t="s">
        <v>3445</v>
      </c>
      <c r="D16" s="399"/>
      <c r="E16" s="398" t="s">
        <v>3512</v>
      </c>
      <c r="F16" s="400"/>
      <c r="G16" s="398" t="s">
        <v>3512</v>
      </c>
      <c r="H16" s="401"/>
      <c r="I16" s="398" t="s">
        <v>3512</v>
      </c>
      <c r="J16" s="399"/>
      <c r="K16" s="564"/>
      <c r="L16" s="2717"/>
      <c r="M16" s="2711"/>
      <c r="N16" s="2711"/>
      <c r="O16" s="2711"/>
      <c r="P16" s="3701"/>
      <c r="Q16" s="1349"/>
      <c r="R16" s="702"/>
      <c r="S16" s="703"/>
      <c r="T16" s="702"/>
      <c r="U16" s="703"/>
      <c r="V16" s="702"/>
      <c r="W16" s="703"/>
      <c r="X16" s="1352"/>
      <c r="Y16" s="3703"/>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01"/>
      <c r="Q18" s="1349"/>
      <c r="R18" s="702"/>
      <c r="S18" s="703"/>
      <c r="T18" s="702"/>
      <c r="U18" s="703"/>
      <c r="V18" s="702"/>
      <c r="W18" s="703"/>
      <c r="X18" s="1352"/>
      <c r="Y18" s="3703"/>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01"/>
      <c r="Q20" s="1349"/>
      <c r="R20" s="702"/>
      <c r="S20" s="703"/>
      <c r="T20" s="702"/>
      <c r="U20" s="703"/>
      <c r="V20" s="702"/>
      <c r="W20" s="703"/>
      <c r="X20" s="1352"/>
      <c r="Y20" s="3703"/>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01"/>
      <c r="Q22" s="1349"/>
      <c r="R22" s="702"/>
      <c r="S22" s="703"/>
      <c r="T22" s="702"/>
      <c r="U22" s="703"/>
      <c r="V22" s="702"/>
      <c r="W22" s="703"/>
      <c r="X22" s="1352"/>
      <c r="Y22" s="3703"/>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01"/>
      <c r="Q23" s="1349" t="str">
        <f>B23</f>
        <v>自然及人文环境</v>
      </c>
      <c r="R23" s="702" t="s">
        <v>14</v>
      </c>
      <c r="S23" s="703">
        <f>F23</f>
        <v>100</v>
      </c>
      <c r="T23" s="702" t="s">
        <v>14</v>
      </c>
      <c r="U23" s="703">
        <f>H23</f>
        <v>100</v>
      </c>
      <c r="V23" s="702" t="s">
        <v>14</v>
      </c>
      <c r="W23" s="703">
        <f>J23</f>
        <v>100</v>
      </c>
      <c r="X23" s="1352"/>
      <c r="Y23" s="3703"/>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01"/>
      <c r="Q24" s="1349"/>
      <c r="R24" s="702"/>
      <c r="S24" s="703"/>
      <c r="T24" s="702"/>
      <c r="U24" s="703"/>
      <c r="V24" s="702"/>
      <c r="W24" s="703"/>
      <c r="X24" s="1352"/>
      <c r="Y24" s="3703"/>
      <c r="Z24" s="1353"/>
      <c r="AA24" s="1350">
        <v>1</v>
      </c>
      <c r="AB24" s="1350">
        <v>1</v>
      </c>
      <c r="AC24" s="1350">
        <v>1</v>
      </c>
    </row>
    <row r="25" spans="1:29" ht="15">
      <c r="A25" s="379"/>
      <c r="B25" s="375" t="s">
        <v>1780</v>
      </c>
      <c r="C25" s="565" t="s">
        <v>3513</v>
      </c>
      <c r="D25" s="386">
        <v>100</v>
      </c>
      <c r="E25" s="565" t="s">
        <v>3513</v>
      </c>
      <c r="F25" s="412">
        <f>SUMIF(86:86,E25,87:87)-SUMIF(86:86,C25,87:87)+100</f>
        <v>100</v>
      </c>
      <c r="G25" s="565" t="s">
        <v>3513</v>
      </c>
      <c r="H25" s="386">
        <f>SUMIF(86:86,G25,87:87)-SUMIF(86:86,C25,87:87)+100</f>
        <v>100</v>
      </c>
      <c r="I25" s="565" t="s">
        <v>3513</v>
      </c>
      <c r="J25" s="386">
        <f>SUMIF(86:86,I25,87:87)-SUMIF(86:86,C25,87:87)+100</f>
        <v>100</v>
      </c>
      <c r="K25" s="561">
        <v>3</v>
      </c>
      <c r="L25" s="2717"/>
      <c r="M25" s="2711"/>
      <c r="N25" s="2711"/>
      <c r="O25" s="2711"/>
      <c r="P25" s="3701"/>
      <c r="Q25" s="1349" t="str">
        <f t="shared" ref="Q25:Q46" si="11">B25</f>
        <v>临街状况</v>
      </c>
      <c r="R25" s="702" t="s">
        <v>14</v>
      </c>
      <c r="S25" s="703">
        <f>F25</f>
        <v>100</v>
      </c>
      <c r="T25" s="702" t="s">
        <v>14</v>
      </c>
      <c r="U25" s="703">
        <f>H25</f>
        <v>100</v>
      </c>
      <c r="V25" s="702" t="s">
        <v>14</v>
      </c>
      <c r="W25" s="703">
        <f>J25</f>
        <v>100</v>
      </c>
      <c r="X25" s="1352"/>
      <c r="Y25" s="3703"/>
      <c r="Z25" s="1353" t="str">
        <f>Q25</f>
        <v>临街状况</v>
      </c>
      <c r="AA25" s="1350">
        <f t="shared" si="3"/>
        <v>1</v>
      </c>
      <c r="AB25" s="1350">
        <f t="shared" si="4"/>
        <v>1</v>
      </c>
      <c r="AC25" s="1350">
        <f t="shared" si="5"/>
        <v>1</v>
      </c>
    </row>
    <row r="26" spans="1:29" ht="15">
      <c r="A26" s="379"/>
      <c r="B26" s="1130" t="s">
        <v>1781</v>
      </c>
      <c r="C26" s="3495" t="s">
        <v>3554</v>
      </c>
      <c r="D26" s="386">
        <v>100</v>
      </c>
      <c r="E26" s="3495" t="s">
        <v>3555</v>
      </c>
      <c r="F26" s="412">
        <f>SUMIF(88:88,E26,89:89)-SUMIF(88:88,C26,89:89)+100</f>
        <v>97</v>
      </c>
      <c r="G26" s="3495" t="s">
        <v>3555</v>
      </c>
      <c r="H26" s="386">
        <f>SUMIF(88:88,G26,89:89)-SUMIF(88:88,C26,89:89)+100</f>
        <v>97</v>
      </c>
      <c r="I26" s="3495" t="s">
        <v>3555</v>
      </c>
      <c r="J26" s="386">
        <f>SUMIF(88:88,I26,89:89)-SUMIF(88:88,C26,89:89)+100</f>
        <v>97</v>
      </c>
      <c r="K26" s="562"/>
      <c r="L26" s="2717"/>
      <c r="M26" s="2711"/>
      <c r="N26" s="2711"/>
      <c r="O26" s="2711"/>
      <c r="P26" s="3701"/>
      <c r="Q26" s="1349" t="str">
        <f t="shared" si="11"/>
        <v>平面位置/可视性</v>
      </c>
      <c r="R26" s="702" t="s">
        <v>14</v>
      </c>
      <c r="S26" s="703">
        <f>F26</f>
        <v>97</v>
      </c>
      <c r="T26" s="702" t="s">
        <v>14</v>
      </c>
      <c r="U26" s="703">
        <f>H26</f>
        <v>97</v>
      </c>
      <c r="V26" s="702" t="s">
        <v>14</v>
      </c>
      <c r="W26" s="703">
        <f>J26</f>
        <v>97</v>
      </c>
      <c r="X26" s="1352"/>
      <c r="Y26" s="3703"/>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3553</v>
      </c>
      <c r="D27" s="413">
        <v>100</v>
      </c>
      <c r="E27" s="1953" t="s">
        <v>3512</v>
      </c>
      <c r="F27" s="415">
        <f>SUMIF(90:90,E27,91:91)-SUMIF(90:90,C27,91:91)+100</f>
        <v>95</v>
      </c>
      <c r="G27" s="1953" t="s">
        <v>3512</v>
      </c>
      <c r="H27" s="413">
        <f>SUMIF(90:90,G27,91:91)-SUMIF(90:90,C27,91:91)+100</f>
        <v>95</v>
      </c>
      <c r="I27" s="1953" t="s">
        <v>3512</v>
      </c>
      <c r="J27" s="413">
        <f>SUMIF(90:90,I27,91:91)-SUMIF(90:90,C27,91:91)+100</f>
        <v>95</v>
      </c>
      <c r="K27" s="561">
        <v>5</v>
      </c>
      <c r="L27" s="2712"/>
      <c r="M27" s="2713"/>
      <c r="N27" s="2713"/>
      <c r="O27" s="2713"/>
      <c r="P27" s="3701"/>
      <c r="Q27" s="1340" t="str">
        <f t="shared" si="11"/>
        <v>人流量</v>
      </c>
      <c r="R27" s="698" t="s">
        <v>14</v>
      </c>
      <c r="S27" s="699">
        <f>F27</f>
        <v>95</v>
      </c>
      <c r="T27" s="698" t="s">
        <v>14</v>
      </c>
      <c r="U27" s="699">
        <f>H27</f>
        <v>95</v>
      </c>
      <c r="V27" s="698" t="s">
        <v>14</v>
      </c>
      <c r="W27" s="699">
        <f>J27</f>
        <v>95</v>
      </c>
      <c r="X27" s="700"/>
      <c r="Y27" s="3703"/>
      <c r="Z27" s="52" t="str">
        <f>Q27</f>
        <v>人流量</v>
      </c>
      <c r="AA27" s="1350">
        <f>D27/F27</f>
        <v>1.0526315789473684</v>
      </c>
      <c r="AB27" s="1350">
        <f>D27/H27</f>
        <v>1.0526315789473684</v>
      </c>
      <c r="AC27" s="1350">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01"/>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1"/>
      <c r="Q29" s="1349">
        <f t="shared" si="11"/>
        <v>111</v>
      </c>
      <c r="R29" s="702" t="s">
        <v>14</v>
      </c>
      <c r="S29" s="703">
        <f t="shared" si="12"/>
        <v>100</v>
      </c>
      <c r="T29" s="702" t="s">
        <v>14</v>
      </c>
      <c r="U29" s="703">
        <f t="shared" si="13"/>
        <v>100</v>
      </c>
      <c r="V29" s="702" t="s">
        <v>14</v>
      </c>
      <c r="W29" s="703">
        <f t="shared" si="14"/>
        <v>100</v>
      </c>
      <c r="X29" s="1352"/>
      <c r="Y29" s="370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350">
        <f t="shared" si="5"/>
        <v>1</v>
      </c>
    </row>
    <row r="32" spans="1:29" ht="15">
      <c r="A32" s="391" t="s">
        <v>1694</v>
      </c>
      <c r="B32" s="63" t="s">
        <v>1784</v>
      </c>
      <c r="C32" s="1907" t="s">
        <v>3550</v>
      </c>
      <c r="D32" s="418">
        <v>100</v>
      </c>
      <c r="E32" s="1907" t="s">
        <v>3550</v>
      </c>
      <c r="F32" s="412">
        <f>SUMIF(100:100,E32,101:101)-SUMIF(100:100,C32,101:101)+100</f>
        <v>100</v>
      </c>
      <c r="G32" s="1907" t="s">
        <v>3550</v>
      </c>
      <c r="H32" s="386">
        <f>SUMIF(100:100,G32,101:101)-SUMIF(100:100,C32,101:101)+100</f>
        <v>100</v>
      </c>
      <c r="I32" s="1907" t="s">
        <v>3550</v>
      </c>
      <c r="J32" s="418">
        <f>SUMIF(100:100,I32,101:101)-SUMIF(100:100,C32,101:101)+100</f>
        <v>100</v>
      </c>
      <c r="K32" s="561">
        <v>3</v>
      </c>
      <c r="L32" s="2717"/>
      <c r="M32" s="2711"/>
      <c r="N32" s="2711"/>
      <c r="O32" s="2711"/>
      <c r="P32" s="3704" t="s">
        <v>1696</v>
      </c>
      <c r="Q32" s="1349" t="str">
        <f t="shared" si="11"/>
        <v>商业类型</v>
      </c>
      <c r="R32" s="702" t="s">
        <v>14</v>
      </c>
      <c r="S32" s="703">
        <f t="shared" si="12"/>
        <v>100</v>
      </c>
      <c r="T32" s="702" t="s">
        <v>14</v>
      </c>
      <c r="U32" s="703">
        <f t="shared" si="13"/>
        <v>100</v>
      </c>
      <c r="V32" s="702" t="s">
        <v>14</v>
      </c>
      <c r="W32" s="703">
        <f t="shared" si="14"/>
        <v>100</v>
      </c>
      <c r="X32" s="1352"/>
      <c r="Y32" s="3707" t="s">
        <v>1696</v>
      </c>
      <c r="Z32" s="1353" t="str">
        <f t="shared" si="15"/>
        <v>商业类型</v>
      </c>
      <c r="AA32" s="1350">
        <f t="shared" si="3"/>
        <v>1</v>
      </c>
      <c r="AB32" s="1350">
        <f t="shared" si="4"/>
        <v>1</v>
      </c>
      <c r="AC32" s="1350">
        <f t="shared" si="5"/>
        <v>1</v>
      </c>
    </row>
    <row r="33" spans="1:29" s="422" customFormat="1" ht="15">
      <c r="A33" s="419"/>
      <c r="B33" s="375" t="s">
        <v>1697</v>
      </c>
      <c r="C33" s="420">
        <f>分套价值!C2</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05"/>
      <c r="Q33" s="704" t="str">
        <f t="shared" si="11"/>
        <v>项目建筑规模</v>
      </c>
      <c r="R33" s="705" t="s">
        <v>14</v>
      </c>
      <c r="S33" s="706">
        <f t="shared" si="12"/>
        <v>101</v>
      </c>
      <c r="T33" s="705" t="s">
        <v>14</v>
      </c>
      <c r="U33" s="706">
        <f t="shared" si="13"/>
        <v>103</v>
      </c>
      <c r="V33" s="705" t="s">
        <v>14</v>
      </c>
      <c r="W33" s="706">
        <f t="shared" si="14"/>
        <v>102</v>
      </c>
      <c r="X33" s="707"/>
      <c r="Y33" s="3707"/>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05"/>
      <c r="Q34" s="1349" t="str">
        <f t="shared" si="11"/>
        <v>建筑结构</v>
      </c>
      <c r="R34" s="702" t="s">
        <v>14</v>
      </c>
      <c r="S34" s="703">
        <f t="shared" si="12"/>
        <v>100</v>
      </c>
      <c r="T34" s="702" t="s">
        <v>14</v>
      </c>
      <c r="U34" s="703">
        <f t="shared" si="13"/>
        <v>100</v>
      </c>
      <c r="V34" s="702" t="s">
        <v>14</v>
      </c>
      <c r="W34" s="703">
        <f t="shared" si="14"/>
        <v>100</v>
      </c>
      <c r="X34" s="1352"/>
      <c r="Y34" s="3707"/>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05"/>
      <c r="Q35" s="1349" t="str">
        <f t="shared" si="11"/>
        <v>公共部分装修</v>
      </c>
      <c r="R35" s="702" t="s">
        <v>14</v>
      </c>
      <c r="S35" s="703">
        <f t="shared" si="12"/>
        <v>100</v>
      </c>
      <c r="T35" s="702" t="s">
        <v>14</v>
      </c>
      <c r="U35" s="703">
        <f t="shared" si="13"/>
        <v>100</v>
      </c>
      <c r="V35" s="702" t="s">
        <v>14</v>
      </c>
      <c r="W35" s="703">
        <f t="shared" si="14"/>
        <v>100</v>
      </c>
      <c r="X35" s="1352"/>
      <c r="Y35" s="3707"/>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05"/>
      <c r="Q36" s="1349" t="str">
        <f t="shared" si="11"/>
        <v>成新度</v>
      </c>
      <c r="R36" s="702" t="s">
        <v>14</v>
      </c>
      <c r="S36" s="703">
        <f t="shared" si="12"/>
        <v>99</v>
      </c>
      <c r="T36" s="702" t="s">
        <v>14</v>
      </c>
      <c r="U36" s="703">
        <f t="shared" si="13"/>
        <v>99</v>
      </c>
      <c r="V36" s="702" t="s">
        <v>14</v>
      </c>
      <c r="W36" s="703">
        <f t="shared" si="14"/>
        <v>98</v>
      </c>
      <c r="X36" s="1352"/>
      <c r="Y36" s="3707"/>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3551</v>
      </c>
      <c r="D37" s="127">
        <v>100</v>
      </c>
      <c r="E37" s="411" t="s">
        <v>3551</v>
      </c>
      <c r="F37" s="412">
        <f>SUMIF(112:112,E37,113:113)-SUMIF(112:112,C37,113:113)+100</f>
        <v>100</v>
      </c>
      <c r="G37" s="411" t="s">
        <v>3551</v>
      </c>
      <c r="H37" s="386">
        <f>SUMIF(112:112,G37,113:113)-SUMIF(112:112,C37,113:113)+100</f>
        <v>100</v>
      </c>
      <c r="I37" s="411" t="s">
        <v>3551</v>
      </c>
      <c r="J37" s="386">
        <f>SUMIF(112:112,I37,113:113)-SUMIF(112:112,C37,113:113)+100</f>
        <v>100</v>
      </c>
      <c r="K37" s="561">
        <v>1</v>
      </c>
      <c r="L37" s="2712"/>
      <c r="M37" s="2713"/>
      <c r="N37" s="2713"/>
      <c r="O37" s="2713"/>
      <c r="P37" s="3705"/>
      <c r="Q37" s="1340" t="str">
        <f t="shared" si="11"/>
        <v>市政基础设施</v>
      </c>
      <c r="R37" s="698" t="s">
        <v>14</v>
      </c>
      <c r="S37" s="699">
        <f t="shared" si="12"/>
        <v>100</v>
      </c>
      <c r="T37" s="698" t="s">
        <v>14</v>
      </c>
      <c r="U37" s="699">
        <f t="shared" si="13"/>
        <v>100</v>
      </c>
      <c r="V37" s="698" t="s">
        <v>14</v>
      </c>
      <c r="W37" s="699">
        <f t="shared" si="14"/>
        <v>100</v>
      </c>
      <c r="X37" s="700"/>
      <c r="Y37" s="3707"/>
      <c r="Z37" s="52" t="str">
        <f t="shared" si="15"/>
        <v>市政基础设施</v>
      </c>
      <c r="AA37" s="701">
        <f t="shared" si="3"/>
        <v>1</v>
      </c>
      <c r="AB37" s="701">
        <f t="shared" si="4"/>
        <v>1</v>
      </c>
      <c r="AC37" s="701">
        <f t="shared" si="5"/>
        <v>1</v>
      </c>
    </row>
    <row r="38" spans="1:29" ht="15">
      <c r="A38" s="423"/>
      <c r="B38" s="375" t="s">
        <v>1788</v>
      </c>
      <c r="C38" s="1903" t="s">
        <v>3552</v>
      </c>
      <c r="D38" s="386">
        <v>100</v>
      </c>
      <c r="E38" s="1903" t="s">
        <v>3552</v>
      </c>
      <c r="F38" s="412">
        <f>SUMIF(114:114,E38,115:115)-SUMIF(114:114,C38,115:115)+100</f>
        <v>100</v>
      </c>
      <c r="G38" s="1903" t="s">
        <v>3552</v>
      </c>
      <c r="H38" s="386">
        <f>SUMIF(114:114,G38,115:115)-SUMIF(114:114,C38,115:115)+100</f>
        <v>100</v>
      </c>
      <c r="I38" s="1903" t="s">
        <v>3552</v>
      </c>
      <c r="J38" s="386">
        <f>SUMIF(114:114,I38,115:115)-SUMIF(114:114,C38,115:115)+100</f>
        <v>100</v>
      </c>
      <c r="K38" s="561">
        <v>3</v>
      </c>
      <c r="L38" s="2717"/>
      <c r="M38" s="2711"/>
      <c r="N38" s="2711"/>
      <c r="O38" s="2711"/>
      <c r="P38" s="3705" t="s">
        <v>1696</v>
      </c>
      <c r="Q38" s="1349" t="str">
        <f t="shared" si="11"/>
        <v>业态</v>
      </c>
      <c r="R38" s="702" t="s">
        <v>14</v>
      </c>
      <c r="S38" s="703">
        <f t="shared" si="12"/>
        <v>100</v>
      </c>
      <c r="T38" s="702" t="s">
        <v>14</v>
      </c>
      <c r="U38" s="703">
        <f t="shared" si="13"/>
        <v>100</v>
      </c>
      <c r="V38" s="702" t="s">
        <v>14</v>
      </c>
      <c r="W38" s="703">
        <f t="shared" si="14"/>
        <v>100</v>
      </c>
      <c r="X38" s="1352"/>
      <c r="Y38" s="3707" t="s">
        <v>1696</v>
      </c>
      <c r="Z38" s="1353" t="str">
        <f t="shared" si="15"/>
        <v>业态</v>
      </c>
      <c r="AA38" s="1350">
        <f t="shared" si="3"/>
        <v>1</v>
      </c>
      <c r="AB38" s="1350">
        <f t="shared" si="4"/>
        <v>1</v>
      </c>
      <c r="AC38" s="1350">
        <f t="shared" si="5"/>
        <v>1</v>
      </c>
    </row>
    <row r="39" spans="1:29" ht="15">
      <c r="A39" s="423"/>
      <c r="B39" s="375" t="s">
        <v>1789</v>
      </c>
      <c r="C39" s="1903" t="s">
        <v>3569</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05"/>
      <c r="Q39" s="1349" t="str">
        <f t="shared" si="11"/>
        <v>层高</v>
      </c>
      <c r="R39" s="702" t="s">
        <v>14</v>
      </c>
      <c r="S39" s="703">
        <f t="shared" si="12"/>
        <v>95</v>
      </c>
      <c r="T39" s="702" t="s">
        <v>14</v>
      </c>
      <c r="U39" s="703">
        <f t="shared" si="13"/>
        <v>95</v>
      </c>
      <c r="V39" s="702" t="s">
        <v>14</v>
      </c>
      <c r="W39" s="703">
        <f t="shared" si="14"/>
        <v>95</v>
      </c>
      <c r="X39" s="1352"/>
      <c r="Y39" s="3707"/>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05"/>
      <c r="Q40" s="1349" t="str">
        <f t="shared" si="11"/>
        <v>单套建筑面积</v>
      </c>
      <c r="R40" s="702" t="s">
        <v>14</v>
      </c>
      <c r="S40" s="703">
        <f t="shared" si="12"/>
        <v>100</v>
      </c>
      <c r="T40" s="702" t="s">
        <v>14</v>
      </c>
      <c r="U40" s="703">
        <f t="shared" si="13"/>
        <v>100</v>
      </c>
      <c r="V40" s="702" t="s">
        <v>14</v>
      </c>
      <c r="W40" s="703">
        <f t="shared" si="14"/>
        <v>100</v>
      </c>
      <c r="X40" s="1352"/>
      <c r="Y40" s="3707"/>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5"/>
      <c r="Q41" s="704" t="str">
        <f t="shared" si="11"/>
        <v>进深比</v>
      </c>
      <c r="R41" s="705" t="s">
        <v>14</v>
      </c>
      <c r="S41" s="706">
        <f t="shared" si="12"/>
        <v>100</v>
      </c>
      <c r="T41" s="705" t="s">
        <v>14</v>
      </c>
      <c r="U41" s="706">
        <f t="shared" si="13"/>
        <v>100</v>
      </c>
      <c r="V41" s="705" t="s">
        <v>14</v>
      </c>
      <c r="W41" s="706">
        <f t="shared" si="14"/>
        <v>100</v>
      </c>
      <c r="X41" s="707"/>
      <c r="Y41" s="3707"/>
      <c r="Z41" s="708" t="str">
        <f t="shared" si="15"/>
        <v>进深比</v>
      </c>
      <c r="AA41" s="1350">
        <f t="shared" si="3"/>
        <v>1</v>
      </c>
      <c r="AB41" s="1350">
        <f t="shared" si="4"/>
        <v>1</v>
      </c>
      <c r="AC41" s="1350">
        <f t="shared" si="5"/>
        <v>1</v>
      </c>
    </row>
    <row r="42" spans="1:29" ht="15">
      <c r="A42" s="423"/>
      <c r="B42" s="375" t="s">
        <v>1792</v>
      </c>
      <c r="C42" s="1903" t="s">
        <v>3564</v>
      </c>
      <c r="D42" s="386">
        <v>100</v>
      </c>
      <c r="E42" s="1903" t="s">
        <v>3564</v>
      </c>
      <c r="F42" s="412">
        <f>SUMIF(122:122,E42,123:123)-SUMIF(122:122,C42,123:123)+100</f>
        <v>100</v>
      </c>
      <c r="G42" s="1903" t="s">
        <v>3564</v>
      </c>
      <c r="H42" s="386">
        <f>SUMIF(122:122,G42,123:123)-SUMIF(122:122,C42,123:123)+100</f>
        <v>100</v>
      </c>
      <c r="I42" s="1903" t="s">
        <v>3564</v>
      </c>
      <c r="J42" s="386">
        <f>SUMIF(122:122,I42,123:123)-SUMIF(122:122,C42,123:123)+100</f>
        <v>100</v>
      </c>
      <c r="K42" s="561">
        <v>2</v>
      </c>
      <c r="L42" s="2717"/>
      <c r="M42" s="2711"/>
      <c r="N42" s="2711"/>
      <c r="O42" s="2711"/>
      <c r="P42" s="3705"/>
      <c r="Q42" s="1349" t="str">
        <f t="shared" si="11"/>
        <v>内部装修</v>
      </c>
      <c r="R42" s="702" t="s">
        <v>14</v>
      </c>
      <c r="S42" s="703">
        <f t="shared" si="12"/>
        <v>100</v>
      </c>
      <c r="T42" s="702" t="s">
        <v>14</v>
      </c>
      <c r="U42" s="703">
        <f t="shared" si="13"/>
        <v>100</v>
      </c>
      <c r="V42" s="702" t="s">
        <v>14</v>
      </c>
      <c r="W42" s="703">
        <f t="shared" si="14"/>
        <v>100</v>
      </c>
      <c r="X42" s="1352"/>
      <c r="Y42" s="3707"/>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05"/>
      <c r="Q43" s="1349" t="str">
        <f t="shared" si="11"/>
        <v>内部装修维护情况</v>
      </c>
      <c r="R43" s="702" t="s">
        <v>14</v>
      </c>
      <c r="S43" s="703">
        <f t="shared" si="12"/>
        <v>100</v>
      </c>
      <c r="T43" s="702" t="s">
        <v>14</v>
      </c>
      <c r="U43" s="703">
        <f t="shared" si="13"/>
        <v>100</v>
      </c>
      <c r="V43" s="702" t="s">
        <v>14</v>
      </c>
      <c r="W43" s="703">
        <f t="shared" si="14"/>
        <v>100</v>
      </c>
      <c r="X43" s="1352"/>
      <c r="Y43" s="370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5"/>
      <c r="Q44" s="1340">
        <f t="shared" si="11"/>
        <v>111</v>
      </c>
      <c r="R44" s="698" t="s">
        <v>14</v>
      </c>
      <c r="S44" s="699">
        <f t="shared" si="12"/>
        <v>100</v>
      </c>
      <c r="T44" s="698" t="s">
        <v>14</v>
      </c>
      <c r="U44" s="699">
        <f t="shared" si="13"/>
        <v>100</v>
      </c>
      <c r="V44" s="698" t="s">
        <v>14</v>
      </c>
      <c r="W44" s="699">
        <f t="shared" si="14"/>
        <v>100</v>
      </c>
      <c r="X44" s="700"/>
      <c r="Y44" s="3707"/>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5"/>
      <c r="Q45" s="1349">
        <f t="shared" si="11"/>
        <v>111</v>
      </c>
      <c r="R45" s="702" t="s">
        <v>14</v>
      </c>
      <c r="S45" s="703">
        <f t="shared" si="12"/>
        <v>100</v>
      </c>
      <c r="T45" s="702" t="s">
        <v>14</v>
      </c>
      <c r="U45" s="703">
        <f t="shared" si="13"/>
        <v>100</v>
      </c>
      <c r="V45" s="702" t="s">
        <v>14</v>
      </c>
      <c r="W45" s="703">
        <f t="shared" si="14"/>
        <v>100</v>
      </c>
      <c r="X45" s="1352"/>
      <c r="Y45" s="370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6"/>
      <c r="Q46" s="1349">
        <f t="shared" si="11"/>
        <v>111</v>
      </c>
      <c r="R46" s="702" t="s">
        <v>14</v>
      </c>
      <c r="S46" s="703">
        <f t="shared" si="12"/>
        <v>100</v>
      </c>
      <c r="T46" s="702" t="s">
        <v>14</v>
      </c>
      <c r="U46" s="703">
        <f t="shared" si="13"/>
        <v>100</v>
      </c>
      <c r="V46" s="702" t="s">
        <v>14</v>
      </c>
      <c r="W46" s="703">
        <f t="shared" si="14"/>
        <v>100</v>
      </c>
      <c r="X46" s="1352"/>
      <c r="Y46" s="3708"/>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695" t="str">
        <f>A47</f>
        <v>成交单价（元/平方米）</v>
      </c>
      <c r="Q47" s="3695"/>
      <c r="R47" s="3729">
        <f>E47</f>
        <v>83665</v>
      </c>
      <c r="S47" s="3729"/>
      <c r="T47" s="3729">
        <f>G47</f>
        <v>77763</v>
      </c>
      <c r="U47" s="3729"/>
      <c r="V47" s="3729">
        <f>I47</f>
        <v>80000</v>
      </c>
      <c r="W47" s="3729"/>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695" t="str">
        <f>A48</f>
        <v>比较价值（元/平方米）</v>
      </c>
      <c r="Q48" s="3695"/>
      <c r="R48" s="3696">
        <f>IF(F1="售价",ROUND(PRODUCT(R47,AA7:AA46),0),ROUND(PRODUCT(R47,AA7:AA46),1))</f>
        <v>97580</v>
      </c>
      <c r="S48" s="3696"/>
      <c r="T48" s="3696">
        <f>IF(F1="售价",ROUND(PRODUCT(T47,AB7:AB46),0),ROUND(PRODUCT(T47,AB7:AB46),1))</f>
        <v>88935</v>
      </c>
      <c r="U48" s="3696"/>
      <c r="V48" s="3696">
        <f>IF(F1="售价",ROUND(PRODUCT(V47,AC7:AC46),0),ROUND(PRODUCT(V47,AC7:AC46),1))</f>
        <v>93334</v>
      </c>
      <c r="W48" s="3696"/>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57" t="str">
        <f>A49</f>
        <v>估价对象XX用房的比较价值（楼面单价，元/平方米）</v>
      </c>
      <c r="Q49" s="3758"/>
      <c r="R49" s="3759">
        <f>IF(F1="售价",ROUND(IF(D48="简单平均",AVERAGE(R48:V48),R48*F48+T48*H48+V48*J48),0),ROUND(IF(D48="简单平均",AVERAGE(R48:V48),R48*F48+T48*H48+V48*J48),1))</f>
        <v>93283</v>
      </c>
      <c r="S49" s="3759"/>
      <c r="T49" s="3759"/>
      <c r="U49" s="3759"/>
      <c r="V49" s="3759"/>
      <c r="W49" s="3759"/>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3549</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3516</v>
      </c>
      <c r="D65" s="532" t="s">
        <v>3517</v>
      </c>
      <c r="E65" s="532" t="s">
        <v>3518</v>
      </c>
      <c r="F65" s="532" t="s">
        <v>3519</v>
      </c>
      <c r="G65" s="532" t="s">
        <v>3520</v>
      </c>
      <c r="H65" s="532" t="s">
        <v>3521</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3522</v>
      </c>
      <c r="D86" s="3489" t="s">
        <v>3523</v>
      </c>
      <c r="E86" s="3489" t="s">
        <v>3524</v>
      </c>
      <c r="F86" s="3489" t="s">
        <v>3525</v>
      </c>
      <c r="G86" s="3489" t="s">
        <v>3526</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3527</v>
      </c>
      <c r="D88" s="503" t="s">
        <v>3445</v>
      </c>
      <c r="E88" s="503" t="s">
        <v>3512</v>
      </c>
      <c r="F88" s="1924" t="s">
        <v>3528</v>
      </c>
      <c r="G88" s="503" t="s">
        <v>3529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3530</v>
      </c>
      <c r="D90" s="3489" t="s">
        <v>3531</v>
      </c>
      <c r="E90" s="3489" t="s">
        <v>3532</v>
      </c>
      <c r="F90" s="3489" t="s">
        <v>3533</v>
      </c>
      <c r="G90" s="3489" t="s">
        <v>3534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3536</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3537</v>
      </c>
      <c r="D107" s="3493" t="s">
        <v>3538</v>
      </c>
      <c r="E107" s="3493" t="s">
        <v>3539</v>
      </c>
      <c r="F107" s="3494" t="s">
        <v>3540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3543</v>
      </c>
      <c r="D112" s="3487" t="s">
        <v>3544</v>
      </c>
      <c r="E112" s="3487" t="s">
        <v>3545</v>
      </c>
      <c r="F112" s="3487" t="s">
        <v>3546</v>
      </c>
      <c r="G112" s="3487" t="s">
        <v>3547</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3541</v>
      </c>
      <c r="D114" s="3489" t="s">
        <v>3542</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3570</v>
      </c>
      <c r="D116" s="3489" t="s">
        <v>3548</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3537</v>
      </c>
      <c r="D122" s="3493" t="s">
        <v>3538</v>
      </c>
      <c r="E122" s="3493" t="s">
        <v>3539</v>
      </c>
      <c r="F122" s="3494" t="s">
        <v>3540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73" t="s">
        <v>2316</v>
      </c>
      <c r="K2" s="3774"/>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5" t="s">
        <v>2326</v>
      </c>
      <c r="K3" s="3776"/>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5" t="s">
        <v>2328</v>
      </c>
      <c r="K4" s="3776"/>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81" t="s">
        <v>2332</v>
      </c>
      <c r="B6" s="3782"/>
      <c r="C6" s="3783"/>
      <c r="D6" s="2865"/>
      <c r="E6" s="2866"/>
      <c r="F6" s="2867"/>
      <c r="G6" s="2868"/>
      <c r="H6" s="2843"/>
      <c r="I6" s="2844"/>
      <c r="J6" s="3767">
        <v>1</v>
      </c>
      <c r="K6" s="3768"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7"/>
      <c r="K7" s="3769"/>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4" t="s">
        <v>2346</v>
      </c>
      <c r="C8" s="3785"/>
      <c r="D8" s="2884" t="s">
        <v>2347</v>
      </c>
      <c r="E8" s="2885" t="s">
        <v>2348</v>
      </c>
      <c r="F8" s="2886" t="s">
        <v>2349</v>
      </c>
      <c r="G8" s="2887"/>
      <c r="H8" s="2843"/>
      <c r="I8" s="2844"/>
      <c r="J8" s="3767"/>
      <c r="K8" s="3769"/>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4" t="s">
        <v>2352</v>
      </c>
      <c r="C9" s="3785"/>
      <c r="D9" s="2884">
        <f>ROUND(D6*E9,0)</f>
        <v>0</v>
      </c>
      <c r="E9" s="2888"/>
      <c r="F9" s="2889" t="s">
        <v>2353</v>
      </c>
      <c r="G9" s="2868"/>
      <c r="H9" s="2843"/>
      <c r="I9" s="2844"/>
      <c r="J9" s="3767"/>
      <c r="K9" s="3769"/>
      <c r="L9" s="2878" t="s">
        <v>2354</v>
      </c>
      <c r="M9" s="2879"/>
      <c r="N9" s="2855"/>
      <c r="O9" s="2880"/>
      <c r="P9" s="2880"/>
      <c r="Q9" s="2881">
        <v>365</v>
      </c>
      <c r="R9" s="2882">
        <f t="shared" si="0"/>
        <v>0</v>
      </c>
      <c r="S9" s="2836"/>
      <c r="T9" s="2836"/>
      <c r="U9" s="2836"/>
      <c r="V9" s="2844"/>
    </row>
    <row r="10" spans="1:22" s="2848" customFormat="1" ht="13.15" customHeight="1">
      <c r="A10" s="2883">
        <v>2</v>
      </c>
      <c r="B10" s="3784" t="s">
        <v>2355</v>
      </c>
      <c r="C10" s="3785"/>
      <c r="D10" s="2884">
        <f>ROUND(D6*E10,0)</f>
        <v>0</v>
      </c>
      <c r="E10" s="2888"/>
      <c r="F10" s="2889" t="s">
        <v>2356</v>
      </c>
      <c r="G10" s="2868"/>
      <c r="H10" s="2843"/>
      <c r="I10" s="2844"/>
      <c r="J10" s="3767"/>
      <c r="K10" s="3769"/>
      <c r="L10" s="2878" t="s">
        <v>2357</v>
      </c>
      <c r="M10" s="2879"/>
      <c r="N10" s="2855"/>
      <c r="O10" s="2880"/>
      <c r="P10" s="2880"/>
      <c r="Q10" s="2881">
        <v>365</v>
      </c>
      <c r="R10" s="2882">
        <f t="shared" si="0"/>
        <v>0</v>
      </c>
      <c r="S10" s="2836"/>
      <c r="T10" s="2836"/>
      <c r="U10" s="2836"/>
      <c r="V10" s="2844"/>
    </row>
    <row r="11" spans="1:22" s="2848" customFormat="1" ht="13.15" customHeight="1">
      <c r="A11" s="2883">
        <v>3</v>
      </c>
      <c r="B11" s="3784" t="s">
        <v>2358</v>
      </c>
      <c r="C11" s="3785"/>
      <c r="D11" s="2884">
        <f>D12+D14+D15+D16</f>
        <v>0</v>
      </c>
      <c r="E11" s="2890" t="e">
        <f>D11/D6</f>
        <v>#DIV/0!</v>
      </c>
      <c r="F11" s="2886"/>
      <c r="G11" s="2887"/>
      <c r="H11" s="2843"/>
      <c r="I11" s="2844"/>
      <c r="J11" s="3767"/>
      <c r="K11" s="3769"/>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77" t="s">
        <v>2361</v>
      </c>
      <c r="C12" s="3778"/>
      <c r="D12" s="2892">
        <f>ROUND(D13*1.2%*(1-30%),0)</f>
        <v>0</v>
      </c>
      <c r="E12" s="2893">
        <v>1.2E-2</v>
      </c>
      <c r="F12" s="2886" t="s">
        <v>2362</v>
      </c>
      <c r="G12" s="2887"/>
      <c r="H12" s="2843"/>
      <c r="I12" s="2844"/>
      <c r="J12" s="3767"/>
      <c r="K12" s="3769"/>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7"/>
      <c r="K13" s="3769"/>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77" t="s">
        <v>2367</v>
      </c>
      <c r="C14" s="3778"/>
      <c r="D14" s="2892">
        <f>ROUND(E14*B5/10000,0)</f>
        <v>0</v>
      </c>
      <c r="E14" s="2881"/>
      <c r="F14" s="2886" t="s">
        <v>2368</v>
      </c>
      <c r="G14" s="2887"/>
      <c r="H14" s="2843"/>
      <c r="I14" s="2844"/>
      <c r="J14" s="3767"/>
      <c r="K14" s="3770"/>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77" t="s">
        <v>2371</v>
      </c>
      <c r="C15" s="3778"/>
      <c r="D15" s="2892">
        <f>ROUND(D6*E15,0)</f>
        <v>0</v>
      </c>
      <c r="E15" s="2893">
        <v>5.5E-2</v>
      </c>
      <c r="F15" s="2886" t="s">
        <v>2372</v>
      </c>
      <c r="G15" s="2868"/>
      <c r="H15" s="2843"/>
      <c r="I15" s="2844"/>
      <c r="J15" s="3767">
        <v>2</v>
      </c>
      <c r="K15" s="3768"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77" t="s">
        <v>2380</v>
      </c>
      <c r="C16" s="3778"/>
      <c r="D16" s="2903">
        <f>D6*E16</f>
        <v>0</v>
      </c>
      <c r="E16" s="2904"/>
      <c r="F16" s="2889" t="s">
        <v>2381</v>
      </c>
      <c r="G16" s="2868"/>
      <c r="H16" s="2843"/>
      <c r="I16" s="2844"/>
      <c r="J16" s="3767"/>
      <c r="K16" s="3769"/>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79" t="s">
        <v>2383</v>
      </c>
      <c r="C17" s="3780"/>
      <c r="D17" s="2906">
        <f>ROUND(D6*E17,0)</f>
        <v>0</v>
      </c>
      <c r="E17" s="2907"/>
      <c r="F17" s="2908" t="s">
        <v>2384</v>
      </c>
      <c r="G17" s="2868"/>
      <c r="H17" s="2843"/>
      <c r="I17" s="2844"/>
      <c r="J17" s="3767"/>
      <c r="K17" s="3769"/>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7"/>
      <c r="K18" s="3769"/>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7"/>
      <c r="K19" s="3770"/>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7">
        <v>3</v>
      </c>
      <c r="K20" s="3768"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7"/>
      <c r="K21" s="3769"/>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7"/>
      <c r="K22" s="3769"/>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7"/>
      <c r="K23" s="3769"/>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7"/>
      <c r="K24" s="3770"/>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73" t="s">
        <v>2316</v>
      </c>
      <c r="K32" s="3774"/>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5" t="s">
        <v>2326</v>
      </c>
      <c r="K33" s="3776"/>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5" t="s">
        <v>2328</v>
      </c>
      <c r="K34" s="377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7">
        <v>1</v>
      </c>
      <c r="K36" s="3768"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7"/>
      <c r="K37" s="3769"/>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7"/>
      <c r="K38" s="3769"/>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7"/>
      <c r="K39" s="3769"/>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7"/>
      <c r="K40" s="3770"/>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2604.3406</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42217</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6" t="s">
        <v>1654</v>
      </c>
      <c r="C5" s="3787"/>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1960.6797999999999</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643.66079999999999</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2" t="s">
        <v>1667</v>
      </c>
      <c r="D4" s="3713"/>
      <c r="E4" s="3714" t="s">
        <v>1668</v>
      </c>
      <c r="F4" s="3715"/>
      <c r="G4" s="3712" t="s">
        <v>1669</v>
      </c>
      <c r="H4" s="3713"/>
      <c r="I4" s="3712" t="s">
        <v>1670</v>
      </c>
      <c r="J4" s="3713"/>
      <c r="K4" s="1886" t="s">
        <v>1671</v>
      </c>
      <c r="L4" s="2710"/>
      <c r="M4" s="2711"/>
      <c r="N4" s="2711"/>
      <c r="O4" s="2711"/>
      <c r="P4" s="3761" t="s">
        <v>1672</v>
      </c>
      <c r="Q4" s="3762"/>
      <c r="R4" s="3765" t="s">
        <v>1668</v>
      </c>
      <c r="S4" s="3766"/>
      <c r="T4" s="3765" t="s">
        <v>1669</v>
      </c>
      <c r="U4" s="3766"/>
      <c r="V4" s="3729" t="s">
        <v>1670</v>
      </c>
      <c r="W4" s="3729"/>
      <c r="X4" s="1352"/>
      <c r="Y4" s="3765" t="s">
        <v>1672</v>
      </c>
      <c r="Z4" s="3766"/>
      <c r="AA4" s="3760" t="s">
        <v>1668</v>
      </c>
      <c r="AB4" s="3760" t="s">
        <v>1669</v>
      </c>
      <c r="AC4" s="3760" t="s">
        <v>1670</v>
      </c>
    </row>
    <row r="5" spans="1:29" ht="15">
      <c r="A5" s="358"/>
      <c r="B5" s="359"/>
      <c r="C5" s="3738" t="s">
        <v>1673</v>
      </c>
      <c r="D5" s="3733"/>
      <c r="E5" s="3788" t="s">
        <v>1674</v>
      </c>
      <c r="F5" s="3745"/>
      <c r="G5" s="3738" t="s">
        <v>1675</v>
      </c>
      <c r="H5" s="3733"/>
      <c r="I5" s="3738" t="s">
        <v>1676</v>
      </c>
      <c r="J5" s="3733"/>
      <c r="K5" s="1887"/>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1887"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45142</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36" t="s">
        <v>1680</v>
      </c>
      <c r="Q7" s="3737"/>
      <c r="R7" s="698" t="s">
        <v>20</v>
      </c>
      <c r="S7" s="699">
        <f t="shared" ref="S7:S15" si="0">F7</f>
        <v>0</v>
      </c>
      <c r="T7" s="698" t="s">
        <v>20</v>
      </c>
      <c r="U7" s="699">
        <f t="shared" ref="U7:U15" si="1">H7</f>
        <v>0</v>
      </c>
      <c r="V7" s="698" t="s">
        <v>20</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36" t="s">
        <v>1683</v>
      </c>
      <c r="Q8" s="3735"/>
      <c r="R8" s="698" t="s">
        <v>20</v>
      </c>
      <c r="S8" s="699">
        <f t="shared" si="0"/>
        <v>100</v>
      </c>
      <c r="T8" s="698" t="s">
        <v>20</v>
      </c>
      <c r="U8" s="699">
        <f t="shared" si="1"/>
        <v>100</v>
      </c>
      <c r="V8" s="698" t="s">
        <v>20</v>
      </c>
      <c r="W8" s="699">
        <f t="shared" si="2"/>
        <v>100</v>
      </c>
      <c r="X8" s="700"/>
      <c r="Y8" s="3736" t="s">
        <v>1683</v>
      </c>
      <c r="Z8" s="3735"/>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4"/>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4"/>
      <c r="Q11" s="1340" t="str">
        <f t="shared" si="6"/>
        <v>容积率</v>
      </c>
      <c r="R11" s="698" t="s">
        <v>18</v>
      </c>
      <c r="S11" s="699" t="e">
        <f t="shared" si="0"/>
        <v>#N/A</v>
      </c>
      <c r="T11" s="698" t="s">
        <v>18</v>
      </c>
      <c r="U11" s="699" t="e">
        <f t="shared" si="1"/>
        <v>#N/A</v>
      </c>
      <c r="V11" s="698" t="s">
        <v>18</v>
      </c>
      <c r="W11" s="699" t="e">
        <f t="shared" si="2"/>
        <v>#N/A</v>
      </c>
      <c r="X11" s="700"/>
      <c r="Y11" s="3598"/>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4"/>
      <c r="Q12" s="1340">
        <f t="shared" si="6"/>
        <v>111</v>
      </c>
      <c r="R12" s="698" t="s">
        <v>18</v>
      </c>
      <c r="S12" s="699">
        <f t="shared" si="0"/>
        <v>100</v>
      </c>
      <c r="T12" s="698" t="s">
        <v>18</v>
      </c>
      <c r="U12" s="699">
        <f t="shared" si="1"/>
        <v>100</v>
      </c>
      <c r="V12" s="698" t="s">
        <v>18</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4"/>
      <c r="Q13" s="1340">
        <f t="shared" si="6"/>
        <v>111</v>
      </c>
      <c r="R13" s="698" t="s">
        <v>18</v>
      </c>
      <c r="S13" s="699">
        <f t="shared" si="0"/>
        <v>100</v>
      </c>
      <c r="T13" s="698" t="s">
        <v>18</v>
      </c>
      <c r="U13" s="699">
        <f t="shared" si="1"/>
        <v>100</v>
      </c>
      <c r="V13" s="698" t="s">
        <v>18</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4"/>
      <c r="Q14" s="1340">
        <f t="shared" si="6"/>
        <v>111</v>
      </c>
      <c r="R14" s="698" t="s">
        <v>18</v>
      </c>
      <c r="S14" s="699">
        <f t="shared" si="0"/>
        <v>100</v>
      </c>
      <c r="T14" s="698" t="s">
        <v>18</v>
      </c>
      <c r="U14" s="699">
        <f t="shared" si="1"/>
        <v>100</v>
      </c>
      <c r="V14" s="698" t="s">
        <v>18</v>
      </c>
      <c r="W14" s="699">
        <f t="shared" si="2"/>
        <v>100</v>
      </c>
      <c r="X14" s="700"/>
      <c r="Y14" s="3598"/>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0" t="s">
        <v>1691</v>
      </c>
      <c r="Q15" s="1349" t="str">
        <f t="shared" si="6"/>
        <v>居住社区成熟度</v>
      </c>
      <c r="R15" s="702" t="s">
        <v>18</v>
      </c>
      <c r="S15" s="703">
        <f t="shared" si="0"/>
        <v>100</v>
      </c>
      <c r="T15" s="702" t="s">
        <v>18</v>
      </c>
      <c r="U15" s="703">
        <f t="shared" si="1"/>
        <v>100</v>
      </c>
      <c r="V15" s="702" t="s">
        <v>18</v>
      </c>
      <c r="W15" s="703">
        <f t="shared" si="2"/>
        <v>100</v>
      </c>
      <c r="X15" s="1352"/>
      <c r="Y15" s="3702"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01"/>
      <c r="Q16" s="1349"/>
      <c r="R16" s="702"/>
      <c r="S16" s="703"/>
      <c r="T16" s="702"/>
      <c r="U16" s="703"/>
      <c r="V16" s="702"/>
      <c r="W16" s="703"/>
      <c r="X16" s="1352"/>
      <c r="Y16" s="3703"/>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1"/>
      <c r="Q17" s="1349" t="str">
        <f>B17</f>
        <v>交通便捷度</v>
      </c>
      <c r="R17" s="702" t="s">
        <v>18</v>
      </c>
      <c r="S17" s="703">
        <f>F17</f>
        <v>100</v>
      </c>
      <c r="T17" s="702" t="s">
        <v>18</v>
      </c>
      <c r="U17" s="703">
        <f>H17</f>
        <v>100</v>
      </c>
      <c r="V17" s="702" t="s">
        <v>18</v>
      </c>
      <c r="W17" s="703">
        <f>J17</f>
        <v>100</v>
      </c>
      <c r="X17" s="1352"/>
      <c r="Y17" s="370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01"/>
      <c r="Q18" s="1349"/>
      <c r="R18" s="702"/>
      <c r="S18" s="703"/>
      <c r="T18" s="702"/>
      <c r="U18" s="703"/>
      <c r="V18" s="702"/>
      <c r="W18" s="703"/>
      <c r="X18" s="1352"/>
      <c r="Y18" s="3703"/>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1"/>
      <c r="Q19" s="1349" t="str">
        <f>B19</f>
        <v>公共配套设施</v>
      </c>
      <c r="R19" s="702" t="s">
        <v>18</v>
      </c>
      <c r="S19" s="703">
        <f>F19</f>
        <v>100</v>
      </c>
      <c r="T19" s="702" t="s">
        <v>18</v>
      </c>
      <c r="U19" s="703">
        <f>H19</f>
        <v>100</v>
      </c>
      <c r="V19" s="702" t="s">
        <v>18</v>
      </c>
      <c r="W19" s="703">
        <f>J19</f>
        <v>100</v>
      </c>
      <c r="X19" s="1352"/>
      <c r="Y19" s="370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01"/>
      <c r="Q20" s="1349"/>
      <c r="R20" s="702"/>
      <c r="S20" s="703"/>
      <c r="T20" s="702"/>
      <c r="U20" s="703"/>
      <c r="V20" s="702"/>
      <c r="W20" s="703"/>
      <c r="X20" s="1352"/>
      <c r="Y20" s="3703"/>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01"/>
      <c r="Q22" s="1349"/>
      <c r="R22" s="702"/>
      <c r="S22" s="703"/>
      <c r="T22" s="702"/>
      <c r="U22" s="703"/>
      <c r="V22" s="702"/>
      <c r="W22" s="703"/>
      <c r="X22" s="1352"/>
      <c r="Y22" s="3703"/>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1"/>
      <c r="Q23" s="1349" t="str">
        <f>B23</f>
        <v>自然及人文环境</v>
      </c>
      <c r="R23" s="702" t="s">
        <v>18</v>
      </c>
      <c r="S23" s="703">
        <f>F23</f>
        <v>100</v>
      </c>
      <c r="T23" s="702" t="s">
        <v>18</v>
      </c>
      <c r="U23" s="703">
        <f>H23</f>
        <v>100</v>
      </c>
      <c r="V23" s="702" t="s">
        <v>18</v>
      </c>
      <c r="W23" s="703">
        <f>J23</f>
        <v>100</v>
      </c>
      <c r="X23" s="1352"/>
      <c r="Y23" s="370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01"/>
      <c r="Q24" s="1349"/>
      <c r="R24" s="702"/>
      <c r="S24" s="703"/>
      <c r="T24" s="702"/>
      <c r="U24" s="703"/>
      <c r="V24" s="702"/>
      <c r="W24" s="703"/>
      <c r="X24" s="1352"/>
      <c r="Y24" s="3703"/>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01"/>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3"/>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01"/>
      <c r="Q26" s="1349" t="str">
        <f t="shared" si="11"/>
        <v>朝向</v>
      </c>
      <c r="R26" s="702" t="s">
        <v>18</v>
      </c>
      <c r="S26" s="703">
        <f t="shared" si="12"/>
        <v>100</v>
      </c>
      <c r="T26" s="702" t="s">
        <v>18</v>
      </c>
      <c r="U26" s="703">
        <f t="shared" si="13"/>
        <v>100</v>
      </c>
      <c r="V26" s="702" t="s">
        <v>18</v>
      </c>
      <c r="W26" s="703">
        <f t="shared" si="14"/>
        <v>100</v>
      </c>
      <c r="X26" s="1352"/>
      <c r="Y26" s="370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01"/>
      <c r="Q27" s="1340">
        <f t="shared" si="11"/>
        <v>111</v>
      </c>
      <c r="R27" s="698" t="s">
        <v>18</v>
      </c>
      <c r="S27" s="699">
        <f t="shared" si="12"/>
        <v>100</v>
      </c>
      <c r="T27" s="698" t="s">
        <v>18</v>
      </c>
      <c r="U27" s="699">
        <f t="shared" si="13"/>
        <v>100</v>
      </c>
      <c r="V27" s="698" t="s">
        <v>18</v>
      </c>
      <c r="W27" s="699">
        <f t="shared" si="14"/>
        <v>100</v>
      </c>
      <c r="X27" s="700"/>
      <c r="Y27" s="370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01"/>
      <c r="Q28" s="1349">
        <f t="shared" si="11"/>
        <v>111</v>
      </c>
      <c r="R28" s="702" t="s">
        <v>18</v>
      </c>
      <c r="S28" s="703">
        <f t="shared" si="12"/>
        <v>100</v>
      </c>
      <c r="T28" s="702" t="s">
        <v>18</v>
      </c>
      <c r="U28" s="703">
        <f t="shared" si="13"/>
        <v>100</v>
      </c>
      <c r="V28" s="702" t="s">
        <v>18</v>
      </c>
      <c r="W28" s="703">
        <f t="shared" si="14"/>
        <v>100</v>
      </c>
      <c r="X28" s="1352"/>
      <c r="Y28" s="370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01"/>
      <c r="Q29" s="1349">
        <f t="shared" si="11"/>
        <v>111</v>
      </c>
      <c r="R29" s="702" t="s">
        <v>18</v>
      </c>
      <c r="S29" s="703">
        <f t="shared" si="12"/>
        <v>100</v>
      </c>
      <c r="T29" s="702" t="s">
        <v>18</v>
      </c>
      <c r="U29" s="703">
        <f t="shared" si="13"/>
        <v>100</v>
      </c>
      <c r="V29" s="702" t="s">
        <v>18</v>
      </c>
      <c r="W29" s="703">
        <f t="shared" si="14"/>
        <v>100</v>
      </c>
      <c r="X29" s="1352"/>
      <c r="Y29" s="370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01"/>
      <c r="Q30" s="1349">
        <f t="shared" si="11"/>
        <v>111</v>
      </c>
      <c r="R30" s="702" t="s">
        <v>18</v>
      </c>
      <c r="S30" s="703">
        <f t="shared" si="12"/>
        <v>100</v>
      </c>
      <c r="T30" s="702" t="s">
        <v>18</v>
      </c>
      <c r="U30" s="703">
        <f t="shared" si="13"/>
        <v>100</v>
      </c>
      <c r="V30" s="702" t="s">
        <v>18</v>
      </c>
      <c r="W30" s="703">
        <f t="shared" si="14"/>
        <v>100</v>
      </c>
      <c r="X30" s="1352"/>
      <c r="Y30" s="370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01"/>
      <c r="Q31" s="1349">
        <f t="shared" si="11"/>
        <v>111</v>
      </c>
      <c r="R31" s="702" t="s">
        <v>18</v>
      </c>
      <c r="S31" s="703">
        <f t="shared" si="12"/>
        <v>100</v>
      </c>
      <c r="T31" s="702" t="s">
        <v>18</v>
      </c>
      <c r="U31" s="703">
        <f t="shared" si="13"/>
        <v>100</v>
      </c>
      <c r="V31" s="702" t="s">
        <v>18</v>
      </c>
      <c r="W31" s="703">
        <f t="shared" si="14"/>
        <v>100</v>
      </c>
      <c r="X31" s="1352"/>
      <c r="Y31" s="3703"/>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04" t="s">
        <v>1696</v>
      </c>
      <c r="Q32" s="1349" t="str">
        <f t="shared" si="11"/>
        <v>建筑类型</v>
      </c>
      <c r="R32" s="702" t="s">
        <v>18</v>
      </c>
      <c r="S32" s="703">
        <f t="shared" si="12"/>
        <v>100</v>
      </c>
      <c r="T32" s="702" t="s">
        <v>18</v>
      </c>
      <c r="U32" s="703">
        <f t="shared" si="13"/>
        <v>100</v>
      </c>
      <c r="V32" s="702" t="s">
        <v>18</v>
      </c>
      <c r="W32" s="703">
        <f t="shared" si="14"/>
        <v>100</v>
      </c>
      <c r="X32" s="1352"/>
      <c r="Y32" s="3707"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05"/>
      <c r="Q33" s="704" t="str">
        <f t="shared" si="11"/>
        <v>项目建筑规模</v>
      </c>
      <c r="R33" s="705" t="s">
        <v>18</v>
      </c>
      <c r="S33" s="706" t="e">
        <f t="shared" si="12"/>
        <v>#N/A</v>
      </c>
      <c r="T33" s="705" t="s">
        <v>18</v>
      </c>
      <c r="U33" s="706" t="e">
        <f t="shared" si="13"/>
        <v>#N/A</v>
      </c>
      <c r="V33" s="705" t="s">
        <v>18</v>
      </c>
      <c r="W33" s="706" t="e">
        <f t="shared" si="14"/>
        <v>#N/A</v>
      </c>
      <c r="X33" s="707"/>
      <c r="Y33" s="3707"/>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05"/>
      <c r="Q34" s="1349" t="str">
        <f t="shared" si="11"/>
        <v>建筑结构</v>
      </c>
      <c r="R34" s="702" t="s">
        <v>18</v>
      </c>
      <c r="S34" s="703">
        <f t="shared" si="12"/>
        <v>100</v>
      </c>
      <c r="T34" s="702" t="s">
        <v>18</v>
      </c>
      <c r="U34" s="703">
        <f t="shared" si="13"/>
        <v>100</v>
      </c>
      <c r="V34" s="702" t="s">
        <v>18</v>
      </c>
      <c r="W34" s="703">
        <f t="shared" si="14"/>
        <v>100</v>
      </c>
      <c r="X34" s="1352"/>
      <c r="Y34" s="3707"/>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05"/>
      <c r="Q35" s="1349" t="str">
        <f t="shared" si="11"/>
        <v>建筑品质</v>
      </c>
      <c r="R35" s="702" t="s">
        <v>18</v>
      </c>
      <c r="S35" s="703">
        <f t="shared" si="12"/>
        <v>100</v>
      </c>
      <c r="T35" s="702" t="s">
        <v>18</v>
      </c>
      <c r="U35" s="703">
        <f t="shared" si="13"/>
        <v>100</v>
      </c>
      <c r="V35" s="702" t="s">
        <v>18</v>
      </c>
      <c r="W35" s="703">
        <f t="shared" si="14"/>
        <v>100</v>
      </c>
      <c r="X35" s="1352"/>
      <c r="Y35" s="3707"/>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05"/>
      <c r="Q36" s="1349" t="str">
        <f t="shared" si="11"/>
        <v>公共部分装修</v>
      </c>
      <c r="R36" s="702" t="s">
        <v>18</v>
      </c>
      <c r="S36" s="703">
        <f t="shared" si="12"/>
        <v>100</v>
      </c>
      <c r="T36" s="702" t="s">
        <v>18</v>
      </c>
      <c r="U36" s="703">
        <f t="shared" si="13"/>
        <v>100</v>
      </c>
      <c r="V36" s="702" t="s">
        <v>18</v>
      </c>
      <c r="W36" s="703">
        <f t="shared" si="14"/>
        <v>100</v>
      </c>
      <c r="X36" s="1352"/>
      <c r="Y36" s="3707"/>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5"/>
      <c r="Q37" s="1340" t="str">
        <f t="shared" si="11"/>
        <v>成新度</v>
      </c>
      <c r="R37" s="698" t="s">
        <v>18</v>
      </c>
      <c r="S37" s="699" t="e">
        <f t="shared" si="12"/>
        <v>#N/A</v>
      </c>
      <c r="T37" s="698" t="s">
        <v>18</v>
      </c>
      <c r="U37" s="699" t="e">
        <f t="shared" si="13"/>
        <v>#N/A</v>
      </c>
      <c r="V37" s="698" t="s">
        <v>18</v>
      </c>
      <c r="W37" s="699" t="e">
        <f t="shared" si="14"/>
        <v>#N/A</v>
      </c>
      <c r="X37" s="700"/>
      <c r="Y37" s="3707"/>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05" t="s">
        <v>1696</v>
      </c>
      <c r="Q38" s="1349" t="str">
        <f t="shared" si="11"/>
        <v>物业管理</v>
      </c>
      <c r="R38" s="702" t="s">
        <v>18</v>
      </c>
      <c r="S38" s="703">
        <f t="shared" si="12"/>
        <v>100</v>
      </c>
      <c r="T38" s="702" t="s">
        <v>18</v>
      </c>
      <c r="U38" s="703">
        <f t="shared" si="13"/>
        <v>100</v>
      </c>
      <c r="V38" s="702" t="s">
        <v>18</v>
      </c>
      <c r="W38" s="703">
        <f t="shared" si="14"/>
        <v>100</v>
      </c>
      <c r="X38" s="1352"/>
      <c r="Y38" s="3707"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05"/>
      <c r="Q39" s="1349" t="str">
        <f t="shared" si="11"/>
        <v>市政基础设施</v>
      </c>
      <c r="R39" s="702" t="s">
        <v>18</v>
      </c>
      <c r="S39" s="703">
        <f t="shared" si="12"/>
        <v>100</v>
      </c>
      <c r="T39" s="702" t="s">
        <v>18</v>
      </c>
      <c r="U39" s="703">
        <f t="shared" si="13"/>
        <v>100</v>
      </c>
      <c r="V39" s="702" t="s">
        <v>18</v>
      </c>
      <c r="W39" s="703">
        <f t="shared" si="14"/>
        <v>100</v>
      </c>
      <c r="X39" s="1352"/>
      <c r="Y39" s="3707"/>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05"/>
      <c r="Q40" s="1349" t="str">
        <f t="shared" si="11"/>
        <v>房型</v>
      </c>
      <c r="R40" s="702" t="s">
        <v>18</v>
      </c>
      <c r="S40" s="703">
        <f t="shared" si="12"/>
        <v>100</v>
      </c>
      <c r="T40" s="702" t="s">
        <v>18</v>
      </c>
      <c r="U40" s="703">
        <f t="shared" si="13"/>
        <v>100</v>
      </c>
      <c r="V40" s="702" t="s">
        <v>18</v>
      </c>
      <c r="W40" s="703">
        <f t="shared" si="14"/>
        <v>100</v>
      </c>
      <c r="X40" s="1352"/>
      <c r="Y40" s="3707"/>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05"/>
      <c r="Q41" s="704" t="str">
        <f t="shared" si="11"/>
        <v>单套/主力户型建筑面积</v>
      </c>
      <c r="R41" s="705" t="s">
        <v>18</v>
      </c>
      <c r="S41" s="706">
        <f t="shared" si="12"/>
        <v>100</v>
      </c>
      <c r="T41" s="705" t="s">
        <v>18</v>
      </c>
      <c r="U41" s="706">
        <f t="shared" si="13"/>
        <v>100</v>
      </c>
      <c r="V41" s="705" t="s">
        <v>18</v>
      </c>
      <c r="W41" s="706">
        <f t="shared" si="14"/>
        <v>100</v>
      </c>
      <c r="X41" s="707"/>
      <c r="Y41" s="3707"/>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05"/>
      <c r="Q42" s="1349" t="str">
        <f t="shared" si="11"/>
        <v>内部装修</v>
      </c>
      <c r="R42" s="702" t="s">
        <v>18</v>
      </c>
      <c r="S42" s="703">
        <f t="shared" si="12"/>
        <v>100</v>
      </c>
      <c r="T42" s="702" t="s">
        <v>18</v>
      </c>
      <c r="U42" s="703">
        <f t="shared" si="13"/>
        <v>100</v>
      </c>
      <c r="V42" s="702" t="s">
        <v>18</v>
      </c>
      <c r="W42" s="703">
        <f t="shared" si="14"/>
        <v>100</v>
      </c>
      <c r="X42" s="1352"/>
      <c r="Y42" s="3707"/>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05"/>
      <c r="Q43" s="1349" t="str">
        <f t="shared" si="11"/>
        <v>内部装修维护情况</v>
      </c>
      <c r="R43" s="702" t="s">
        <v>18</v>
      </c>
      <c r="S43" s="703">
        <f t="shared" si="12"/>
        <v>100</v>
      </c>
      <c r="T43" s="702" t="s">
        <v>18</v>
      </c>
      <c r="U43" s="703">
        <f t="shared" si="13"/>
        <v>100</v>
      </c>
      <c r="V43" s="702" t="s">
        <v>18</v>
      </c>
      <c r="W43" s="703">
        <f t="shared" si="14"/>
        <v>100</v>
      </c>
      <c r="X43" s="1352"/>
      <c r="Y43" s="370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05"/>
      <c r="Q44" s="1340">
        <f t="shared" si="11"/>
        <v>111</v>
      </c>
      <c r="R44" s="698" t="s">
        <v>18</v>
      </c>
      <c r="S44" s="699">
        <f t="shared" si="12"/>
        <v>100</v>
      </c>
      <c r="T44" s="698" t="s">
        <v>18</v>
      </c>
      <c r="U44" s="699">
        <f t="shared" si="13"/>
        <v>100</v>
      </c>
      <c r="V44" s="698" t="s">
        <v>18</v>
      </c>
      <c r="W44" s="699">
        <f t="shared" si="14"/>
        <v>100</v>
      </c>
      <c r="X44" s="700"/>
      <c r="Y44" s="3707"/>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05"/>
      <c r="Q45" s="1349">
        <f t="shared" si="11"/>
        <v>111</v>
      </c>
      <c r="R45" s="702" t="s">
        <v>18</v>
      </c>
      <c r="S45" s="703">
        <f t="shared" si="12"/>
        <v>100</v>
      </c>
      <c r="T45" s="702" t="s">
        <v>18</v>
      </c>
      <c r="U45" s="703">
        <f t="shared" si="13"/>
        <v>100</v>
      </c>
      <c r="V45" s="702" t="s">
        <v>18</v>
      </c>
      <c r="W45" s="703">
        <f t="shared" si="14"/>
        <v>100</v>
      </c>
      <c r="X45" s="1352"/>
      <c r="Y45" s="370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06"/>
      <c r="Q46" s="1349">
        <f t="shared" si="11"/>
        <v>111</v>
      </c>
      <c r="R46" s="702" t="s">
        <v>17</v>
      </c>
      <c r="S46" s="703">
        <f t="shared" si="12"/>
        <v>100</v>
      </c>
      <c r="T46" s="702" t="s">
        <v>17</v>
      </c>
      <c r="U46" s="703">
        <f t="shared" si="13"/>
        <v>100</v>
      </c>
      <c r="V46" s="702" t="s">
        <v>17</v>
      </c>
      <c r="W46" s="703">
        <f t="shared" si="14"/>
        <v>100</v>
      </c>
      <c r="X46" s="1352"/>
      <c r="Y46" s="3708"/>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695" t="str">
        <f>A47</f>
        <v>成交单价（元/平方米）</v>
      </c>
      <c r="Q47" s="3695"/>
      <c r="R47" s="3696">
        <f>E47</f>
        <v>0</v>
      </c>
      <c r="S47" s="3696"/>
      <c r="T47" s="3696">
        <f>G47</f>
        <v>0</v>
      </c>
      <c r="U47" s="3696"/>
      <c r="V47" s="3696">
        <f>I47</f>
        <v>0</v>
      </c>
      <c r="W47" s="3696"/>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910"/>
      <c r="M4" s="911"/>
      <c r="N4" s="911"/>
      <c r="O4" s="9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910"/>
      <c r="M5" s="911"/>
      <c r="N5" s="911"/>
      <c r="O5" s="9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910"/>
      <c r="M6" s="911"/>
      <c r="N6" s="911"/>
      <c r="O6" s="9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2"/>
      <c r="M7" s="913"/>
      <c r="N7" s="913"/>
      <c r="O7" s="9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6" t="s">
        <v>1683</v>
      </c>
      <c r="Q8" s="3735"/>
      <c r="R8" s="698" t="s">
        <v>14</v>
      </c>
      <c r="S8" s="699">
        <f t="shared" si="0"/>
        <v>100</v>
      </c>
      <c r="T8" s="698" t="s">
        <v>14</v>
      </c>
      <c r="U8" s="699">
        <f t="shared" si="1"/>
        <v>100</v>
      </c>
      <c r="V8" s="698" t="s">
        <v>14</v>
      </c>
      <c r="W8" s="699">
        <f t="shared" si="2"/>
        <v>100</v>
      </c>
      <c r="X8" s="700"/>
      <c r="Y8" s="3736" t="s">
        <v>1683</v>
      </c>
      <c r="Z8" s="3735"/>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95"/>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03"/>
      <c r="Q16" s="1349"/>
      <c r="R16" s="702"/>
      <c r="S16" s="703"/>
      <c r="T16" s="702"/>
      <c r="U16" s="703"/>
      <c r="V16" s="702"/>
      <c r="W16" s="703"/>
      <c r="X16" s="1352"/>
      <c r="Y16" s="3703"/>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03"/>
      <c r="Q18" s="1349"/>
      <c r="R18" s="702"/>
      <c r="S18" s="703"/>
      <c r="T18" s="702"/>
      <c r="U18" s="703"/>
      <c r="V18" s="702"/>
      <c r="W18" s="703"/>
      <c r="X18" s="1352"/>
      <c r="Y18" s="3703"/>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3"/>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03"/>
      <c r="Q20" s="1349"/>
      <c r="R20" s="702"/>
      <c r="S20" s="703"/>
      <c r="T20" s="702"/>
      <c r="U20" s="703"/>
      <c r="V20" s="702"/>
      <c r="W20" s="703"/>
      <c r="X20" s="1352"/>
      <c r="Y20" s="3703"/>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3"/>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03"/>
      <c r="Q22" s="1349"/>
      <c r="R22" s="702"/>
      <c r="S22" s="703"/>
      <c r="T22" s="702"/>
      <c r="U22" s="703"/>
      <c r="V22" s="702"/>
      <c r="W22" s="703"/>
      <c r="X22" s="1352"/>
      <c r="Y22" s="3703"/>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3"/>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03"/>
      <c r="Q24" s="1349"/>
      <c r="R24" s="702"/>
      <c r="S24" s="703"/>
      <c r="T24" s="702"/>
      <c r="U24" s="703"/>
      <c r="V24" s="702"/>
      <c r="W24" s="703"/>
      <c r="X24" s="1352"/>
      <c r="Y24" s="370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3"/>
      <c r="Q25" s="1349">
        <f>B25</f>
        <v>111</v>
      </c>
      <c r="R25" s="702" t="s">
        <v>14</v>
      </c>
      <c r="S25" s="703">
        <f>F25</f>
        <v>100</v>
      </c>
      <c r="T25" s="702" t="s">
        <v>14</v>
      </c>
      <c r="U25" s="703">
        <f>H25</f>
        <v>100</v>
      </c>
      <c r="V25" s="702" t="s">
        <v>14</v>
      </c>
      <c r="W25" s="703">
        <f>J25</f>
        <v>100</v>
      </c>
      <c r="X25" s="1352"/>
      <c r="Y25" s="370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3"/>
      <c r="Q26" s="1349">
        <f t="shared" ref="Q26:Q40" si="11">B26</f>
        <v>111</v>
      </c>
      <c r="R26" s="702" t="s">
        <v>14</v>
      </c>
      <c r="S26" s="703">
        <f>F26</f>
        <v>100</v>
      </c>
      <c r="T26" s="702" t="s">
        <v>14</v>
      </c>
      <c r="U26" s="703">
        <f>H26</f>
        <v>100</v>
      </c>
      <c r="V26" s="702" t="s">
        <v>14</v>
      </c>
      <c r="W26" s="703">
        <f>J26</f>
        <v>100</v>
      </c>
      <c r="X26" s="1352"/>
      <c r="Y26" s="370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3"/>
      <c r="Q27" s="1340">
        <f t="shared" si="11"/>
        <v>111</v>
      </c>
      <c r="R27" s="698" t="s">
        <v>14</v>
      </c>
      <c r="S27" s="699">
        <f>F27</f>
        <v>100</v>
      </c>
      <c r="T27" s="698" t="s">
        <v>14</v>
      </c>
      <c r="U27" s="699">
        <f>H27</f>
        <v>100</v>
      </c>
      <c r="V27" s="698" t="s">
        <v>14</v>
      </c>
      <c r="W27" s="699">
        <f>J27</f>
        <v>100</v>
      </c>
      <c r="X27" s="700"/>
      <c r="Y27" s="370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3"/>
      <c r="Q28" s="1349">
        <f t="shared" si="11"/>
        <v>111</v>
      </c>
      <c r="R28" s="702" t="s">
        <v>14</v>
      </c>
      <c r="S28" s="703">
        <f t="shared" ref="S28:S40" si="12">F28</f>
        <v>100</v>
      </c>
      <c r="T28" s="702" t="s">
        <v>14</v>
      </c>
      <c r="U28" s="703">
        <f t="shared" ref="U28:U40" si="13">H28</f>
        <v>100</v>
      </c>
      <c r="V28" s="702" t="s">
        <v>14</v>
      </c>
      <c r="W28" s="703">
        <f t="shared" ref="W28:W40" si="14">J28</f>
        <v>100</v>
      </c>
      <c r="X28" s="1352"/>
      <c r="Y28" s="3703"/>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89" t="s">
        <v>1696</v>
      </c>
      <c r="Q29" s="1349" t="str">
        <f t="shared" si="11"/>
        <v>建筑类型</v>
      </c>
      <c r="R29" s="702" t="s">
        <v>14</v>
      </c>
      <c r="S29" s="703">
        <f t="shared" si="12"/>
        <v>100</v>
      </c>
      <c r="T29" s="702" t="s">
        <v>14</v>
      </c>
      <c r="U29" s="703">
        <f t="shared" si="13"/>
        <v>100</v>
      </c>
      <c r="V29" s="702" t="s">
        <v>14</v>
      </c>
      <c r="W29" s="703">
        <f t="shared" si="14"/>
        <v>100</v>
      </c>
      <c r="X29" s="1352"/>
      <c r="Y29" s="3707"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07"/>
      <c r="Q30" s="704" t="str">
        <f t="shared" si="11"/>
        <v>项目建筑规模</v>
      </c>
      <c r="R30" s="705" t="s">
        <v>14</v>
      </c>
      <c r="S30" s="706" t="e">
        <f t="shared" si="12"/>
        <v>#N/A</v>
      </c>
      <c r="T30" s="705" t="s">
        <v>14</v>
      </c>
      <c r="U30" s="706" t="e">
        <f t="shared" si="13"/>
        <v>#N/A</v>
      </c>
      <c r="V30" s="705" t="s">
        <v>14</v>
      </c>
      <c r="W30" s="706" t="e">
        <f t="shared" si="14"/>
        <v>#N/A</v>
      </c>
      <c r="X30" s="707"/>
      <c r="Y30" s="3707"/>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07"/>
      <c r="Q31" s="1349" t="str">
        <f t="shared" si="11"/>
        <v>建筑结构</v>
      </c>
      <c r="R31" s="702" t="s">
        <v>14</v>
      </c>
      <c r="S31" s="703">
        <f t="shared" si="12"/>
        <v>100</v>
      </c>
      <c r="T31" s="702" t="s">
        <v>14</v>
      </c>
      <c r="U31" s="703">
        <f t="shared" si="13"/>
        <v>100</v>
      </c>
      <c r="V31" s="702" t="s">
        <v>14</v>
      </c>
      <c r="W31" s="703">
        <f t="shared" si="14"/>
        <v>100</v>
      </c>
      <c r="X31" s="1352"/>
      <c r="Y31" s="3707"/>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07"/>
      <c r="Q32" s="1349" t="str">
        <f t="shared" si="11"/>
        <v>公共部分装修</v>
      </c>
      <c r="R32" s="702" t="s">
        <v>14</v>
      </c>
      <c r="S32" s="703">
        <f t="shared" si="12"/>
        <v>100</v>
      </c>
      <c r="T32" s="702" t="s">
        <v>14</v>
      </c>
      <c r="U32" s="703">
        <f t="shared" si="13"/>
        <v>100</v>
      </c>
      <c r="V32" s="702" t="s">
        <v>14</v>
      </c>
      <c r="W32" s="703">
        <f t="shared" si="14"/>
        <v>100</v>
      </c>
      <c r="X32" s="1352"/>
      <c r="Y32" s="3707"/>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07"/>
      <c r="Q33" s="1349" t="str">
        <f t="shared" si="11"/>
        <v>成新度</v>
      </c>
      <c r="R33" s="702" t="s">
        <v>14</v>
      </c>
      <c r="S33" s="703" t="e">
        <f t="shared" si="12"/>
        <v>#N/A</v>
      </c>
      <c r="T33" s="702" t="s">
        <v>14</v>
      </c>
      <c r="U33" s="703" t="e">
        <f t="shared" si="13"/>
        <v>#N/A</v>
      </c>
      <c r="V33" s="702" t="s">
        <v>14</v>
      </c>
      <c r="W33" s="703" t="e">
        <f t="shared" si="14"/>
        <v>#N/A</v>
      </c>
      <c r="X33" s="1352"/>
      <c r="Y33" s="3707"/>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07"/>
      <c r="Q34" s="1340" t="str">
        <f t="shared" si="11"/>
        <v>物业管理</v>
      </c>
      <c r="R34" s="698" t="s">
        <v>14</v>
      </c>
      <c r="S34" s="699">
        <f t="shared" si="12"/>
        <v>100</v>
      </c>
      <c r="T34" s="698" t="s">
        <v>14</v>
      </c>
      <c r="U34" s="699">
        <f t="shared" si="13"/>
        <v>100</v>
      </c>
      <c r="V34" s="698" t="s">
        <v>14</v>
      </c>
      <c r="W34" s="699">
        <f t="shared" si="14"/>
        <v>100</v>
      </c>
      <c r="X34" s="700"/>
      <c r="Y34" s="3707"/>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07" t="s">
        <v>1696</v>
      </c>
      <c r="Q35" s="1349" t="str">
        <f t="shared" si="11"/>
        <v>市政基础设施</v>
      </c>
      <c r="R35" s="702" t="s">
        <v>14</v>
      </c>
      <c r="S35" s="703">
        <f t="shared" si="12"/>
        <v>100</v>
      </c>
      <c r="T35" s="702" t="s">
        <v>14</v>
      </c>
      <c r="U35" s="703">
        <f t="shared" si="13"/>
        <v>100</v>
      </c>
      <c r="V35" s="702" t="s">
        <v>14</v>
      </c>
      <c r="W35" s="703">
        <f t="shared" si="14"/>
        <v>100</v>
      </c>
      <c r="X35" s="1352"/>
      <c r="Y35" s="3707"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07"/>
      <c r="Q36" s="1349" t="str">
        <f t="shared" si="11"/>
        <v>内部装修</v>
      </c>
      <c r="R36" s="702" t="s">
        <v>14</v>
      </c>
      <c r="S36" s="703">
        <f t="shared" si="12"/>
        <v>100</v>
      </c>
      <c r="T36" s="702" t="s">
        <v>14</v>
      </c>
      <c r="U36" s="703">
        <f t="shared" si="13"/>
        <v>100</v>
      </c>
      <c r="V36" s="702" t="s">
        <v>14</v>
      </c>
      <c r="W36" s="703">
        <f t="shared" si="14"/>
        <v>100</v>
      </c>
      <c r="X36" s="1352"/>
      <c r="Y36" s="3707"/>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07"/>
      <c r="Q37" s="1349" t="str">
        <f t="shared" si="11"/>
        <v>内部装修状况</v>
      </c>
      <c r="R37" s="702" t="s">
        <v>14</v>
      </c>
      <c r="S37" s="703">
        <f t="shared" si="12"/>
        <v>100</v>
      </c>
      <c r="T37" s="702" t="s">
        <v>14</v>
      </c>
      <c r="U37" s="703">
        <f t="shared" si="13"/>
        <v>100</v>
      </c>
      <c r="V37" s="702" t="s">
        <v>14</v>
      </c>
      <c r="W37" s="703">
        <f t="shared" si="14"/>
        <v>100</v>
      </c>
      <c r="X37" s="1352"/>
      <c r="Y37" s="370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07"/>
      <c r="Q38" s="704">
        <f t="shared" si="11"/>
        <v>111</v>
      </c>
      <c r="R38" s="705" t="s">
        <v>14</v>
      </c>
      <c r="S38" s="706">
        <f t="shared" si="12"/>
        <v>100</v>
      </c>
      <c r="T38" s="705" t="s">
        <v>14</v>
      </c>
      <c r="U38" s="706">
        <f t="shared" si="13"/>
        <v>100</v>
      </c>
      <c r="V38" s="705" t="s">
        <v>14</v>
      </c>
      <c r="W38" s="706">
        <f t="shared" si="14"/>
        <v>100</v>
      </c>
      <c r="X38" s="707"/>
      <c r="Y38" s="3707"/>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07"/>
      <c r="Q39" s="1349">
        <f t="shared" si="11"/>
        <v>111</v>
      </c>
      <c r="R39" s="702" t="s">
        <v>14</v>
      </c>
      <c r="S39" s="703">
        <f t="shared" si="12"/>
        <v>100</v>
      </c>
      <c r="T39" s="702" t="s">
        <v>14</v>
      </c>
      <c r="U39" s="703">
        <f t="shared" si="13"/>
        <v>100</v>
      </c>
      <c r="V39" s="702" t="s">
        <v>14</v>
      </c>
      <c r="W39" s="703">
        <f t="shared" si="14"/>
        <v>100</v>
      </c>
      <c r="X39" s="1352"/>
      <c r="Y39" s="370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08"/>
      <c r="Q40" s="1349">
        <f t="shared" si="11"/>
        <v>111</v>
      </c>
      <c r="R40" s="702" t="s">
        <v>14</v>
      </c>
      <c r="S40" s="703">
        <f t="shared" si="12"/>
        <v>100</v>
      </c>
      <c r="T40" s="702" t="s">
        <v>14</v>
      </c>
      <c r="U40" s="703">
        <f t="shared" si="13"/>
        <v>100</v>
      </c>
      <c r="V40" s="702" t="s">
        <v>14</v>
      </c>
      <c r="W40" s="703">
        <f t="shared" si="14"/>
        <v>100</v>
      </c>
      <c r="X40" s="1352"/>
      <c r="Y40" s="3708"/>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95" t="str">
        <f>A41</f>
        <v>成交单价（元/平方米）</v>
      </c>
      <c r="Q41" s="3695"/>
      <c r="R41" s="3696">
        <f>E41</f>
        <v>0</v>
      </c>
      <c r="S41" s="3696"/>
      <c r="T41" s="3696">
        <f>G41</f>
        <v>0</v>
      </c>
      <c r="U41" s="3696"/>
      <c r="V41" s="3696">
        <f>I41</f>
        <v>0</v>
      </c>
      <c r="W41" s="3696"/>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6" t="s">
        <v>1680</v>
      </c>
      <c r="Q7" s="3737"/>
      <c r="R7" s="698" t="s">
        <v>14</v>
      </c>
      <c r="S7" s="699">
        <f t="shared" ref="S7:S14" si="0">F7</f>
        <v>0</v>
      </c>
      <c r="T7" s="698" t="s">
        <v>14</v>
      </c>
      <c r="U7" s="699">
        <f t="shared" ref="U7:U14" si="1">H7</f>
        <v>0</v>
      </c>
      <c r="V7" s="698" t="s">
        <v>14</v>
      </c>
      <c r="W7" s="699">
        <f t="shared" ref="W7:W14"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6" t="s">
        <v>1683</v>
      </c>
      <c r="Q8" s="3735"/>
      <c r="R8" s="698" t="s">
        <v>14</v>
      </c>
      <c r="S8" s="699">
        <f t="shared" si="0"/>
        <v>100</v>
      </c>
      <c r="T8" s="698" t="s">
        <v>14</v>
      </c>
      <c r="U8" s="699">
        <f t="shared" si="1"/>
        <v>100</v>
      </c>
      <c r="V8" s="698" t="s">
        <v>14</v>
      </c>
      <c r="W8" s="699">
        <f t="shared" si="2"/>
        <v>100</v>
      </c>
      <c r="X8" s="700"/>
      <c r="Y8" s="3736" t="s">
        <v>1683</v>
      </c>
      <c r="Z8" s="3735"/>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5" t="s">
        <v>1686</v>
      </c>
      <c r="Q9" s="1340" t="str">
        <f t="shared" ref="Q9:Q14" si="6">B9</f>
        <v>用途</v>
      </c>
      <c r="R9" s="698" t="s">
        <v>14</v>
      </c>
      <c r="S9" s="699">
        <f t="shared" si="0"/>
        <v>100</v>
      </c>
      <c r="T9" s="698" t="s">
        <v>14</v>
      </c>
      <c r="U9" s="699">
        <f t="shared" si="1"/>
        <v>100</v>
      </c>
      <c r="V9" s="698" t="s">
        <v>14</v>
      </c>
      <c r="W9" s="699">
        <f t="shared" si="2"/>
        <v>100</v>
      </c>
      <c r="X9" s="700"/>
      <c r="Y9" s="3598"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5"/>
      <c r="Q11" s="1340">
        <f t="shared" si="6"/>
        <v>111</v>
      </c>
      <c r="R11" s="698" t="s">
        <v>14</v>
      </c>
      <c r="S11" s="699">
        <f t="shared" si="0"/>
        <v>100</v>
      </c>
      <c r="T11" s="698" t="s">
        <v>14</v>
      </c>
      <c r="U11" s="699">
        <f t="shared" si="1"/>
        <v>100</v>
      </c>
      <c r="V11" s="698" t="s">
        <v>14</v>
      </c>
      <c r="W11" s="699">
        <f t="shared" si="2"/>
        <v>100</v>
      </c>
      <c r="X11" s="700"/>
      <c r="Y11" s="3598"/>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03"/>
      <c r="Q15" s="1349"/>
      <c r="R15" s="702"/>
      <c r="S15" s="703"/>
      <c r="T15" s="702"/>
      <c r="U15" s="703"/>
      <c r="V15" s="702"/>
      <c r="W15" s="703"/>
      <c r="X15" s="1352"/>
      <c r="Y15" s="3703"/>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03"/>
      <c r="Q17" s="1349"/>
      <c r="R17" s="702"/>
      <c r="S17" s="703"/>
      <c r="T17" s="702"/>
      <c r="U17" s="703"/>
      <c r="V17" s="702"/>
      <c r="W17" s="703"/>
      <c r="X17" s="1352"/>
      <c r="Y17" s="3703"/>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03"/>
      <c r="Q19" s="1349"/>
      <c r="R19" s="702"/>
      <c r="S19" s="703"/>
      <c r="T19" s="702"/>
      <c r="U19" s="703"/>
      <c r="V19" s="702"/>
      <c r="W19" s="703"/>
      <c r="X19" s="1352"/>
      <c r="Y19" s="3703"/>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03"/>
      <c r="Q21" s="1349"/>
      <c r="R21" s="702"/>
      <c r="S21" s="703"/>
      <c r="T21" s="702"/>
      <c r="U21" s="703"/>
      <c r="V21" s="702"/>
      <c r="W21" s="703"/>
      <c r="X21" s="1352"/>
      <c r="Y21" s="3703"/>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3"/>
      <c r="Q24" s="1349">
        <f t="shared" ref="Q24:Q36"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9"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7"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07"/>
      <c r="Q27" s="704" t="str">
        <f t="shared" si="11"/>
        <v>项目停车位配比</v>
      </c>
      <c r="R27" s="705" t="s">
        <v>14</v>
      </c>
      <c r="S27" s="706">
        <f t="shared" si="12"/>
        <v>100</v>
      </c>
      <c r="T27" s="705" t="s">
        <v>14</v>
      </c>
      <c r="U27" s="706">
        <f t="shared" si="13"/>
        <v>100</v>
      </c>
      <c r="V27" s="705" t="s">
        <v>14</v>
      </c>
      <c r="W27" s="706">
        <f t="shared" si="14"/>
        <v>100</v>
      </c>
      <c r="X27" s="707"/>
      <c r="Y27" s="3707"/>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7"/>
      <c r="Q28" s="1349" t="str">
        <f t="shared" si="11"/>
        <v>公共部分装修</v>
      </c>
      <c r="R28" s="702" t="s">
        <v>14</v>
      </c>
      <c r="S28" s="703">
        <f t="shared" si="12"/>
        <v>100</v>
      </c>
      <c r="T28" s="702" t="s">
        <v>14</v>
      </c>
      <c r="U28" s="703">
        <f t="shared" si="13"/>
        <v>100</v>
      </c>
      <c r="V28" s="702" t="s">
        <v>14</v>
      </c>
      <c r="W28" s="703">
        <f t="shared" si="14"/>
        <v>100</v>
      </c>
      <c r="X28" s="1352"/>
      <c r="Y28" s="3707"/>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7"/>
      <c r="Q29" s="1349" t="str">
        <f t="shared" si="11"/>
        <v>成新率</v>
      </c>
      <c r="R29" s="702" t="s">
        <v>14</v>
      </c>
      <c r="S29" s="703" t="e">
        <f t="shared" si="12"/>
        <v>#N/A</v>
      </c>
      <c r="T29" s="702" t="s">
        <v>14</v>
      </c>
      <c r="U29" s="703" t="e">
        <f t="shared" si="13"/>
        <v>#N/A</v>
      </c>
      <c r="V29" s="702" t="s">
        <v>14</v>
      </c>
      <c r="W29" s="703" t="e">
        <f t="shared" si="14"/>
        <v>#N/A</v>
      </c>
      <c r="X29" s="1352"/>
      <c r="Y29" s="3707"/>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07"/>
      <c r="Q30" s="1349" t="str">
        <f t="shared" si="11"/>
        <v>物业等级</v>
      </c>
      <c r="R30" s="702" t="s">
        <v>14</v>
      </c>
      <c r="S30" s="703">
        <f t="shared" si="12"/>
        <v>100</v>
      </c>
      <c r="T30" s="702" t="s">
        <v>14</v>
      </c>
      <c r="U30" s="703">
        <f t="shared" si="13"/>
        <v>100</v>
      </c>
      <c r="V30" s="702" t="s">
        <v>14</v>
      </c>
      <c r="W30" s="703">
        <f t="shared" si="14"/>
        <v>100</v>
      </c>
      <c r="X30" s="1352"/>
      <c r="Y30" s="3707"/>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7"/>
      <c r="Q31" s="1340" t="str">
        <f t="shared" si="11"/>
        <v>停车位面积</v>
      </c>
      <c r="R31" s="698" t="s">
        <v>14</v>
      </c>
      <c r="S31" s="699" t="e">
        <f t="shared" si="12"/>
        <v>#N/A</v>
      </c>
      <c r="T31" s="698" t="s">
        <v>14</v>
      </c>
      <c r="U31" s="699" t="e">
        <f t="shared" si="13"/>
        <v>#N/A</v>
      </c>
      <c r="V31" s="698" t="s">
        <v>14</v>
      </c>
      <c r="W31" s="699" t="e">
        <f t="shared" si="14"/>
        <v>#N/A</v>
      </c>
      <c r="X31" s="700"/>
      <c r="Y31" s="3707"/>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7" t="s">
        <v>1696</v>
      </c>
      <c r="Q32" s="1349" t="str">
        <f t="shared" si="11"/>
        <v>车位类型</v>
      </c>
      <c r="R32" s="702" t="s">
        <v>14</v>
      </c>
      <c r="S32" s="703">
        <f t="shared" si="12"/>
        <v>100</v>
      </c>
      <c r="T32" s="702" t="s">
        <v>14</v>
      </c>
      <c r="U32" s="703">
        <f t="shared" si="13"/>
        <v>100</v>
      </c>
      <c r="V32" s="702" t="s">
        <v>14</v>
      </c>
      <c r="W32" s="703">
        <f t="shared" si="14"/>
        <v>100</v>
      </c>
      <c r="X32" s="1352"/>
      <c r="Y32" s="3707"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7"/>
      <c r="Q33" s="1349" t="str">
        <f t="shared" si="11"/>
        <v>是否直接入户</v>
      </c>
      <c r="R33" s="702" t="s">
        <v>14</v>
      </c>
      <c r="S33" s="703">
        <f t="shared" si="12"/>
        <v>100</v>
      </c>
      <c r="T33" s="702" t="s">
        <v>14</v>
      </c>
      <c r="U33" s="703">
        <f t="shared" si="13"/>
        <v>100</v>
      </c>
      <c r="V33" s="702" t="s">
        <v>14</v>
      </c>
      <c r="W33" s="703">
        <f t="shared" si="14"/>
        <v>100</v>
      </c>
      <c r="X33" s="1352"/>
      <c r="Y33" s="3707"/>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7"/>
      <c r="Q35" s="704">
        <f t="shared" si="11"/>
        <v>111</v>
      </c>
      <c r="R35" s="705" t="s">
        <v>14</v>
      </c>
      <c r="S35" s="706">
        <f t="shared" si="12"/>
        <v>100</v>
      </c>
      <c r="T35" s="705" t="s">
        <v>14</v>
      </c>
      <c r="U35" s="706">
        <f t="shared" si="13"/>
        <v>100</v>
      </c>
      <c r="V35" s="705" t="s">
        <v>14</v>
      </c>
      <c r="W35" s="706">
        <f t="shared" si="14"/>
        <v>100</v>
      </c>
      <c r="X35" s="707"/>
      <c r="Y35" s="3707"/>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7"/>
      <c r="Q36" s="1349">
        <f t="shared" si="11"/>
        <v>111</v>
      </c>
      <c r="R36" s="702" t="s">
        <v>14</v>
      </c>
      <c r="S36" s="703">
        <f t="shared" si="12"/>
        <v>100</v>
      </c>
      <c r="T36" s="702" t="s">
        <v>14</v>
      </c>
      <c r="U36" s="703">
        <f t="shared" si="13"/>
        <v>100</v>
      </c>
      <c r="V36" s="702" t="s">
        <v>14</v>
      </c>
      <c r="W36" s="703">
        <f t="shared" si="14"/>
        <v>100</v>
      </c>
      <c r="X36" s="1352"/>
      <c r="Y36" s="3707"/>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695" t="str">
        <f>A37</f>
        <v>成交单价</v>
      </c>
      <c r="Q37" s="3695"/>
      <c r="R37" s="3696">
        <f>E37</f>
        <v>0</v>
      </c>
      <c r="S37" s="3696"/>
      <c r="T37" s="3696">
        <f>G37</f>
        <v>0</v>
      </c>
      <c r="U37" s="3696"/>
      <c r="V37" s="3696">
        <f>I37</f>
        <v>0</v>
      </c>
      <c r="W37" s="3696"/>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57" t="str">
        <f>A39</f>
        <v>估价对象XX用房的比较价值（楼面单价，元/平方米）</v>
      </c>
      <c r="Q39" s="3758"/>
      <c r="R39" s="3790" t="e">
        <f>IF(F1="售价",ROUND(IF(D38="简单平均",AVERAGE(R38:W38),R38*F38+T38*H38+V38*J38),0),ROUND(IF(D38="简单平均",AVERAGE(R38:V38),R38*F38+T38*H38+V38*J38),1))</f>
        <v>#DIV/0!</v>
      </c>
      <c r="S39" s="3790"/>
      <c r="T39" s="3790"/>
      <c r="U39" s="3790"/>
      <c r="V39" s="3790"/>
      <c r="W39" s="3790"/>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45142</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36" t="s">
        <v>1680</v>
      </c>
      <c r="Q7" s="3737"/>
      <c r="R7" s="698" t="s">
        <v>14</v>
      </c>
      <c r="S7" s="699">
        <f t="shared" ref="S7:S14" si="0">F7</f>
        <v>0</v>
      </c>
      <c r="T7" s="698" t="s">
        <v>14</v>
      </c>
      <c r="U7" s="699">
        <f t="shared" ref="U7:U14" si="1">H7</f>
        <v>0</v>
      </c>
      <c r="V7" s="698" t="s">
        <v>14</v>
      </c>
      <c r="W7" s="699">
        <f t="shared" ref="W7:W14"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6" t="s">
        <v>1683</v>
      </c>
      <c r="Q8" s="3735"/>
      <c r="R8" s="698" t="s">
        <v>14</v>
      </c>
      <c r="S8" s="699">
        <f t="shared" si="0"/>
        <v>100</v>
      </c>
      <c r="T8" s="698" t="s">
        <v>14</v>
      </c>
      <c r="U8" s="699">
        <f t="shared" si="1"/>
        <v>100</v>
      </c>
      <c r="V8" s="698" t="s">
        <v>14</v>
      </c>
      <c r="W8" s="699">
        <f t="shared" si="2"/>
        <v>100</v>
      </c>
      <c r="X8" s="700"/>
      <c r="Y8" s="3736" t="s">
        <v>1683</v>
      </c>
      <c r="Z8" s="3735"/>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5" t="s">
        <v>1686</v>
      </c>
      <c r="Q9" s="1340" t="str">
        <f t="shared" ref="Q9:Q14" si="6">B9</f>
        <v>用途</v>
      </c>
      <c r="R9" s="698" t="s">
        <v>14</v>
      </c>
      <c r="S9" s="699">
        <f t="shared" si="0"/>
        <v>100</v>
      </c>
      <c r="T9" s="698" t="s">
        <v>14</v>
      </c>
      <c r="U9" s="699">
        <f t="shared" si="1"/>
        <v>100</v>
      </c>
      <c r="V9" s="698" t="s">
        <v>14</v>
      </c>
      <c r="W9" s="699">
        <f t="shared" si="2"/>
        <v>100</v>
      </c>
      <c r="X9" s="700"/>
      <c r="Y9" s="3598"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5"/>
      <c r="Q11" s="1340">
        <f t="shared" si="6"/>
        <v>111</v>
      </c>
      <c r="R11" s="698" t="s">
        <v>14</v>
      </c>
      <c r="S11" s="699">
        <f t="shared" si="0"/>
        <v>100</v>
      </c>
      <c r="T11" s="698" t="s">
        <v>14</v>
      </c>
      <c r="U11" s="699">
        <f t="shared" si="1"/>
        <v>100</v>
      </c>
      <c r="V11" s="698" t="s">
        <v>14</v>
      </c>
      <c r="W11" s="699">
        <f t="shared" si="2"/>
        <v>100</v>
      </c>
      <c r="X11" s="700"/>
      <c r="Y11" s="3598"/>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03"/>
      <c r="Q15" s="1349"/>
      <c r="R15" s="702"/>
      <c r="S15" s="703"/>
      <c r="T15" s="702"/>
      <c r="U15" s="703"/>
      <c r="V15" s="702"/>
      <c r="W15" s="703"/>
      <c r="X15" s="1352"/>
      <c r="Y15" s="3703"/>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03"/>
      <c r="Q17" s="1349"/>
      <c r="R17" s="702"/>
      <c r="S17" s="703"/>
      <c r="T17" s="702"/>
      <c r="U17" s="703"/>
      <c r="V17" s="702"/>
      <c r="W17" s="703"/>
      <c r="X17" s="1352"/>
      <c r="Y17" s="3703"/>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03"/>
      <c r="Q19" s="1349"/>
      <c r="R19" s="702"/>
      <c r="S19" s="703"/>
      <c r="T19" s="702"/>
      <c r="U19" s="703"/>
      <c r="V19" s="702"/>
      <c r="W19" s="703"/>
      <c r="X19" s="1352"/>
      <c r="Y19" s="3703"/>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03"/>
      <c r="Q21" s="1349"/>
      <c r="R21" s="702"/>
      <c r="S21" s="703"/>
      <c r="T21" s="702"/>
      <c r="U21" s="703"/>
      <c r="V21" s="702"/>
      <c r="W21" s="703"/>
      <c r="X21" s="1352"/>
      <c r="Y21" s="3703"/>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3"/>
      <c r="Q24" s="1349">
        <f t="shared" ref="Q24:Q34"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89"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7"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7"/>
      <c r="Q27" s="704" t="str">
        <f t="shared" si="11"/>
        <v>成新率</v>
      </c>
      <c r="R27" s="705" t="s">
        <v>14</v>
      </c>
      <c r="S27" s="706" t="e">
        <f t="shared" si="12"/>
        <v>#N/A</v>
      </c>
      <c r="T27" s="705" t="s">
        <v>14</v>
      </c>
      <c r="U27" s="706" t="e">
        <f t="shared" si="13"/>
        <v>#N/A</v>
      </c>
      <c r="V27" s="705" t="s">
        <v>14</v>
      </c>
      <c r="W27" s="706" t="e">
        <f t="shared" si="14"/>
        <v>#N/A</v>
      </c>
      <c r="X27" s="707"/>
      <c r="Y27" s="3707"/>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7"/>
      <c r="Q28" s="1349" t="str">
        <f t="shared" si="11"/>
        <v>物业等级</v>
      </c>
      <c r="R28" s="702" t="s">
        <v>14</v>
      </c>
      <c r="S28" s="703">
        <f t="shared" si="12"/>
        <v>100</v>
      </c>
      <c r="T28" s="702" t="s">
        <v>14</v>
      </c>
      <c r="U28" s="703">
        <f t="shared" si="13"/>
        <v>100</v>
      </c>
      <c r="V28" s="702" t="s">
        <v>14</v>
      </c>
      <c r="W28" s="703">
        <f t="shared" si="14"/>
        <v>100</v>
      </c>
      <c r="X28" s="1352"/>
      <c r="Y28" s="3707"/>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07"/>
      <c r="Q29" s="1349" t="str">
        <f t="shared" si="11"/>
        <v>有无电梯</v>
      </c>
      <c r="R29" s="702" t="s">
        <v>14</v>
      </c>
      <c r="S29" s="703">
        <f t="shared" si="12"/>
        <v>100</v>
      </c>
      <c r="T29" s="702" t="s">
        <v>14</v>
      </c>
      <c r="U29" s="703">
        <f t="shared" si="13"/>
        <v>100</v>
      </c>
      <c r="V29" s="702" t="s">
        <v>14</v>
      </c>
      <c r="W29" s="703">
        <f t="shared" si="14"/>
        <v>100</v>
      </c>
      <c r="X29" s="1352"/>
      <c r="Y29" s="3707"/>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7"/>
      <c r="Q30" s="1349" t="str">
        <f t="shared" si="11"/>
        <v>建筑面积</v>
      </c>
      <c r="R30" s="702" t="s">
        <v>14</v>
      </c>
      <c r="S30" s="703" t="e">
        <f t="shared" si="12"/>
        <v>#N/A</v>
      </c>
      <c r="T30" s="702" t="s">
        <v>14</v>
      </c>
      <c r="U30" s="703" t="e">
        <f t="shared" si="13"/>
        <v>#N/A</v>
      </c>
      <c r="V30" s="702" t="s">
        <v>14</v>
      </c>
      <c r="W30" s="703" t="e">
        <f t="shared" si="14"/>
        <v>#N/A</v>
      </c>
      <c r="X30" s="1352"/>
      <c r="Y30" s="3707"/>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07"/>
      <c r="Q31" s="1340" t="str">
        <f t="shared" si="11"/>
        <v>是否封闭</v>
      </c>
      <c r="R31" s="698" t="s">
        <v>14</v>
      </c>
      <c r="S31" s="699">
        <f t="shared" si="12"/>
        <v>100</v>
      </c>
      <c r="T31" s="698" t="s">
        <v>14</v>
      </c>
      <c r="U31" s="699">
        <f t="shared" si="13"/>
        <v>100</v>
      </c>
      <c r="V31" s="698" t="s">
        <v>14</v>
      </c>
      <c r="W31" s="699">
        <f t="shared" si="14"/>
        <v>100</v>
      </c>
      <c r="X31" s="700"/>
      <c r="Y31" s="3707"/>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7" t="s">
        <v>1696</v>
      </c>
      <c r="Q32" s="1349">
        <f t="shared" si="11"/>
        <v>111</v>
      </c>
      <c r="R32" s="702" t="s">
        <v>14</v>
      </c>
      <c r="S32" s="703">
        <f t="shared" si="12"/>
        <v>100</v>
      </c>
      <c r="T32" s="702" t="s">
        <v>14</v>
      </c>
      <c r="U32" s="703">
        <f t="shared" si="13"/>
        <v>100</v>
      </c>
      <c r="V32" s="702" t="s">
        <v>14</v>
      </c>
      <c r="W32" s="703">
        <f t="shared" si="14"/>
        <v>100</v>
      </c>
      <c r="X32" s="1352"/>
      <c r="Y32" s="3707"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7"/>
      <c r="Q33" s="1349">
        <f t="shared" si="11"/>
        <v>111</v>
      </c>
      <c r="R33" s="702" t="s">
        <v>14</v>
      </c>
      <c r="S33" s="703">
        <f t="shared" si="12"/>
        <v>100</v>
      </c>
      <c r="T33" s="702" t="s">
        <v>14</v>
      </c>
      <c r="U33" s="703">
        <f t="shared" si="13"/>
        <v>100</v>
      </c>
      <c r="V33" s="702" t="s">
        <v>14</v>
      </c>
      <c r="W33" s="703">
        <f t="shared" si="14"/>
        <v>100</v>
      </c>
      <c r="X33" s="1352"/>
      <c r="Y33" s="370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695" t="str">
        <f>A35</f>
        <v>成交单价（元/平方米）</v>
      </c>
      <c r="Q35" s="3695"/>
      <c r="R35" s="3696">
        <f>E35</f>
        <v>0</v>
      </c>
      <c r="S35" s="3696"/>
      <c r="T35" s="3696">
        <f>G35</f>
        <v>0</v>
      </c>
      <c r="U35" s="3696"/>
      <c r="V35" s="3696">
        <f>I35</f>
        <v>0</v>
      </c>
      <c r="W35" s="3696"/>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57" t="str">
        <f>A37</f>
        <v>估价对象XX用房的比较价值（楼面单价，元/平方米）</v>
      </c>
      <c r="Q37" s="3758"/>
      <c r="R37" s="3790" t="e">
        <f>IF(F1="售价",ROUND(IF(D36="简单平均",AVERAGE(R36:W36),R36*F36+T36*H36+V36*J36),0),ROUND(IF(D36="简单平均",AVERAGE(R36:V36),R36*F36+T36*H36+V36*J36),1))</f>
        <v>#DIV/0!</v>
      </c>
      <c r="S37" s="3790"/>
      <c r="T37" s="3790"/>
      <c r="U37" s="3790"/>
      <c r="V37" s="3790"/>
      <c r="W37" s="3790"/>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30"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30"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30" s="108" customFormat="1" ht="15.75" thickBot="1">
      <c r="A7" s="362" t="s">
        <v>1679</v>
      </c>
      <c r="B7" s="363"/>
      <c r="C7" s="364">
        <f>'数据-取费表'!B2</f>
        <v>45142</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6" t="s">
        <v>1683</v>
      </c>
      <c r="Q8" s="3735"/>
      <c r="R8" s="698" t="s">
        <v>14</v>
      </c>
      <c r="S8" s="699">
        <f t="shared" si="0"/>
        <v>0</v>
      </c>
      <c r="T8" s="698" t="s">
        <v>14</v>
      </c>
      <c r="U8" s="699">
        <f t="shared" si="1"/>
        <v>0</v>
      </c>
      <c r="V8" s="698" t="s">
        <v>14</v>
      </c>
      <c r="W8" s="699">
        <f t="shared" si="2"/>
        <v>0</v>
      </c>
      <c r="X8" s="700"/>
      <c r="Y8" s="3736" t="s">
        <v>1683</v>
      </c>
      <c r="Z8" s="3735"/>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695"/>
      <c r="Q10" s="1340" t="str">
        <f t="shared" si="6"/>
        <v>土地使用年限（年）</v>
      </c>
      <c r="R10" s="698" t="s">
        <v>14</v>
      </c>
      <c r="S10" s="699">
        <f t="shared" si="0"/>
        <v>129</v>
      </c>
      <c r="T10" s="698" t="s">
        <v>14</v>
      </c>
      <c r="U10" s="699">
        <f t="shared" si="1"/>
        <v>129</v>
      </c>
      <c r="V10" s="698" t="s">
        <v>14</v>
      </c>
      <c r="W10" s="699">
        <f t="shared" si="2"/>
        <v>129</v>
      </c>
      <c r="X10" s="700"/>
      <c r="Y10" s="3598"/>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95"/>
      <c r="Q11" s="1340" t="str">
        <f t="shared" si="6"/>
        <v>容积率</v>
      </c>
      <c r="R11" s="698" t="s">
        <v>14</v>
      </c>
      <c r="S11" s="699" t="e">
        <f t="shared" si="0"/>
        <v>#N/A</v>
      </c>
      <c r="T11" s="698" t="s">
        <v>14</v>
      </c>
      <c r="U11" s="699" t="e">
        <f t="shared" si="1"/>
        <v>#N/A</v>
      </c>
      <c r="V11" s="698" t="s">
        <v>14</v>
      </c>
      <c r="W11" s="699" t="e">
        <f t="shared" si="2"/>
        <v>#N/A</v>
      </c>
      <c r="X11" s="700"/>
      <c r="Y11" s="3598"/>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95"/>
      <c r="Q12" s="1340" t="str">
        <f t="shared" si="6"/>
        <v>配建</v>
      </c>
      <c r="R12" s="698" t="s">
        <v>14</v>
      </c>
      <c r="S12" s="699">
        <f t="shared" si="0"/>
        <v>100</v>
      </c>
      <c r="T12" s="698" t="s">
        <v>14</v>
      </c>
      <c r="U12" s="699">
        <f t="shared" si="1"/>
        <v>100</v>
      </c>
      <c r="V12" s="698" t="s">
        <v>14</v>
      </c>
      <c r="W12" s="699">
        <f t="shared" si="2"/>
        <v>100</v>
      </c>
      <c r="X12" s="700"/>
      <c r="Y12" s="3598"/>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02" t="s">
        <v>1691</v>
      </c>
      <c r="Q15" s="1349" t="str">
        <f t="shared" si="6"/>
        <v>居住社区成熟度</v>
      </c>
      <c r="R15" s="702" t="s">
        <v>14</v>
      </c>
      <c r="S15" s="703">
        <f t="shared" si="0"/>
        <v>100</v>
      </c>
      <c r="T15" s="702" t="s">
        <v>14</v>
      </c>
      <c r="U15" s="703">
        <f t="shared" si="1"/>
        <v>100</v>
      </c>
      <c r="V15" s="702" t="s">
        <v>14</v>
      </c>
      <c r="W15" s="703">
        <f t="shared" si="2"/>
        <v>100</v>
      </c>
      <c r="X15" s="1352"/>
      <c r="Y15" s="3702"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03"/>
      <c r="Q16" s="1349"/>
      <c r="R16" s="702"/>
      <c r="S16" s="703"/>
      <c r="T16" s="702"/>
      <c r="U16" s="703"/>
      <c r="V16" s="702"/>
      <c r="W16" s="703"/>
      <c r="X16" s="1352"/>
      <c r="Y16" s="3703"/>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03"/>
      <c r="Q17" s="1349" t="str">
        <f>B17</f>
        <v>商业繁华度</v>
      </c>
      <c r="R17" s="702" t="s">
        <v>14</v>
      </c>
      <c r="S17" s="703">
        <f>F17</f>
        <v>100</v>
      </c>
      <c r="T17" s="702" t="s">
        <v>14</v>
      </c>
      <c r="U17" s="703">
        <f>H17</f>
        <v>100</v>
      </c>
      <c r="V17" s="702" t="s">
        <v>14</v>
      </c>
      <c r="W17" s="703">
        <f>J17</f>
        <v>100</v>
      </c>
      <c r="X17" s="1352"/>
      <c r="Y17" s="370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03"/>
      <c r="Q18" s="1349"/>
      <c r="R18" s="702"/>
      <c r="S18" s="703"/>
      <c r="T18" s="702"/>
      <c r="U18" s="703"/>
      <c r="V18" s="702"/>
      <c r="W18" s="703"/>
      <c r="X18" s="1352"/>
      <c r="Y18" s="3703"/>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03"/>
      <c r="Q19" s="1349" t="str">
        <f>B19</f>
        <v>办公集聚程度</v>
      </c>
      <c r="R19" s="702" t="s">
        <v>14</v>
      </c>
      <c r="S19" s="703">
        <f>F19</f>
        <v>100</v>
      </c>
      <c r="T19" s="702" t="s">
        <v>14</v>
      </c>
      <c r="U19" s="703">
        <f>H19</f>
        <v>100</v>
      </c>
      <c r="V19" s="702" t="s">
        <v>14</v>
      </c>
      <c r="W19" s="703">
        <f>J19</f>
        <v>100</v>
      </c>
      <c r="X19" s="1352"/>
      <c r="Y19" s="370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03"/>
      <c r="Q20" s="1349"/>
      <c r="R20" s="702"/>
      <c r="S20" s="703"/>
      <c r="T20" s="702"/>
      <c r="U20" s="703"/>
      <c r="V20" s="702"/>
      <c r="W20" s="703"/>
      <c r="X20" s="1352"/>
      <c r="Y20" s="3703"/>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03"/>
      <c r="Q21" s="1349" t="str">
        <f>B21</f>
        <v>交通便捷度</v>
      </c>
      <c r="R21" s="702" t="s">
        <v>14</v>
      </c>
      <c r="S21" s="703">
        <f>F21</f>
        <v>100</v>
      </c>
      <c r="T21" s="702" t="s">
        <v>14</v>
      </c>
      <c r="U21" s="703">
        <f>H21</f>
        <v>100</v>
      </c>
      <c r="V21" s="702" t="s">
        <v>14</v>
      </c>
      <c r="W21" s="703">
        <f>J21</f>
        <v>100</v>
      </c>
      <c r="X21" s="1352"/>
      <c r="Y21" s="370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03"/>
      <c r="Q22" s="1349"/>
      <c r="R22" s="702"/>
      <c r="S22" s="703"/>
      <c r="T22" s="702"/>
      <c r="U22" s="703"/>
      <c r="V22" s="702"/>
      <c r="W22" s="703"/>
      <c r="X22" s="1352"/>
      <c r="Y22" s="3703"/>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03"/>
      <c r="Q23" s="1349" t="str">
        <f t="shared" ref="Q23:Q37" si="8">B23</f>
        <v>区域土地利用方向</v>
      </c>
      <c r="R23" s="702" t="s">
        <v>14</v>
      </c>
      <c r="S23" s="703">
        <f>F23</f>
        <v>100</v>
      </c>
      <c r="T23" s="702" t="s">
        <v>14</v>
      </c>
      <c r="U23" s="703">
        <f>H23</f>
        <v>100</v>
      </c>
      <c r="V23" s="702" t="s">
        <v>14</v>
      </c>
      <c r="W23" s="703">
        <f>J23</f>
        <v>100</v>
      </c>
      <c r="X23" s="1352"/>
      <c r="Y23" s="370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03"/>
      <c r="Q24" s="1349"/>
      <c r="R24" s="702"/>
      <c r="S24" s="703"/>
      <c r="T24" s="702"/>
      <c r="U24" s="703"/>
      <c r="V24" s="702"/>
      <c r="W24" s="703"/>
      <c r="X24" s="1352"/>
      <c r="Y24" s="3703"/>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03"/>
      <c r="Q25" s="1349" t="str">
        <f t="shared" si="8"/>
        <v>自然及人文环境状况</v>
      </c>
      <c r="R25" s="702" t="s">
        <v>14</v>
      </c>
      <c r="S25" s="703">
        <f>F25</f>
        <v>100</v>
      </c>
      <c r="T25" s="702" t="s">
        <v>14</v>
      </c>
      <c r="U25" s="703">
        <f>H25</f>
        <v>100</v>
      </c>
      <c r="V25" s="702" t="s">
        <v>14</v>
      </c>
      <c r="W25" s="703">
        <f>J25</f>
        <v>100</v>
      </c>
      <c r="X25" s="1352"/>
      <c r="Y25" s="370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03"/>
      <c r="Q26" s="1349"/>
      <c r="R26" s="702"/>
      <c r="S26" s="703"/>
      <c r="T26" s="702"/>
      <c r="U26" s="703"/>
      <c r="V26" s="702"/>
      <c r="W26" s="703"/>
      <c r="X26" s="1352"/>
      <c r="Y26" s="3703"/>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03"/>
      <c r="Q27" s="1340" t="str">
        <f t="shared" si="8"/>
        <v>公共配套设施</v>
      </c>
      <c r="R27" s="698" t="s">
        <v>14</v>
      </c>
      <c r="S27" s="699">
        <f>F27</f>
        <v>100</v>
      </c>
      <c r="T27" s="698" t="s">
        <v>14</v>
      </c>
      <c r="U27" s="699">
        <f>H27</f>
        <v>100</v>
      </c>
      <c r="V27" s="698" t="s">
        <v>14</v>
      </c>
      <c r="W27" s="699">
        <f>J27</f>
        <v>100</v>
      </c>
      <c r="X27" s="700"/>
      <c r="Y27" s="3703"/>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03"/>
      <c r="Q28" s="1340"/>
      <c r="R28" s="698"/>
      <c r="S28" s="699"/>
      <c r="T28" s="698"/>
      <c r="U28" s="699"/>
      <c r="V28" s="698"/>
      <c r="W28" s="699"/>
      <c r="X28" s="700"/>
      <c r="Y28" s="3703"/>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03"/>
      <c r="Q29" s="1340" t="str">
        <f t="shared" ref="Q29" si="9">B29</f>
        <v>基础设施水平</v>
      </c>
      <c r="R29" s="698" t="s">
        <v>14</v>
      </c>
      <c r="S29" s="699">
        <f>F29</f>
        <v>100</v>
      </c>
      <c r="T29" s="698" t="s">
        <v>14</v>
      </c>
      <c r="U29" s="699">
        <f>H29</f>
        <v>100</v>
      </c>
      <c r="V29" s="698" t="s">
        <v>14</v>
      </c>
      <c r="W29" s="699">
        <f>J29</f>
        <v>100</v>
      </c>
      <c r="X29" s="700"/>
      <c r="Y29" s="3703"/>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03"/>
      <c r="Q30" s="1340"/>
      <c r="R30" s="698"/>
      <c r="S30" s="699"/>
      <c r="T30" s="698"/>
      <c r="U30" s="699"/>
      <c r="V30" s="698"/>
      <c r="W30" s="699"/>
      <c r="X30" s="700"/>
      <c r="Y30" s="3703"/>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0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3"/>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03"/>
      <c r="Q32" s="1349" t="str">
        <f t="shared" si="8"/>
        <v>毗邻道路的类型与等级</v>
      </c>
      <c r="R32" s="702" t="s">
        <v>14</v>
      </c>
      <c r="S32" s="703">
        <f t="shared" si="10"/>
        <v>100</v>
      </c>
      <c r="T32" s="702" t="s">
        <v>14</v>
      </c>
      <c r="U32" s="703">
        <f t="shared" si="11"/>
        <v>100</v>
      </c>
      <c r="V32" s="702" t="s">
        <v>14</v>
      </c>
      <c r="W32" s="703">
        <f t="shared" si="12"/>
        <v>100</v>
      </c>
      <c r="X32" s="1352"/>
      <c r="Y32" s="370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03"/>
      <c r="Q33" s="1349"/>
      <c r="R33" s="702"/>
      <c r="S33" s="703"/>
      <c r="T33" s="702"/>
      <c r="U33" s="703"/>
      <c r="V33" s="702"/>
      <c r="W33" s="703"/>
      <c r="X33" s="1352"/>
      <c r="Y33" s="3703"/>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03"/>
      <c r="Q34" s="1349" t="str">
        <f t="shared" si="8"/>
        <v>土地级别</v>
      </c>
      <c r="R34" s="702" t="s">
        <v>14</v>
      </c>
      <c r="S34" s="703">
        <f t="shared" si="10"/>
        <v>100</v>
      </c>
      <c r="T34" s="702" t="s">
        <v>14</v>
      </c>
      <c r="U34" s="703">
        <f t="shared" si="11"/>
        <v>100</v>
      </c>
      <c r="V34" s="702" t="s">
        <v>14</v>
      </c>
      <c r="W34" s="703">
        <f t="shared" si="12"/>
        <v>100</v>
      </c>
      <c r="X34" s="1352"/>
      <c r="Y34" s="3703"/>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03"/>
      <c r="Q35" s="1349">
        <f t="shared" si="8"/>
        <v>111</v>
      </c>
      <c r="R35" s="702" t="s">
        <v>14</v>
      </c>
      <c r="S35" s="703">
        <f t="shared" si="10"/>
        <v>100</v>
      </c>
      <c r="T35" s="702" t="s">
        <v>14</v>
      </c>
      <c r="U35" s="703">
        <f t="shared" si="11"/>
        <v>100</v>
      </c>
      <c r="V35" s="702" t="s">
        <v>14</v>
      </c>
      <c r="W35" s="703">
        <f t="shared" si="12"/>
        <v>100</v>
      </c>
      <c r="X35" s="1352"/>
      <c r="Y35" s="3703"/>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89" t="s">
        <v>1696</v>
      </c>
      <c r="Q36" s="1349">
        <f t="shared" si="8"/>
        <v>111</v>
      </c>
      <c r="R36" s="702" t="s">
        <v>14</v>
      </c>
      <c r="S36" s="703">
        <f t="shared" si="10"/>
        <v>100</v>
      </c>
      <c r="T36" s="702" t="s">
        <v>14</v>
      </c>
      <c r="U36" s="703">
        <f t="shared" si="11"/>
        <v>100</v>
      </c>
      <c r="V36" s="702" t="s">
        <v>14</v>
      </c>
      <c r="W36" s="703">
        <f t="shared" si="12"/>
        <v>100</v>
      </c>
      <c r="X36" s="1352"/>
      <c r="Y36" s="3707"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07"/>
      <c r="Q37" s="1349">
        <f t="shared" si="8"/>
        <v>111</v>
      </c>
      <c r="R37" s="705" t="s">
        <v>14</v>
      </c>
      <c r="S37" s="706">
        <f t="shared" si="10"/>
        <v>100</v>
      </c>
      <c r="T37" s="705" t="s">
        <v>14</v>
      </c>
      <c r="U37" s="706">
        <f t="shared" si="11"/>
        <v>100</v>
      </c>
      <c r="V37" s="705" t="s">
        <v>14</v>
      </c>
      <c r="W37" s="706">
        <f t="shared" si="12"/>
        <v>100</v>
      </c>
      <c r="X37" s="707"/>
      <c r="Y37" s="3707"/>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07"/>
      <c r="Q38" s="1349" t="str">
        <f>B38</f>
        <v>宗地面积</v>
      </c>
      <c r="R38" s="702" t="s">
        <v>14</v>
      </c>
      <c r="S38" s="703" t="e">
        <f t="shared" si="10"/>
        <v>#N/A</v>
      </c>
      <c r="T38" s="702" t="s">
        <v>14</v>
      </c>
      <c r="U38" s="703" t="e">
        <f t="shared" si="11"/>
        <v>#N/A</v>
      </c>
      <c r="V38" s="702" t="s">
        <v>14</v>
      </c>
      <c r="W38" s="703" t="e">
        <f t="shared" si="12"/>
        <v>#N/A</v>
      </c>
      <c r="X38" s="1352"/>
      <c r="Y38" s="3707"/>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07"/>
      <c r="Q39" s="1349" t="str">
        <f t="shared" ref="Q39:Q45" si="14">B39</f>
        <v>宗地形状</v>
      </c>
      <c r="R39" s="702" t="s">
        <v>14</v>
      </c>
      <c r="S39" s="703">
        <f t="shared" si="10"/>
        <v>100</v>
      </c>
      <c r="T39" s="702" t="s">
        <v>14</v>
      </c>
      <c r="U39" s="703">
        <f t="shared" si="11"/>
        <v>100</v>
      </c>
      <c r="V39" s="702" t="s">
        <v>14</v>
      </c>
      <c r="W39" s="703">
        <f t="shared" si="12"/>
        <v>100</v>
      </c>
      <c r="X39" s="1352"/>
      <c r="Y39" s="3707"/>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07"/>
      <c r="Q40" s="1349" t="str">
        <f t="shared" si="14"/>
        <v>临街宽度及深度</v>
      </c>
      <c r="R40" s="702" t="s">
        <v>14</v>
      </c>
      <c r="S40" s="703">
        <f t="shared" si="10"/>
        <v>100</v>
      </c>
      <c r="T40" s="702" t="s">
        <v>14</v>
      </c>
      <c r="U40" s="703">
        <f t="shared" si="11"/>
        <v>100</v>
      </c>
      <c r="V40" s="702" t="s">
        <v>14</v>
      </c>
      <c r="W40" s="703">
        <f t="shared" si="12"/>
        <v>100</v>
      </c>
      <c r="X40" s="1352"/>
      <c r="Y40" s="3707"/>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07"/>
      <c r="Q41" s="1349" t="str">
        <f t="shared" si="14"/>
        <v>宗地开发程度</v>
      </c>
      <c r="R41" s="698" t="s">
        <v>14</v>
      </c>
      <c r="S41" s="699">
        <f t="shared" si="10"/>
        <v>100</v>
      </c>
      <c r="T41" s="698" t="s">
        <v>14</v>
      </c>
      <c r="U41" s="699">
        <f t="shared" si="11"/>
        <v>100</v>
      </c>
      <c r="V41" s="698" t="s">
        <v>14</v>
      </c>
      <c r="W41" s="699">
        <f t="shared" si="12"/>
        <v>100</v>
      </c>
      <c r="X41" s="700"/>
      <c r="Y41" s="3707"/>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07" t="s">
        <v>1696</v>
      </c>
      <c r="Q42" s="1349" t="str">
        <f t="shared" si="14"/>
        <v>工程地质条件</v>
      </c>
      <c r="R42" s="702" t="s">
        <v>14</v>
      </c>
      <c r="S42" s="703">
        <f t="shared" si="10"/>
        <v>100</v>
      </c>
      <c r="T42" s="702" t="s">
        <v>14</v>
      </c>
      <c r="U42" s="703">
        <f t="shared" si="11"/>
        <v>100</v>
      </c>
      <c r="V42" s="702" t="s">
        <v>14</v>
      </c>
      <c r="W42" s="703">
        <f t="shared" si="12"/>
        <v>100</v>
      </c>
      <c r="X42" s="1352"/>
      <c r="Y42" s="3707"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07"/>
      <c r="Q43" s="1349">
        <f t="shared" si="14"/>
        <v>111</v>
      </c>
      <c r="R43" s="702" t="s">
        <v>14</v>
      </c>
      <c r="S43" s="703">
        <f t="shared" si="10"/>
        <v>100</v>
      </c>
      <c r="T43" s="702" t="s">
        <v>14</v>
      </c>
      <c r="U43" s="703">
        <f t="shared" si="11"/>
        <v>100</v>
      </c>
      <c r="V43" s="702" t="s">
        <v>14</v>
      </c>
      <c r="W43" s="703">
        <f t="shared" si="12"/>
        <v>100</v>
      </c>
      <c r="X43" s="1352"/>
      <c r="Y43" s="3707"/>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07"/>
      <c r="Q44" s="1349">
        <f t="shared" si="14"/>
        <v>111</v>
      </c>
      <c r="R44" s="702" t="s">
        <v>14</v>
      </c>
      <c r="S44" s="703">
        <f t="shared" si="10"/>
        <v>100</v>
      </c>
      <c r="T44" s="702" t="s">
        <v>14</v>
      </c>
      <c r="U44" s="703">
        <f t="shared" si="11"/>
        <v>100</v>
      </c>
      <c r="V44" s="702" t="s">
        <v>14</v>
      </c>
      <c r="W44" s="703">
        <f t="shared" si="12"/>
        <v>100</v>
      </c>
      <c r="X44" s="1352"/>
      <c r="Y44" s="3707"/>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07"/>
      <c r="Q45" s="1349">
        <f t="shared" si="14"/>
        <v>111</v>
      </c>
      <c r="R45" s="705" t="s">
        <v>14</v>
      </c>
      <c r="S45" s="706">
        <f t="shared" si="10"/>
        <v>100</v>
      </c>
      <c r="T45" s="705" t="s">
        <v>14</v>
      </c>
      <c r="U45" s="706">
        <f t="shared" si="11"/>
        <v>100</v>
      </c>
      <c r="V45" s="705" t="s">
        <v>14</v>
      </c>
      <c r="W45" s="706">
        <f t="shared" si="12"/>
        <v>100</v>
      </c>
      <c r="X45" s="707"/>
      <c r="Y45" s="3707"/>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695" t="str">
        <f>A46</f>
        <v>成交单价</v>
      </c>
      <c r="Q46" s="3695"/>
      <c r="R46" s="3729">
        <f>E46</f>
        <v>0</v>
      </c>
      <c r="S46" s="3729"/>
      <c r="T46" s="3729">
        <f>G46</f>
        <v>0</v>
      </c>
      <c r="U46" s="3729"/>
      <c r="V46" s="3729">
        <f>I46</f>
        <v>0</v>
      </c>
      <c r="W46" s="3729"/>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695" t="str">
        <f>A47</f>
        <v>比较价值（元/平方米）</v>
      </c>
      <c r="Q47" s="3695"/>
      <c r="R47" s="3791" t="e">
        <f>ROUND(PRODUCT(R46,AA7:AA45),0)</f>
        <v>#DIV/0!</v>
      </c>
      <c r="S47" s="3791"/>
      <c r="T47" s="3791" t="e">
        <f>ROUND(PRODUCT(T46,AB7:AB45),0)</f>
        <v>#DIV/0!</v>
      </c>
      <c r="U47" s="3791"/>
      <c r="V47" s="3791" t="e">
        <f>ROUND(PRODUCT(V46,AC7:AC45),0)</f>
        <v>#DIV/0!</v>
      </c>
      <c r="W47" s="3791"/>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57" t="str">
        <f>A48</f>
        <v>估价对象XX用房的比较价值（楼面单价，元/平方米）</v>
      </c>
      <c r="Q48" s="3758"/>
      <c r="R48" s="3792" t="e">
        <f>ROUND(IF(D47="简单平均",AVERAGE(R47:W47),R47*F47+T47*H47+V47*J47),0)</f>
        <v>#DIV/0!</v>
      </c>
      <c r="S48" s="3792"/>
      <c r="T48" s="3792"/>
      <c r="U48" s="3792"/>
      <c r="V48" s="3792"/>
      <c r="W48" s="3792"/>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2" t="s">
        <v>1887</v>
      </c>
      <c r="H55" s="3793"/>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694"/>
      <c r="H56" s="3695"/>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94" t="s">
        <v>1919</v>
      </c>
      <c r="D6" s="3795"/>
      <c r="E6" s="3796" t="s">
        <v>1919</v>
      </c>
      <c r="F6" s="3797"/>
      <c r="G6" s="3794" t="s">
        <v>1919</v>
      </c>
      <c r="H6" s="3795"/>
      <c r="I6" s="3794" t="s">
        <v>1919</v>
      </c>
      <c r="J6" s="3795"/>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45142</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6" t="s">
        <v>1683</v>
      </c>
      <c r="Q8" s="3735"/>
      <c r="R8" s="698" t="s">
        <v>14</v>
      </c>
      <c r="S8" s="699">
        <f t="shared" si="0"/>
        <v>0</v>
      </c>
      <c r="T8" s="698" t="s">
        <v>14</v>
      </c>
      <c r="U8" s="699">
        <f t="shared" si="1"/>
        <v>0</v>
      </c>
      <c r="V8" s="698" t="s">
        <v>14</v>
      </c>
      <c r="W8" s="699">
        <f t="shared" si="2"/>
        <v>0</v>
      </c>
      <c r="X8" s="700"/>
      <c r="Y8" s="3736" t="s">
        <v>1683</v>
      </c>
      <c r="Z8" s="3735"/>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695"/>
      <c r="Q10" s="1340" t="str">
        <f t="shared" si="6"/>
        <v>土地使用年限（年）</v>
      </c>
      <c r="R10" s="698" t="s">
        <v>14</v>
      </c>
      <c r="S10" s="699">
        <f t="shared" si="0"/>
        <v>129</v>
      </c>
      <c r="T10" s="698" t="s">
        <v>14</v>
      </c>
      <c r="U10" s="699">
        <f t="shared" si="1"/>
        <v>129</v>
      </c>
      <c r="V10" s="698" t="s">
        <v>14</v>
      </c>
      <c r="W10" s="699">
        <f t="shared" si="2"/>
        <v>129</v>
      </c>
      <c r="X10" s="700"/>
      <c r="Y10" s="3598"/>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95"/>
      <c r="Q11" s="1340" t="str">
        <f t="shared" si="6"/>
        <v>容积率</v>
      </c>
      <c r="R11" s="698" t="s">
        <v>14</v>
      </c>
      <c r="S11" s="699" t="e">
        <f t="shared" si="0"/>
        <v>#N/A</v>
      </c>
      <c r="T11" s="698" t="s">
        <v>14</v>
      </c>
      <c r="U11" s="699" t="e">
        <f t="shared" si="1"/>
        <v>#N/A</v>
      </c>
      <c r="V11" s="698" t="s">
        <v>14</v>
      </c>
      <c r="W11" s="699" t="e">
        <f t="shared" si="2"/>
        <v>#N/A</v>
      </c>
      <c r="X11" s="700"/>
      <c r="Y11" s="3598"/>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03"/>
      <c r="Q16" s="1349"/>
      <c r="R16" s="702"/>
      <c r="S16" s="703"/>
      <c r="T16" s="702"/>
      <c r="U16" s="703"/>
      <c r="V16" s="702"/>
      <c r="W16" s="703"/>
      <c r="X16" s="1352"/>
      <c r="Y16" s="3703"/>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03"/>
      <c r="Q18" s="1349"/>
      <c r="R18" s="702"/>
      <c r="S18" s="703"/>
      <c r="T18" s="702"/>
      <c r="U18" s="703"/>
      <c r="V18" s="702"/>
      <c r="W18" s="703"/>
      <c r="X18" s="1352"/>
      <c r="Y18" s="3703"/>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03"/>
      <c r="Q19" s="1349" t="str">
        <f t="shared" ref="Q19:Q33" si="8">B19</f>
        <v>区域土地利用方向</v>
      </c>
      <c r="R19" s="702" t="s">
        <v>14</v>
      </c>
      <c r="S19" s="703">
        <f>F19</f>
        <v>100</v>
      </c>
      <c r="T19" s="702" t="s">
        <v>14</v>
      </c>
      <c r="U19" s="703">
        <f>H19</f>
        <v>100</v>
      </c>
      <c r="V19" s="702" t="s">
        <v>14</v>
      </c>
      <c r="W19" s="703">
        <f>J19</f>
        <v>100</v>
      </c>
      <c r="X19" s="1352"/>
      <c r="Y19" s="3703"/>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03"/>
      <c r="Q20" s="1349"/>
      <c r="R20" s="702"/>
      <c r="S20" s="703"/>
      <c r="T20" s="702"/>
      <c r="U20" s="703"/>
      <c r="V20" s="702"/>
      <c r="W20" s="703"/>
      <c r="X20" s="1352"/>
      <c r="Y20" s="3703"/>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03"/>
      <c r="Q21" s="1349" t="str">
        <f t="shared" si="8"/>
        <v>环境状况</v>
      </c>
      <c r="R21" s="702" t="s">
        <v>14</v>
      </c>
      <c r="S21" s="703">
        <f>F21</f>
        <v>100</v>
      </c>
      <c r="T21" s="702" t="s">
        <v>14</v>
      </c>
      <c r="U21" s="703">
        <f>H21</f>
        <v>100</v>
      </c>
      <c r="V21" s="702" t="s">
        <v>14</v>
      </c>
      <c r="W21" s="703">
        <f>J21</f>
        <v>100</v>
      </c>
      <c r="X21" s="1352"/>
      <c r="Y21" s="3703"/>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03"/>
      <c r="Q22" s="1349"/>
      <c r="R22" s="702"/>
      <c r="S22" s="703"/>
      <c r="T22" s="702"/>
      <c r="U22" s="703"/>
      <c r="V22" s="702"/>
      <c r="W22" s="703"/>
      <c r="X22" s="1352"/>
      <c r="Y22" s="3703"/>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03"/>
      <c r="Q23" s="1340" t="str">
        <f t="shared" si="8"/>
        <v>公共配套设施</v>
      </c>
      <c r="R23" s="698" t="s">
        <v>14</v>
      </c>
      <c r="S23" s="699">
        <f>F23</f>
        <v>100</v>
      </c>
      <c r="T23" s="698" t="s">
        <v>14</v>
      </c>
      <c r="U23" s="699">
        <f>H23</f>
        <v>100</v>
      </c>
      <c r="V23" s="698" t="s">
        <v>14</v>
      </c>
      <c r="W23" s="699">
        <f>J23</f>
        <v>100</v>
      </c>
      <c r="X23" s="700"/>
      <c r="Y23" s="3703"/>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03"/>
      <c r="Q24" s="1340"/>
      <c r="R24" s="698"/>
      <c r="S24" s="699"/>
      <c r="T24" s="698"/>
      <c r="U24" s="699"/>
      <c r="V24" s="698"/>
      <c r="W24" s="699"/>
      <c r="X24" s="700"/>
      <c r="Y24" s="3703"/>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03"/>
      <c r="Q25" s="1340" t="str">
        <f t="shared" ref="Q25" si="9">B25</f>
        <v>基础设施水平</v>
      </c>
      <c r="R25" s="698" t="s">
        <v>14</v>
      </c>
      <c r="S25" s="699">
        <f>F25</f>
        <v>100</v>
      </c>
      <c r="T25" s="698" t="s">
        <v>14</v>
      </c>
      <c r="U25" s="699">
        <f>H25</f>
        <v>100</v>
      </c>
      <c r="V25" s="698" t="s">
        <v>14</v>
      </c>
      <c r="W25" s="699">
        <f>J25</f>
        <v>100</v>
      </c>
      <c r="X25" s="700"/>
      <c r="Y25" s="3703"/>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03"/>
      <c r="Q26" s="1340"/>
      <c r="R26" s="698"/>
      <c r="S26" s="699"/>
      <c r="T26" s="698"/>
      <c r="U26" s="699"/>
      <c r="V26" s="698"/>
      <c r="W26" s="699"/>
      <c r="X26" s="700"/>
      <c r="Y26" s="3703"/>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0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3"/>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03"/>
      <c r="Q28" s="1349" t="str">
        <f t="shared" si="8"/>
        <v>毗邻道路的类型与等级</v>
      </c>
      <c r="R28" s="702" t="s">
        <v>14</v>
      </c>
      <c r="S28" s="703">
        <f t="shared" si="10"/>
        <v>100</v>
      </c>
      <c r="T28" s="702" t="s">
        <v>14</v>
      </c>
      <c r="U28" s="703">
        <f t="shared" si="11"/>
        <v>100</v>
      </c>
      <c r="V28" s="702" t="s">
        <v>14</v>
      </c>
      <c r="W28" s="703">
        <f t="shared" si="12"/>
        <v>100</v>
      </c>
      <c r="X28" s="1352"/>
      <c r="Y28" s="3703"/>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03"/>
      <c r="Q29" s="1349"/>
      <c r="R29" s="702"/>
      <c r="S29" s="703"/>
      <c r="T29" s="702"/>
      <c r="U29" s="703"/>
      <c r="V29" s="702"/>
      <c r="W29" s="703"/>
      <c r="X29" s="1352"/>
      <c r="Y29" s="3703"/>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03"/>
      <c r="Q30" s="1349" t="str">
        <f t="shared" si="8"/>
        <v>土地级别</v>
      </c>
      <c r="R30" s="702" t="s">
        <v>14</v>
      </c>
      <c r="S30" s="703">
        <f t="shared" si="10"/>
        <v>100</v>
      </c>
      <c r="T30" s="702" t="s">
        <v>14</v>
      </c>
      <c r="U30" s="703">
        <f t="shared" si="11"/>
        <v>100</v>
      </c>
      <c r="V30" s="702" t="s">
        <v>14</v>
      </c>
      <c r="W30" s="703">
        <f t="shared" si="12"/>
        <v>100</v>
      </c>
      <c r="X30" s="1352"/>
      <c r="Y30" s="3703"/>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3"/>
      <c r="Q31" s="1349">
        <f t="shared" si="8"/>
        <v>111</v>
      </c>
      <c r="R31" s="702" t="s">
        <v>14</v>
      </c>
      <c r="S31" s="703">
        <f t="shared" si="10"/>
        <v>100</v>
      </c>
      <c r="T31" s="702" t="s">
        <v>14</v>
      </c>
      <c r="U31" s="703">
        <f t="shared" si="11"/>
        <v>100</v>
      </c>
      <c r="V31" s="702" t="s">
        <v>14</v>
      </c>
      <c r="W31" s="703">
        <f t="shared" si="12"/>
        <v>100</v>
      </c>
      <c r="X31" s="1352"/>
      <c r="Y31" s="3703"/>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89" t="s">
        <v>1696</v>
      </c>
      <c r="Q32" s="1349">
        <f t="shared" si="8"/>
        <v>111</v>
      </c>
      <c r="R32" s="702" t="s">
        <v>14</v>
      </c>
      <c r="S32" s="703">
        <f t="shared" si="10"/>
        <v>100</v>
      </c>
      <c r="T32" s="702" t="s">
        <v>14</v>
      </c>
      <c r="U32" s="703">
        <f t="shared" si="11"/>
        <v>100</v>
      </c>
      <c r="V32" s="702" t="s">
        <v>14</v>
      </c>
      <c r="W32" s="703">
        <f t="shared" si="12"/>
        <v>100</v>
      </c>
      <c r="X32" s="1352"/>
      <c r="Y32" s="3707"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07"/>
      <c r="Q33" s="1349">
        <f t="shared" si="8"/>
        <v>111</v>
      </c>
      <c r="R33" s="705" t="s">
        <v>14</v>
      </c>
      <c r="S33" s="706">
        <f t="shared" si="10"/>
        <v>100</v>
      </c>
      <c r="T33" s="705" t="s">
        <v>14</v>
      </c>
      <c r="U33" s="706">
        <f t="shared" si="11"/>
        <v>100</v>
      </c>
      <c r="V33" s="705" t="s">
        <v>14</v>
      </c>
      <c r="W33" s="706">
        <f t="shared" si="12"/>
        <v>100</v>
      </c>
      <c r="X33" s="707"/>
      <c r="Y33" s="3707"/>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07"/>
      <c r="Q34" s="1349" t="str">
        <f>B34</f>
        <v>宗地面积</v>
      </c>
      <c r="R34" s="702" t="s">
        <v>14</v>
      </c>
      <c r="S34" s="703" t="e">
        <f t="shared" si="10"/>
        <v>#N/A</v>
      </c>
      <c r="T34" s="702" t="s">
        <v>14</v>
      </c>
      <c r="U34" s="703" t="e">
        <f t="shared" si="11"/>
        <v>#N/A</v>
      </c>
      <c r="V34" s="702" t="s">
        <v>14</v>
      </c>
      <c r="W34" s="703" t="e">
        <f t="shared" si="12"/>
        <v>#N/A</v>
      </c>
      <c r="X34" s="1352"/>
      <c r="Y34" s="3707"/>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07"/>
      <c r="Q35" s="1349" t="str">
        <f t="shared" ref="Q35:Q40" si="14">B35</f>
        <v>宗地形状</v>
      </c>
      <c r="R35" s="702" t="s">
        <v>14</v>
      </c>
      <c r="S35" s="703">
        <f t="shared" si="10"/>
        <v>100</v>
      </c>
      <c r="T35" s="702" t="s">
        <v>14</v>
      </c>
      <c r="U35" s="703">
        <f t="shared" si="11"/>
        <v>100</v>
      </c>
      <c r="V35" s="702" t="s">
        <v>14</v>
      </c>
      <c r="W35" s="703">
        <f t="shared" si="12"/>
        <v>100</v>
      </c>
      <c r="X35" s="1352"/>
      <c r="Y35" s="3707"/>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07"/>
      <c r="Q36" s="1349" t="str">
        <f t="shared" si="14"/>
        <v>宗地开发程度</v>
      </c>
      <c r="R36" s="698" t="s">
        <v>14</v>
      </c>
      <c r="S36" s="699">
        <f t="shared" si="10"/>
        <v>100</v>
      </c>
      <c r="T36" s="698" t="s">
        <v>14</v>
      </c>
      <c r="U36" s="699">
        <f t="shared" si="11"/>
        <v>100</v>
      </c>
      <c r="V36" s="698" t="s">
        <v>14</v>
      </c>
      <c r="W36" s="699">
        <f t="shared" si="12"/>
        <v>100</v>
      </c>
      <c r="X36" s="700"/>
      <c r="Y36" s="3707"/>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07" t="s">
        <v>1696</v>
      </c>
      <c r="Q37" s="1349" t="str">
        <f t="shared" si="14"/>
        <v>工程地质条件</v>
      </c>
      <c r="R37" s="702" t="s">
        <v>14</v>
      </c>
      <c r="S37" s="703">
        <f t="shared" si="10"/>
        <v>100</v>
      </c>
      <c r="T37" s="702" t="s">
        <v>14</v>
      </c>
      <c r="U37" s="703">
        <f t="shared" si="11"/>
        <v>100</v>
      </c>
      <c r="V37" s="702" t="s">
        <v>14</v>
      </c>
      <c r="W37" s="703">
        <f t="shared" si="12"/>
        <v>100</v>
      </c>
      <c r="X37" s="1352"/>
      <c r="Y37" s="3707"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07"/>
      <c r="Q38" s="1349">
        <f t="shared" si="14"/>
        <v>111</v>
      </c>
      <c r="R38" s="702" t="s">
        <v>14</v>
      </c>
      <c r="S38" s="703">
        <f t="shared" si="10"/>
        <v>100</v>
      </c>
      <c r="T38" s="702" t="s">
        <v>14</v>
      </c>
      <c r="U38" s="703">
        <f t="shared" si="11"/>
        <v>100</v>
      </c>
      <c r="V38" s="702" t="s">
        <v>14</v>
      </c>
      <c r="W38" s="703">
        <f t="shared" si="12"/>
        <v>100</v>
      </c>
      <c r="X38" s="1352"/>
      <c r="Y38" s="3707"/>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07"/>
      <c r="Q39" s="1349">
        <f t="shared" si="14"/>
        <v>111</v>
      </c>
      <c r="R39" s="702" t="s">
        <v>14</v>
      </c>
      <c r="S39" s="703">
        <f t="shared" si="10"/>
        <v>100</v>
      </c>
      <c r="T39" s="702" t="s">
        <v>14</v>
      </c>
      <c r="U39" s="703">
        <f t="shared" si="11"/>
        <v>100</v>
      </c>
      <c r="V39" s="702" t="s">
        <v>14</v>
      </c>
      <c r="W39" s="703">
        <f t="shared" si="12"/>
        <v>100</v>
      </c>
      <c r="X39" s="1352"/>
      <c r="Y39" s="3707"/>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07"/>
      <c r="Q40" s="1349">
        <f t="shared" si="14"/>
        <v>111</v>
      </c>
      <c r="R40" s="705" t="s">
        <v>14</v>
      </c>
      <c r="S40" s="706">
        <f t="shared" si="10"/>
        <v>100</v>
      </c>
      <c r="T40" s="705" t="s">
        <v>14</v>
      </c>
      <c r="U40" s="706">
        <f t="shared" si="11"/>
        <v>100</v>
      </c>
      <c r="V40" s="705" t="s">
        <v>14</v>
      </c>
      <c r="W40" s="706">
        <f t="shared" si="12"/>
        <v>100</v>
      </c>
      <c r="X40" s="707"/>
      <c r="Y40" s="3707"/>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695" t="str">
        <f>A41</f>
        <v>成交单价</v>
      </c>
      <c r="Q41" s="3695"/>
      <c r="R41" s="3729">
        <f>E41</f>
        <v>0</v>
      </c>
      <c r="S41" s="3729"/>
      <c r="T41" s="3729">
        <f>G41</f>
        <v>0</v>
      </c>
      <c r="U41" s="3729"/>
      <c r="V41" s="3729">
        <f>I41</f>
        <v>0</v>
      </c>
      <c r="W41" s="3729"/>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695" t="str">
        <f>A42</f>
        <v>比较价值（元/平方米）</v>
      </c>
      <c r="Q42" s="3695"/>
      <c r="R42" s="3791" t="e">
        <f>ROUND(PRODUCT(R41,AA7:AA40),0)</f>
        <v>#DIV/0!</v>
      </c>
      <c r="S42" s="3791"/>
      <c r="T42" s="3791" t="e">
        <f>ROUND(PRODUCT(T41,AB7:AB40),0)</f>
        <v>#DIV/0!</v>
      </c>
      <c r="U42" s="3791"/>
      <c r="V42" s="3791" t="e">
        <f>ROUND(PRODUCT(V41,AC7:AC40),0)</f>
        <v>#DIV/0!</v>
      </c>
      <c r="W42" s="3791"/>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57" t="str">
        <f>A43</f>
        <v>估价对象XX用房的比较价值（楼面单价，元/平方米）</v>
      </c>
      <c r="Q43" s="3758"/>
      <c r="R43" s="3792" t="e">
        <f>ROUND(IF(D42="简单平均",AVERAGE(R42:W42),R42*F42+T42*H42+V42*J42),0)</f>
        <v>#DIV/0!</v>
      </c>
      <c r="S43" s="3792"/>
      <c r="T43" s="3792"/>
      <c r="U43" s="3792"/>
      <c r="V43" s="3792"/>
      <c r="W43" s="3792"/>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2" t="s">
        <v>1887</v>
      </c>
      <c r="H50" s="3793"/>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694"/>
      <c r="H51" s="3695"/>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5"/>
      <c r="B4" s="3806"/>
      <c r="C4" s="3806"/>
      <c r="D4" s="3807"/>
      <c r="E4" s="3807"/>
      <c r="F4" s="3807"/>
      <c r="G4" s="3807"/>
      <c r="H4" s="3807"/>
      <c r="I4" s="3807"/>
      <c r="J4" s="380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802" t="s">
        <v>1960</v>
      </c>
      <c r="X8" s="380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4"/>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09" t="s">
        <v>3255</v>
      </c>
      <c r="B20" s="167" t="s">
        <v>1994</v>
      </c>
      <c r="C20" s="3320" t="e">
        <f>ROUND(IF(F21="与级别开发程度一致",0,(G21-E21)/C21),0)</f>
        <v>#DIV/0!</v>
      </c>
      <c r="D20" s="3336" t="s">
        <v>1998</v>
      </c>
      <c r="E20" s="3337"/>
      <c r="F20" s="3815" t="s">
        <v>1995</v>
      </c>
      <c r="G20" s="3816"/>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10"/>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45142</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3"/>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4"/>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4"/>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1" t="s">
        <v>3295</v>
      </c>
      <c r="B103" s="3811"/>
      <c r="C103" s="3811"/>
      <c r="D103" s="3811"/>
      <c r="E103" s="3811"/>
      <c r="F103" s="3811"/>
      <c r="G103" s="3811"/>
      <c r="H103" s="3811"/>
      <c r="I103" s="3811"/>
      <c r="J103" s="3811"/>
      <c r="K103" s="3385"/>
      <c r="L103" s="3385"/>
      <c r="M103" s="3385"/>
      <c r="N103" s="3385"/>
    </row>
    <row r="104" spans="1:14">
      <c r="A104" s="3812" t="s">
        <v>3296</v>
      </c>
      <c r="B104" s="3812" t="s">
        <v>3297</v>
      </c>
      <c r="C104" s="3386" t="s">
        <v>3298</v>
      </c>
      <c r="D104" s="3387"/>
      <c r="E104" s="3387"/>
      <c r="F104" s="3387"/>
      <c r="G104" s="3387"/>
      <c r="H104" s="3387"/>
      <c r="I104" s="3387"/>
      <c r="J104" s="3388"/>
      <c r="K104" s="3389"/>
      <c r="L104" s="3389"/>
      <c r="M104" s="3389"/>
      <c r="N104" s="3389"/>
    </row>
    <row r="105" spans="1:14">
      <c r="A105" s="3812"/>
      <c r="B105" s="3812"/>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8"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9"/>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0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01" t="s">
        <v>3312</v>
      </c>
      <c r="B113" s="3801"/>
      <c r="C113" s="3801"/>
      <c r="D113" s="3801"/>
      <c r="E113" s="3801"/>
      <c r="F113" s="3801"/>
      <c r="G113" s="3801"/>
      <c r="H113" s="3801"/>
      <c r="I113" s="3801"/>
      <c r="J113" s="380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6" t="s">
        <v>2606</v>
      </c>
      <c r="B20" s="3821" t="s">
        <v>2627</v>
      </c>
      <c r="C20" s="3098" t="s">
        <v>2438</v>
      </c>
      <c r="D20" s="3099"/>
      <c r="E20" s="3100">
        <v>1</v>
      </c>
      <c r="F20" s="3101" t="s">
        <v>2439</v>
      </c>
      <c r="G20" s="3101"/>
    </row>
    <row r="21" spans="1:13" ht="19.5" customHeight="1">
      <c r="A21" s="3827"/>
      <c r="B21" s="3820"/>
      <c r="C21" s="3102" t="s">
        <v>2440</v>
      </c>
      <c r="D21" s="3103"/>
      <c r="E21" s="3104">
        <v>1</v>
      </c>
      <c r="F21" s="3101" t="s">
        <v>2441</v>
      </c>
      <c r="G21" s="3101"/>
    </row>
    <row r="22" spans="1:13" ht="19.5" customHeight="1">
      <c r="A22" s="3827"/>
      <c r="B22" s="3820"/>
      <c r="C22" s="3102" t="s">
        <v>2442</v>
      </c>
      <c r="D22" s="3103"/>
      <c r="E22" s="3104">
        <v>0.9</v>
      </c>
      <c r="F22" s="3101" t="s">
        <v>2443</v>
      </c>
      <c r="G22" s="3101"/>
    </row>
    <row r="23" spans="1:13" ht="19.5" customHeight="1">
      <c r="A23" s="3827"/>
      <c r="B23" s="3820"/>
      <c r="C23" s="3102" t="s">
        <v>2444</v>
      </c>
      <c r="D23" s="3103"/>
      <c r="E23" s="3104">
        <v>0.9</v>
      </c>
      <c r="F23" s="3101" t="s">
        <v>2445</v>
      </c>
      <c r="G23" s="3101"/>
    </row>
    <row r="24" spans="1:13" ht="19.5" customHeight="1">
      <c r="A24" s="3827"/>
      <c r="B24" s="3820"/>
      <c r="C24" s="3102" t="s">
        <v>2446</v>
      </c>
      <c r="D24" s="3103"/>
      <c r="E24" s="3104">
        <v>0.8</v>
      </c>
      <c r="F24" s="3101" t="s">
        <v>2447</v>
      </c>
      <c r="G24" s="3101"/>
    </row>
    <row r="25" spans="1:13" ht="19.5" customHeight="1" thickBot="1">
      <c r="A25" s="3828"/>
      <c r="B25" s="3822"/>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3" t="s">
        <v>2630</v>
      </c>
      <c r="B27" s="3821" t="s">
        <v>2611</v>
      </c>
      <c r="C27" s="3098" t="s">
        <v>2451</v>
      </c>
      <c r="D27" s="3099"/>
      <c r="E27" s="3100">
        <v>1</v>
      </c>
      <c r="F27" s="3101" t="s">
        <v>2452</v>
      </c>
      <c r="G27" s="3101"/>
    </row>
    <row r="28" spans="1:13" ht="19.5" customHeight="1">
      <c r="A28" s="3824"/>
      <c r="B28" s="3820"/>
      <c r="C28" s="3102" t="s">
        <v>2453</v>
      </c>
      <c r="D28" s="3103"/>
      <c r="E28" s="3104">
        <v>1</v>
      </c>
      <c r="F28" s="3101" t="s">
        <v>2454</v>
      </c>
      <c r="G28" s="3101"/>
    </row>
    <row r="29" spans="1:13" ht="19.5" customHeight="1">
      <c r="A29" s="3824"/>
      <c r="B29" s="3820"/>
      <c r="C29" s="3102" t="s">
        <v>2455</v>
      </c>
      <c r="D29" s="3103"/>
      <c r="E29" s="3104">
        <v>0.8</v>
      </c>
      <c r="F29" s="3101" t="s">
        <v>2456</v>
      </c>
      <c r="G29" s="3101"/>
    </row>
    <row r="30" spans="1:13" ht="19.5" customHeight="1">
      <c r="A30" s="3824"/>
      <c r="B30" s="3820"/>
      <c r="C30" s="3102" t="s">
        <v>2457</v>
      </c>
      <c r="D30" s="3103"/>
      <c r="E30" s="3104">
        <v>0.8</v>
      </c>
      <c r="F30" s="3101" t="s">
        <v>2458</v>
      </c>
      <c r="G30" s="3101"/>
    </row>
    <row r="31" spans="1:13" ht="19.5" customHeight="1">
      <c r="A31" s="3824"/>
      <c r="B31" s="3820"/>
      <c r="C31" s="3102" t="s">
        <v>2459</v>
      </c>
      <c r="D31" s="3103"/>
      <c r="E31" s="3104">
        <v>0.8</v>
      </c>
      <c r="F31" s="3101" t="s">
        <v>2460</v>
      </c>
      <c r="G31" s="3101"/>
    </row>
    <row r="32" spans="1:13" ht="19.5" customHeight="1">
      <c r="A32" s="3824"/>
      <c r="B32" s="3820"/>
      <c r="C32" s="3102" t="s">
        <v>2461</v>
      </c>
      <c r="D32" s="3103"/>
      <c r="E32" s="3104">
        <v>0.7</v>
      </c>
      <c r="F32" s="3101" t="s">
        <v>2462</v>
      </c>
      <c r="G32" s="3101"/>
    </row>
    <row r="33" spans="1:7" ht="19.5" customHeight="1">
      <c r="A33" s="3824"/>
      <c r="B33" s="3820"/>
      <c r="C33" s="3102" t="s">
        <v>2463</v>
      </c>
      <c r="D33" s="3103"/>
      <c r="E33" s="3104">
        <v>0.8</v>
      </c>
      <c r="F33" s="3101" t="s">
        <v>2464</v>
      </c>
      <c r="G33" s="3101"/>
    </row>
    <row r="34" spans="1:7" ht="19.5" customHeight="1">
      <c r="A34" s="3824"/>
      <c r="B34" s="3820"/>
      <c r="C34" s="3102" t="s">
        <v>2465</v>
      </c>
      <c r="D34" s="3103"/>
      <c r="E34" s="3104">
        <v>0.6</v>
      </c>
      <c r="F34" s="3101" t="s">
        <v>2466</v>
      </c>
      <c r="G34" s="3101"/>
    </row>
    <row r="35" spans="1:7" ht="19.5" customHeight="1">
      <c r="A35" s="3824"/>
      <c r="B35" s="3820"/>
      <c r="C35" s="3102" t="s">
        <v>2467</v>
      </c>
      <c r="D35" s="3103"/>
      <c r="E35" s="3104">
        <v>0.2</v>
      </c>
      <c r="F35" s="3101" t="s">
        <v>2468</v>
      </c>
      <c r="G35" s="3101"/>
    </row>
    <row r="36" spans="1:7" ht="19.5" customHeight="1">
      <c r="A36" s="3824"/>
      <c r="B36" s="3820"/>
      <c r="C36" s="3102" t="s">
        <v>2469</v>
      </c>
      <c r="D36" s="3103"/>
      <c r="E36" s="3104">
        <v>0.2</v>
      </c>
      <c r="F36" s="3101" t="s">
        <v>2470</v>
      </c>
      <c r="G36" s="3101"/>
    </row>
    <row r="37" spans="1:7" ht="19.5" customHeight="1">
      <c r="A37" s="3824"/>
      <c r="B37" s="3818" t="s">
        <v>2631</v>
      </c>
      <c r="C37" s="3102" t="s">
        <v>2471</v>
      </c>
      <c r="D37" s="3103"/>
      <c r="E37" s="3104">
        <v>0.6</v>
      </c>
      <c r="F37" s="3101" t="s">
        <v>2472</v>
      </c>
      <c r="G37" s="3101"/>
    </row>
    <row r="38" spans="1:7" ht="19.5" customHeight="1">
      <c r="A38" s="3824"/>
      <c r="B38" s="3820"/>
      <c r="C38" s="3102" t="s">
        <v>2473</v>
      </c>
      <c r="D38" s="3103"/>
      <c r="E38" s="3104">
        <v>0.6</v>
      </c>
      <c r="F38" s="3101" t="s">
        <v>2474</v>
      </c>
      <c r="G38" s="3101"/>
    </row>
    <row r="39" spans="1:7" ht="19.5" customHeight="1" thickBot="1">
      <c r="A39" s="3825"/>
      <c r="B39" s="3822"/>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6" t="s">
        <v>2609</v>
      </c>
      <c r="B41" s="3821" t="s">
        <v>2633</v>
      </c>
      <c r="C41" s="3098" t="s">
        <v>2478</v>
      </c>
      <c r="D41" s="3099"/>
      <c r="E41" s="3100">
        <v>1</v>
      </c>
      <c r="F41" s="3101" t="s">
        <v>2479</v>
      </c>
      <c r="G41" s="3101"/>
    </row>
    <row r="42" spans="1:7" ht="19.5" customHeight="1">
      <c r="A42" s="3827"/>
      <c r="B42" s="3820"/>
      <c r="C42" s="3102" t="s">
        <v>2480</v>
      </c>
      <c r="D42" s="3103"/>
      <c r="E42" s="3104">
        <v>1</v>
      </c>
      <c r="F42" s="3101" t="s">
        <v>2481</v>
      </c>
      <c r="G42" s="3101"/>
    </row>
    <row r="43" spans="1:7" ht="19.5" customHeight="1">
      <c r="A43" s="3827"/>
      <c r="B43" s="3819"/>
      <c r="C43" s="3102" t="s">
        <v>2482</v>
      </c>
      <c r="D43" s="3103"/>
      <c r="E43" s="3104">
        <v>1.5</v>
      </c>
      <c r="F43" s="3101" t="s">
        <v>2483</v>
      </c>
      <c r="G43" s="3101"/>
    </row>
    <row r="44" spans="1:7" ht="19.5" customHeight="1">
      <c r="A44" s="3827"/>
      <c r="B44" s="3113" t="s">
        <v>2634</v>
      </c>
      <c r="C44" s="3102" t="s">
        <v>2635</v>
      </c>
      <c r="D44" s="3103"/>
      <c r="E44" s="3104">
        <v>2</v>
      </c>
      <c r="F44" s="3101" t="s">
        <v>2484</v>
      </c>
      <c r="G44" s="3101"/>
    </row>
    <row r="45" spans="1:7" ht="19.5" customHeight="1">
      <c r="A45" s="3827"/>
      <c r="B45" s="3818" t="s">
        <v>2636</v>
      </c>
      <c r="C45" s="3102" t="s">
        <v>2485</v>
      </c>
      <c r="D45" s="3103"/>
      <c r="E45" s="3104">
        <v>1</v>
      </c>
      <c r="F45" s="3101" t="s">
        <v>2486</v>
      </c>
      <c r="G45" s="3101"/>
    </row>
    <row r="46" spans="1:7" ht="19.5" customHeight="1">
      <c r="A46" s="3827"/>
      <c r="B46" s="3820"/>
      <c r="C46" s="3102" t="s">
        <v>2487</v>
      </c>
      <c r="D46" s="3103"/>
      <c r="E46" s="3104">
        <v>1</v>
      </c>
      <c r="F46" s="3101" t="s">
        <v>2488</v>
      </c>
      <c r="G46" s="3101"/>
    </row>
    <row r="47" spans="1:7" ht="19.5" customHeight="1">
      <c r="A47" s="3827"/>
      <c r="B47" s="3820"/>
      <c r="C47" s="3102" t="s">
        <v>2489</v>
      </c>
      <c r="D47" s="3103"/>
      <c r="E47" s="3104">
        <v>1</v>
      </c>
      <c r="F47" s="3101" t="s">
        <v>2490</v>
      </c>
      <c r="G47" s="3101"/>
    </row>
    <row r="48" spans="1:7" ht="19.5" customHeight="1">
      <c r="A48" s="3827"/>
      <c r="B48" s="3820"/>
      <c r="C48" s="3102" t="s">
        <v>2491</v>
      </c>
      <c r="D48" s="3103"/>
      <c r="E48" s="3104">
        <v>1</v>
      </c>
      <c r="F48" s="3101" t="s">
        <v>2492</v>
      </c>
      <c r="G48" s="3101"/>
    </row>
    <row r="49" spans="1:7" ht="19.5" customHeight="1">
      <c r="A49" s="3827"/>
      <c r="B49" s="3820"/>
      <c r="C49" s="3102" t="s">
        <v>2493</v>
      </c>
      <c r="D49" s="3103"/>
      <c r="E49" s="3104">
        <v>1</v>
      </c>
      <c r="F49" s="3101" t="s">
        <v>2494</v>
      </c>
      <c r="G49" s="3101"/>
    </row>
    <row r="50" spans="1:7" ht="19.5" customHeight="1">
      <c r="A50" s="3827"/>
      <c r="B50" s="3820"/>
      <c r="C50" s="3102" t="s">
        <v>2495</v>
      </c>
      <c r="D50" s="3103"/>
      <c r="E50" s="3104">
        <v>1</v>
      </c>
      <c r="F50" s="3101" t="s">
        <v>2496</v>
      </c>
      <c r="G50" s="3101"/>
    </row>
    <row r="51" spans="1:7" ht="19.5" customHeight="1" thickBot="1">
      <c r="A51" s="3828"/>
      <c r="B51" s="3822"/>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8" t="s">
        <v>2650</v>
      </c>
      <c r="C73" s="3087" t="s">
        <v>2651</v>
      </c>
      <c r="D73" s="3087" t="s">
        <v>2652</v>
      </c>
      <c r="E73" s="3113">
        <v>0.2</v>
      </c>
      <c r="F73" s="3113">
        <v>25</v>
      </c>
    </row>
    <row r="74" spans="1:7" ht="24">
      <c r="A74" s="3113">
        <v>2</v>
      </c>
      <c r="B74" s="3820"/>
      <c r="C74" s="3087" t="s">
        <v>2653</v>
      </c>
      <c r="D74" s="3087" t="s">
        <v>2654</v>
      </c>
      <c r="E74" s="3113">
        <v>0.2</v>
      </c>
      <c r="F74" s="3113">
        <v>25</v>
      </c>
    </row>
    <row r="75" spans="1:7" ht="24">
      <c r="A75" s="3113">
        <v>3</v>
      </c>
      <c r="B75" s="3820"/>
      <c r="C75" s="3087" t="s">
        <v>2655</v>
      </c>
      <c r="D75" s="3087" t="s">
        <v>2656</v>
      </c>
      <c r="E75" s="3113">
        <v>0.2</v>
      </c>
      <c r="F75" s="3113">
        <v>25</v>
      </c>
    </row>
    <row r="76" spans="1:7" ht="13.5">
      <c r="A76" s="3113">
        <v>4</v>
      </c>
      <c r="B76" s="3820"/>
      <c r="C76" s="3087" t="s">
        <v>2657</v>
      </c>
      <c r="D76" s="3087" t="s">
        <v>2658</v>
      </c>
      <c r="E76" s="3113">
        <v>0.15</v>
      </c>
      <c r="F76" s="3113">
        <v>20</v>
      </c>
    </row>
    <row r="77" spans="1:7" ht="24">
      <c r="A77" s="3113">
        <v>5</v>
      </c>
      <c r="B77" s="3820"/>
      <c r="C77" s="3087" t="s">
        <v>2659</v>
      </c>
      <c r="D77" s="3087" t="s">
        <v>2660</v>
      </c>
      <c r="E77" s="3113">
        <v>0.15</v>
      </c>
      <c r="F77" s="3113">
        <v>20</v>
      </c>
    </row>
    <row r="78" spans="1:7" ht="24">
      <c r="A78" s="3113">
        <v>6</v>
      </c>
      <c r="B78" s="3820"/>
      <c r="C78" s="3087" t="s">
        <v>2661</v>
      </c>
      <c r="D78" s="3087" t="s">
        <v>2662</v>
      </c>
      <c r="E78" s="3113">
        <v>0.15</v>
      </c>
      <c r="F78" s="3113">
        <v>20</v>
      </c>
    </row>
    <row r="79" spans="1:7" ht="24">
      <c r="A79" s="3113">
        <v>7</v>
      </c>
      <c r="B79" s="3820"/>
      <c r="C79" s="3087" t="s">
        <v>2663</v>
      </c>
      <c r="D79" s="3087" t="s">
        <v>2664</v>
      </c>
      <c r="E79" s="3113">
        <v>0.15</v>
      </c>
      <c r="F79" s="3113">
        <v>20</v>
      </c>
    </row>
    <row r="80" spans="1:7" ht="24">
      <c r="A80" s="3113">
        <v>8</v>
      </c>
      <c r="B80" s="3820"/>
      <c r="C80" s="3087" t="s">
        <v>2665</v>
      </c>
      <c r="D80" s="3087" t="s">
        <v>2666</v>
      </c>
      <c r="E80" s="3113">
        <v>0.1</v>
      </c>
      <c r="F80" s="3113">
        <v>15</v>
      </c>
    </row>
    <row r="81" spans="1:6" ht="24">
      <c r="A81" s="3113">
        <v>9</v>
      </c>
      <c r="B81" s="3820"/>
      <c r="C81" s="3087" t="s">
        <v>2667</v>
      </c>
      <c r="D81" s="3087" t="s">
        <v>2668</v>
      </c>
      <c r="E81" s="3113">
        <v>0.1</v>
      </c>
      <c r="F81" s="3113">
        <v>15</v>
      </c>
    </row>
    <row r="82" spans="1:6" ht="24">
      <c r="A82" s="3113">
        <v>10</v>
      </c>
      <c r="B82" s="3820"/>
      <c r="C82" s="3087" t="s">
        <v>2669</v>
      </c>
      <c r="D82" s="3087" t="s">
        <v>2670</v>
      </c>
      <c r="E82" s="3113">
        <v>0.1</v>
      </c>
      <c r="F82" s="3113">
        <v>15</v>
      </c>
    </row>
    <row r="83" spans="1:6" ht="24">
      <c r="A83" s="3113">
        <v>11</v>
      </c>
      <c r="B83" s="3820"/>
      <c r="C83" s="3087" t="s">
        <v>2671</v>
      </c>
      <c r="D83" s="3087" t="s">
        <v>2672</v>
      </c>
      <c r="E83" s="3113">
        <v>0.1</v>
      </c>
      <c r="F83" s="3113">
        <v>15</v>
      </c>
    </row>
    <row r="84" spans="1:6" ht="24">
      <c r="A84" s="3113">
        <v>12</v>
      </c>
      <c r="B84" s="3820"/>
      <c r="C84" s="3087" t="s">
        <v>2673</v>
      </c>
      <c r="D84" s="3087" t="s">
        <v>2674</v>
      </c>
      <c r="E84" s="3113">
        <v>0.1</v>
      </c>
      <c r="F84" s="3113">
        <v>15</v>
      </c>
    </row>
    <row r="85" spans="1:6" ht="13.5">
      <c r="A85" s="3113">
        <v>13</v>
      </c>
      <c r="B85" s="3820"/>
      <c r="C85" s="3087" t="s">
        <v>2675</v>
      </c>
      <c r="D85" s="3087" t="s">
        <v>2676</v>
      </c>
      <c r="E85" s="3113">
        <v>0.1</v>
      </c>
      <c r="F85" s="3113">
        <v>15</v>
      </c>
    </row>
    <row r="86" spans="1:6" ht="13.5">
      <c r="A86" s="3113">
        <v>14</v>
      </c>
      <c r="B86" s="3820"/>
      <c r="C86" s="3087" t="s">
        <v>2677</v>
      </c>
      <c r="D86" s="3087" t="s">
        <v>2678</v>
      </c>
      <c r="E86" s="3113">
        <v>0.1</v>
      </c>
      <c r="F86" s="3113">
        <v>15</v>
      </c>
    </row>
    <row r="87" spans="1:6" ht="13.5">
      <c r="A87" s="3113">
        <v>15</v>
      </c>
      <c r="B87" s="3820"/>
      <c r="C87" s="3087" t="s">
        <v>2679</v>
      </c>
      <c r="D87" s="3087" t="s">
        <v>2680</v>
      </c>
      <c r="E87" s="3113">
        <v>0.1</v>
      </c>
      <c r="F87" s="3113">
        <v>15</v>
      </c>
    </row>
    <row r="88" spans="1:6" ht="24">
      <c r="A88" s="3113">
        <v>16</v>
      </c>
      <c r="B88" s="3820"/>
      <c r="C88" s="3087" t="s">
        <v>2681</v>
      </c>
      <c r="D88" s="3087" t="s">
        <v>2682</v>
      </c>
      <c r="E88" s="3113">
        <v>0.1</v>
      </c>
      <c r="F88" s="3113">
        <v>15</v>
      </c>
    </row>
    <row r="89" spans="1:6" ht="24">
      <c r="A89" s="3113">
        <v>17</v>
      </c>
      <c r="B89" s="3819"/>
      <c r="C89" s="3087" t="s">
        <v>2683</v>
      </c>
      <c r="D89" s="3087" t="s">
        <v>2684</v>
      </c>
      <c r="E89" s="3113">
        <v>0.1</v>
      </c>
      <c r="F89" s="3113">
        <v>15</v>
      </c>
    </row>
    <row r="90" spans="1:6" ht="13.5">
      <c r="A90" s="3113">
        <v>18</v>
      </c>
      <c r="B90" s="3818" t="s">
        <v>2685</v>
      </c>
      <c r="C90" s="3087" t="s">
        <v>2686</v>
      </c>
      <c r="D90" s="3087" t="s">
        <v>2687</v>
      </c>
      <c r="E90" s="3113">
        <v>0.2</v>
      </c>
      <c r="F90" s="3113">
        <v>25</v>
      </c>
    </row>
    <row r="91" spans="1:6" ht="24">
      <c r="A91" s="3113">
        <v>19</v>
      </c>
      <c r="B91" s="3820"/>
      <c r="C91" s="3087" t="s">
        <v>2688</v>
      </c>
      <c r="D91" s="3087" t="s">
        <v>2689</v>
      </c>
      <c r="E91" s="3113">
        <v>0.2</v>
      </c>
      <c r="F91" s="3113">
        <v>25</v>
      </c>
    </row>
    <row r="92" spans="1:6" ht="13.5">
      <c r="A92" s="3113">
        <v>20</v>
      </c>
      <c r="B92" s="3820"/>
      <c r="C92" s="3087" t="s">
        <v>2690</v>
      </c>
      <c r="D92" s="3087" t="s">
        <v>2691</v>
      </c>
      <c r="E92" s="3113">
        <v>0.15</v>
      </c>
      <c r="F92" s="3113">
        <v>20</v>
      </c>
    </row>
    <row r="93" spans="1:6" ht="13.5">
      <c r="A93" s="3113">
        <v>21</v>
      </c>
      <c r="B93" s="3820"/>
      <c r="C93" s="3087" t="s">
        <v>2692</v>
      </c>
      <c r="D93" s="3087" t="s">
        <v>2693</v>
      </c>
      <c r="E93" s="3113">
        <v>0.15</v>
      </c>
      <c r="F93" s="3113">
        <v>20</v>
      </c>
    </row>
    <row r="94" spans="1:6" ht="13.5">
      <c r="A94" s="3113">
        <v>22</v>
      </c>
      <c r="B94" s="3820"/>
      <c r="C94" s="3087" t="s">
        <v>2694</v>
      </c>
      <c r="D94" s="3087" t="s">
        <v>2695</v>
      </c>
      <c r="E94" s="3113">
        <v>0.15</v>
      </c>
      <c r="F94" s="3113">
        <v>20</v>
      </c>
    </row>
    <row r="95" spans="1:6" ht="36">
      <c r="A95" s="3113">
        <v>23</v>
      </c>
      <c r="B95" s="3820"/>
      <c r="C95" s="3087" t="s">
        <v>2696</v>
      </c>
      <c r="D95" s="3087" t="s">
        <v>2697</v>
      </c>
      <c r="E95" s="3113">
        <v>0.15</v>
      </c>
      <c r="F95" s="3113">
        <v>20</v>
      </c>
    </row>
    <row r="96" spans="1:6" ht="13.5">
      <c r="A96" s="3113">
        <v>24</v>
      </c>
      <c r="B96" s="3820"/>
      <c r="C96" s="3087" t="s">
        <v>2698</v>
      </c>
      <c r="D96" s="3087" t="s">
        <v>2699</v>
      </c>
      <c r="E96" s="3113">
        <v>0.1</v>
      </c>
      <c r="F96" s="3113">
        <v>15</v>
      </c>
    </row>
    <row r="97" spans="1:6" ht="13.5">
      <c r="A97" s="3113">
        <v>25</v>
      </c>
      <c r="B97" s="3820"/>
      <c r="C97" s="3087" t="s">
        <v>2700</v>
      </c>
      <c r="D97" s="3087" t="s">
        <v>2701</v>
      </c>
      <c r="E97" s="3113">
        <v>0.1</v>
      </c>
      <c r="F97" s="3113">
        <v>15</v>
      </c>
    </row>
    <row r="98" spans="1:6" ht="24">
      <c r="A98" s="3113">
        <v>26</v>
      </c>
      <c r="B98" s="3820"/>
      <c r="C98" s="3087" t="s">
        <v>2702</v>
      </c>
      <c r="D98" s="3087" t="s">
        <v>2703</v>
      </c>
      <c r="E98" s="3113">
        <v>0.1</v>
      </c>
      <c r="F98" s="3113">
        <v>15</v>
      </c>
    </row>
    <row r="99" spans="1:6" ht="24">
      <c r="A99" s="3113">
        <v>27</v>
      </c>
      <c r="B99" s="3820"/>
      <c r="C99" s="3087" t="s">
        <v>2704</v>
      </c>
      <c r="D99" s="3087" t="s">
        <v>2705</v>
      </c>
      <c r="E99" s="3113">
        <v>0.1</v>
      </c>
      <c r="F99" s="3113">
        <v>15</v>
      </c>
    </row>
    <row r="100" spans="1:6" ht="13.5">
      <c r="A100" s="3113">
        <v>28</v>
      </c>
      <c r="B100" s="3820"/>
      <c r="C100" s="3087" t="s">
        <v>2706</v>
      </c>
      <c r="D100" s="3087" t="s">
        <v>2707</v>
      </c>
      <c r="E100" s="3113">
        <v>0.1</v>
      </c>
      <c r="F100" s="3113">
        <v>15</v>
      </c>
    </row>
    <row r="101" spans="1:6" ht="13.5">
      <c r="A101" s="3113">
        <v>29</v>
      </c>
      <c r="B101" s="3820"/>
      <c r="C101" s="3087" t="s">
        <v>2708</v>
      </c>
      <c r="D101" s="3087" t="s">
        <v>2709</v>
      </c>
      <c r="E101" s="3113">
        <v>0.1</v>
      </c>
      <c r="F101" s="3113">
        <v>15</v>
      </c>
    </row>
    <row r="102" spans="1:6" ht="13.5">
      <c r="A102" s="3113">
        <v>30</v>
      </c>
      <c r="B102" s="3820"/>
      <c r="C102" s="3087" t="s">
        <v>2710</v>
      </c>
      <c r="D102" s="3087" t="s">
        <v>2711</v>
      </c>
      <c r="E102" s="3113">
        <v>0.1</v>
      </c>
      <c r="F102" s="3113">
        <v>15</v>
      </c>
    </row>
    <row r="103" spans="1:6" ht="24">
      <c r="A103" s="3113">
        <v>31</v>
      </c>
      <c r="B103" s="3820"/>
      <c r="C103" s="3087" t="s">
        <v>2712</v>
      </c>
      <c r="D103" s="3087" t="s">
        <v>2713</v>
      </c>
      <c r="E103" s="3113">
        <v>0.1</v>
      </c>
      <c r="F103" s="3113">
        <v>15</v>
      </c>
    </row>
    <row r="104" spans="1:6" ht="24">
      <c r="A104" s="3113">
        <v>32</v>
      </c>
      <c r="B104" s="3820"/>
      <c r="C104" s="3087" t="s">
        <v>2714</v>
      </c>
      <c r="D104" s="3087" t="s">
        <v>2715</v>
      </c>
      <c r="E104" s="3113">
        <v>0.1</v>
      </c>
      <c r="F104" s="3113">
        <v>15</v>
      </c>
    </row>
    <row r="105" spans="1:6" ht="24">
      <c r="A105" s="3113">
        <v>33</v>
      </c>
      <c r="B105" s="3820"/>
      <c r="C105" s="3087" t="s">
        <v>2716</v>
      </c>
      <c r="D105" s="3087" t="s">
        <v>2717</v>
      </c>
      <c r="E105" s="3113">
        <v>0.1</v>
      </c>
      <c r="F105" s="3113">
        <v>15</v>
      </c>
    </row>
    <row r="106" spans="1:6" ht="24">
      <c r="A106" s="3113">
        <v>34</v>
      </c>
      <c r="B106" s="3819"/>
      <c r="C106" s="3087" t="s">
        <v>2718</v>
      </c>
      <c r="D106" s="3087" t="s">
        <v>2719</v>
      </c>
      <c r="E106" s="3113">
        <v>0.1</v>
      </c>
      <c r="F106" s="3113">
        <v>15</v>
      </c>
    </row>
    <row r="107" spans="1:6" ht="24">
      <c r="A107" s="3113">
        <v>35</v>
      </c>
      <c r="B107" s="3818" t="s">
        <v>2720</v>
      </c>
      <c r="C107" s="3113" t="s">
        <v>2721</v>
      </c>
      <c r="D107" s="3087" t="s">
        <v>2722</v>
      </c>
      <c r="E107" s="3113">
        <v>0.15</v>
      </c>
      <c r="F107" s="3113">
        <v>20</v>
      </c>
    </row>
    <row r="108" spans="1:6" ht="13.5">
      <c r="A108" s="3113">
        <v>36</v>
      </c>
      <c r="B108" s="3820"/>
      <c r="C108" s="3113" t="s">
        <v>2723</v>
      </c>
      <c r="D108" s="3087" t="s">
        <v>2724</v>
      </c>
      <c r="E108" s="3113">
        <v>0.15</v>
      </c>
      <c r="F108" s="3113">
        <v>20</v>
      </c>
    </row>
    <row r="109" spans="1:6" ht="13.5">
      <c r="A109" s="3113">
        <v>37</v>
      </c>
      <c r="B109" s="3820"/>
      <c r="C109" s="3113" t="s">
        <v>2725</v>
      </c>
      <c r="D109" s="3087" t="s">
        <v>2726</v>
      </c>
      <c r="E109" s="3113">
        <v>0.15</v>
      </c>
      <c r="F109" s="3113">
        <v>20</v>
      </c>
    </row>
    <row r="110" spans="1:6" ht="13.5">
      <c r="A110" s="3113">
        <v>38</v>
      </c>
      <c r="B110" s="3820"/>
      <c r="C110" s="3113" t="s">
        <v>2727</v>
      </c>
      <c r="D110" s="3087" t="s">
        <v>2728</v>
      </c>
      <c r="E110" s="3113">
        <v>0.1</v>
      </c>
      <c r="F110" s="3113">
        <v>15</v>
      </c>
    </row>
    <row r="111" spans="1:6" ht="24">
      <c r="A111" s="3113">
        <v>39</v>
      </c>
      <c r="B111" s="3820"/>
      <c r="C111" s="3113" t="s">
        <v>2729</v>
      </c>
      <c r="D111" s="3087" t="s">
        <v>2730</v>
      </c>
      <c r="E111" s="3113">
        <v>0.1</v>
      </c>
      <c r="F111" s="3113">
        <v>15</v>
      </c>
    </row>
    <row r="112" spans="1:6" ht="24">
      <c r="A112" s="3113">
        <v>40</v>
      </c>
      <c r="B112" s="3819"/>
      <c r="C112" s="3113" t="s">
        <v>2731</v>
      </c>
      <c r="D112" s="3087" t="s">
        <v>2732</v>
      </c>
      <c r="E112" s="3113">
        <v>0.1</v>
      </c>
      <c r="F112" s="3113">
        <v>15</v>
      </c>
    </row>
    <row r="113" spans="1:6" ht="13.5">
      <c r="A113" s="3113">
        <v>41</v>
      </c>
      <c r="B113" s="3817" t="s">
        <v>2733</v>
      </c>
      <c r="C113" s="3113" t="s">
        <v>2734</v>
      </c>
      <c r="D113" s="3087" t="s">
        <v>2735</v>
      </c>
      <c r="E113" s="3113">
        <v>0.1</v>
      </c>
      <c r="F113" s="3113">
        <v>15</v>
      </c>
    </row>
    <row r="114" spans="1:6" ht="13.5">
      <c r="A114" s="3113">
        <v>42</v>
      </c>
      <c r="B114" s="3817"/>
      <c r="C114" s="3113" t="s">
        <v>2736</v>
      </c>
      <c r="D114" s="3087" t="s">
        <v>2737</v>
      </c>
      <c r="E114" s="3113">
        <v>0.1</v>
      </c>
      <c r="F114" s="3113">
        <v>15</v>
      </c>
    </row>
    <row r="115" spans="1:6" ht="24">
      <c r="A115" s="3113">
        <v>43</v>
      </c>
      <c r="B115" s="3817"/>
      <c r="C115" s="3113" t="s">
        <v>2738</v>
      </c>
      <c r="D115" s="3087" t="s">
        <v>2739</v>
      </c>
      <c r="E115" s="3113">
        <v>0.1</v>
      </c>
      <c r="F115" s="3113">
        <v>15</v>
      </c>
    </row>
    <row r="116" spans="1:6" ht="13.5">
      <c r="A116" s="3113">
        <v>44</v>
      </c>
      <c r="B116" s="3818" t="s">
        <v>2740</v>
      </c>
      <c r="C116" s="3113" t="s">
        <v>2741</v>
      </c>
      <c r="D116" s="3087" t="s">
        <v>2742</v>
      </c>
      <c r="E116" s="3113">
        <v>0.1</v>
      </c>
      <c r="F116" s="3113">
        <v>15</v>
      </c>
    </row>
    <row r="117" spans="1:6" ht="24">
      <c r="A117" s="3113">
        <v>45</v>
      </c>
      <c r="B117" s="3819"/>
      <c r="C117" s="3087" t="s">
        <v>2743</v>
      </c>
      <c r="D117" s="3087" t="s">
        <v>2744</v>
      </c>
      <c r="E117" s="3113">
        <v>0.1</v>
      </c>
      <c r="F117" s="3113">
        <v>15</v>
      </c>
    </row>
    <row r="118" spans="1:6" ht="24">
      <c r="A118" s="3113">
        <v>46</v>
      </c>
      <c r="B118" s="3818" t="s">
        <v>2745</v>
      </c>
      <c r="C118" s="3113" t="s">
        <v>2746</v>
      </c>
      <c r="D118" s="3087" t="s">
        <v>2747</v>
      </c>
      <c r="E118" s="3113">
        <v>0.1</v>
      </c>
      <c r="F118" s="3113">
        <v>15</v>
      </c>
    </row>
    <row r="119" spans="1:6" ht="24">
      <c r="A119" s="3113">
        <v>47</v>
      </c>
      <c r="B119" s="3819"/>
      <c r="C119" s="3113" t="s">
        <v>2748</v>
      </c>
      <c r="D119" s="3087" t="s">
        <v>2749</v>
      </c>
      <c r="E119" s="3113">
        <v>0.1</v>
      </c>
      <c r="F119" s="3113">
        <v>15</v>
      </c>
    </row>
    <row r="120" spans="1:6" ht="13.5">
      <c r="A120" s="3113">
        <v>48</v>
      </c>
      <c r="B120" s="3818" t="s">
        <v>2750</v>
      </c>
      <c r="C120" s="3113" t="s">
        <v>2751</v>
      </c>
      <c r="D120" s="3087" t="s">
        <v>2752</v>
      </c>
      <c r="E120" s="3113">
        <v>0.1</v>
      </c>
      <c r="F120" s="3113">
        <v>15</v>
      </c>
    </row>
    <row r="121" spans="1:6" ht="13.5">
      <c r="A121" s="3113">
        <v>49</v>
      </c>
      <c r="B121" s="3819"/>
      <c r="C121" s="3113" t="s">
        <v>2753</v>
      </c>
      <c r="D121" s="3087" t="s">
        <v>2754</v>
      </c>
      <c r="E121" s="3113">
        <v>0.1</v>
      </c>
      <c r="F121" s="3113">
        <v>15</v>
      </c>
    </row>
    <row r="122" spans="1:6" ht="24">
      <c r="A122" s="3113">
        <v>50</v>
      </c>
      <c r="B122" s="3817" t="s">
        <v>2755</v>
      </c>
      <c r="C122" s="3113" t="s">
        <v>2756</v>
      </c>
      <c r="D122" s="3087" t="s">
        <v>2757</v>
      </c>
      <c r="E122" s="3113">
        <v>0.1</v>
      </c>
      <c r="F122" s="3113">
        <v>15</v>
      </c>
    </row>
    <row r="123" spans="1:6" ht="24">
      <c r="A123" s="3113">
        <v>51</v>
      </c>
      <c r="B123" s="3817"/>
      <c r="C123" s="3113" t="s">
        <v>2758</v>
      </c>
      <c r="D123" s="3087" t="s">
        <v>2759</v>
      </c>
      <c r="E123" s="3113">
        <v>0.1</v>
      </c>
      <c r="F123" s="3113">
        <v>15</v>
      </c>
    </row>
    <row r="124" spans="1:6" ht="24">
      <c r="A124" s="3113">
        <v>52</v>
      </c>
      <c r="B124" s="3817" t="s">
        <v>2760</v>
      </c>
      <c r="C124" s="3113" t="s">
        <v>2761</v>
      </c>
      <c r="D124" s="3087" t="s">
        <v>2762</v>
      </c>
      <c r="E124" s="3113">
        <v>0.1</v>
      </c>
      <c r="F124" s="3113">
        <v>15</v>
      </c>
    </row>
    <row r="125" spans="1:6" ht="24">
      <c r="A125" s="3113">
        <v>53</v>
      </c>
      <c r="B125" s="3817"/>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7" t="s">
        <v>2768</v>
      </c>
      <c r="C127" s="3113" t="s">
        <v>2769</v>
      </c>
      <c r="D127" s="3087" t="s">
        <v>2770</v>
      </c>
      <c r="E127" s="3113">
        <v>0.1</v>
      </c>
      <c r="F127" s="3113">
        <v>15</v>
      </c>
    </row>
    <row r="128" spans="1:6" ht="13.5">
      <c r="A128" s="3113">
        <v>56</v>
      </c>
      <c r="B128" s="3817"/>
      <c r="C128" s="3113" t="s">
        <v>2771</v>
      </c>
      <c r="D128" s="3087" t="s">
        <v>2772</v>
      </c>
      <c r="E128" s="3113">
        <v>0.1</v>
      </c>
      <c r="F128" s="3113">
        <v>15</v>
      </c>
    </row>
    <row r="129" spans="1:6" ht="24">
      <c r="A129" s="3113">
        <v>57</v>
      </c>
      <c r="B129" s="3817"/>
      <c r="C129" s="3113" t="s">
        <v>2773</v>
      </c>
      <c r="D129" s="3087" t="s">
        <v>2774</v>
      </c>
      <c r="E129" s="3113">
        <v>0.1</v>
      </c>
      <c r="F129" s="3113">
        <v>15</v>
      </c>
    </row>
    <row r="130" spans="1:6" ht="24">
      <c r="A130" s="3113">
        <v>58</v>
      </c>
      <c r="B130" s="3817" t="s">
        <v>2775</v>
      </c>
      <c r="C130" s="3113" t="s">
        <v>2776</v>
      </c>
      <c r="D130" s="3087" t="s">
        <v>2777</v>
      </c>
      <c r="E130" s="3113">
        <v>0.1</v>
      </c>
      <c r="F130" s="3113">
        <v>15</v>
      </c>
    </row>
    <row r="131" spans="1:6" ht="13.5">
      <c r="A131" s="3113">
        <v>59</v>
      </c>
      <c r="B131" s="3817"/>
      <c r="C131" s="3113" t="s">
        <v>2778</v>
      </c>
      <c r="D131" s="3087" t="s">
        <v>2779</v>
      </c>
      <c r="E131" s="3113">
        <v>0.1</v>
      </c>
      <c r="F131" s="3113">
        <v>15</v>
      </c>
    </row>
    <row r="132" spans="1:6" ht="13.5">
      <c r="A132" s="3113">
        <v>60</v>
      </c>
      <c r="B132" s="3818" t="s">
        <v>2780</v>
      </c>
      <c r="C132" s="3113" t="s">
        <v>2781</v>
      </c>
      <c r="D132" s="3087" t="s">
        <v>2782</v>
      </c>
      <c r="E132" s="3113">
        <v>0.1</v>
      </c>
      <c r="F132" s="3113">
        <v>15</v>
      </c>
    </row>
    <row r="133" spans="1:6" ht="13.5">
      <c r="A133" s="3113">
        <v>61</v>
      </c>
      <c r="B133" s="3819"/>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7" t="s">
        <v>2788</v>
      </c>
      <c r="C135" s="3113" t="s">
        <v>2789</v>
      </c>
      <c r="D135" s="3087" t="s">
        <v>2790</v>
      </c>
      <c r="E135" s="3113">
        <v>0.1</v>
      </c>
      <c r="F135" s="3113">
        <v>15</v>
      </c>
    </row>
    <row r="136" spans="1:6" ht="13.5">
      <c r="A136" s="3113">
        <v>64</v>
      </c>
      <c r="B136" s="3817"/>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490"/>
      <c r="B4" s="3510" t="s">
        <v>917</v>
      </c>
      <c r="C4" s="3510"/>
      <c r="D4" s="3510"/>
      <c r="E4" s="1490"/>
    </row>
    <row r="5" spans="1:5" ht="16.5" thickTop="1">
      <c r="A5" s="1488"/>
      <c r="B5" s="3508" t="s">
        <v>909</v>
      </c>
      <c r="C5" s="1491" t="s">
        <v>910</v>
      </c>
      <c r="D5" s="847" t="e">
        <f ca="1">结果表!H101</f>
        <v>#REF!</v>
      </c>
      <c r="E5" s="1488"/>
    </row>
    <row r="6" spans="1:5" ht="15.75">
      <c r="A6" s="1488"/>
      <c r="B6" s="3508"/>
      <c r="C6" s="1491" t="s">
        <v>911</v>
      </c>
      <c r="D6" s="847" t="e">
        <f ca="1">NUMBERSTRING(INT(D5*10000),2)&amp;"元整"</f>
        <v>#REF!</v>
      </c>
      <c r="E6" s="1488"/>
    </row>
    <row r="7" spans="1:5" ht="15.75">
      <c r="A7" s="1488"/>
      <c r="B7" s="3513"/>
      <c r="C7" s="1492" t="s">
        <v>912</v>
      </c>
      <c r="D7" s="848" t="e">
        <f ca="1">结果表!H102</f>
        <v>#REF!</v>
      </c>
      <c r="E7" s="1488"/>
    </row>
    <row r="8" spans="1:5" ht="15.75">
      <c r="A8" s="1488"/>
      <c r="B8" s="3514" t="str">
        <f>结果表!E103</f>
        <v>2.估价师知悉的法定优先受偿款</v>
      </c>
      <c r="C8" s="1493" t="s">
        <v>913</v>
      </c>
      <c r="D8" s="848">
        <f>结果表!H103</f>
        <v>0</v>
      </c>
      <c r="E8" s="1488"/>
    </row>
    <row r="9" spans="1:5" ht="15.75">
      <c r="A9" s="1488"/>
      <c r="B9" s="3516"/>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7" t="str">
        <f>结果表!E107</f>
        <v>3.房地产抵押价值</v>
      </c>
      <c r="C13" s="1496" t="s">
        <v>910</v>
      </c>
      <c r="D13" s="850" t="e">
        <f ca="1">结果表!H107</f>
        <v>#REF!</v>
      </c>
      <c r="E13" s="1488"/>
    </row>
    <row r="14" spans="1:5" ht="15.75">
      <c r="A14" s="1488"/>
      <c r="B14" s="3508"/>
      <c r="C14" s="1491" t="s">
        <v>911</v>
      </c>
      <c r="D14" s="847" t="e">
        <f ca="1">NUMBERSTRING(INT(D13*10000),2)&amp;"元整"</f>
        <v>#REF!</v>
      </c>
      <c r="E14" s="1488"/>
    </row>
    <row r="15" spans="1:5" ht="15">
      <c r="A15" s="1488"/>
      <c r="B15" s="3513"/>
      <c r="C15" s="1492" t="s">
        <v>921</v>
      </c>
      <c r="D15" s="856" t="e">
        <f ca="1">结果表!H108</f>
        <v>#REF!</v>
      </c>
      <c r="E15" s="1488"/>
    </row>
    <row r="16" spans="1:5" ht="15">
      <c r="A16" s="1488"/>
      <c r="B16" s="3514" t="str">
        <f>结果表!E109</f>
        <v>——</v>
      </c>
      <c r="C16" s="1496" t="s">
        <v>922</v>
      </c>
      <c r="D16" s="1497" t="str">
        <f>结果表!H109</f>
        <v>——</v>
      </c>
      <c r="E16" s="1488"/>
    </row>
    <row r="17" spans="1:5" ht="15.75">
      <c r="A17" s="1488"/>
      <c r="B17" s="3515"/>
      <c r="C17" s="1491" t="s">
        <v>923</v>
      </c>
      <c r="D17" s="847" t="e">
        <f>NUMBERSTRING(INT(D16*10000),2)&amp;"元整"</f>
        <v>#VALUE!</v>
      </c>
      <c r="E17" s="1488"/>
    </row>
    <row r="18" spans="1:5" ht="15">
      <c r="A18" s="1488"/>
      <c r="B18" s="3516"/>
      <c r="C18" s="1492" t="s">
        <v>912</v>
      </c>
      <c r="D18" s="856" t="str">
        <f>结果表!H110</f>
        <v>——</v>
      </c>
      <c r="E18" s="1488"/>
    </row>
    <row r="19" spans="1:5" ht="15.75">
      <c r="A19" s="1488"/>
      <c r="B19" s="3507" t="str">
        <f>结果表!E111</f>
        <v>——</v>
      </c>
      <c r="C19" s="1496" t="s">
        <v>910</v>
      </c>
      <c r="D19" s="848" t="str">
        <f>结果表!H111</f>
        <v>——</v>
      </c>
      <c r="E19" s="1488"/>
    </row>
    <row r="20" spans="1:5" ht="15.75">
      <c r="A20" s="1488"/>
      <c r="B20" s="3508"/>
      <c r="C20" s="1491" t="s">
        <v>923</v>
      </c>
      <c r="D20" s="847" t="e">
        <f>NUMBERSTRING(INT(D19*10000),2)&amp;"元整"</f>
        <v>#VALUE!</v>
      </c>
      <c r="E20" s="1488"/>
    </row>
    <row r="21" spans="1:5" ht="15.75" thickBot="1">
      <c r="A21" s="1488"/>
      <c r="B21" s="3509"/>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29749</v>
      </c>
      <c r="C2" s="2" t="s">
        <v>106</v>
      </c>
      <c r="D2" s="199"/>
      <c r="E2" s="199"/>
      <c r="F2" s="199"/>
      <c r="G2" s="199"/>
    </row>
    <row r="3" spans="1:7" s="200" customFormat="1" ht="18" customHeight="1" thickBot="1">
      <c r="A3" s="203" t="s">
        <v>58</v>
      </c>
      <c r="B3" s="204">
        <f ca="1">ROUND(B2*10000/'数据-汇总表'!E3,0)</f>
        <v>482242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2297</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22</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14</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17</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17</v>
      </c>
      <c r="D42" s="238"/>
      <c r="E42" s="238"/>
      <c r="F42" s="239"/>
      <c r="G42" s="3691" t="s">
        <v>94</v>
      </c>
    </row>
    <row r="43" spans="1:7" ht="13.5" customHeight="1">
      <c r="A43" s="777" t="s">
        <v>347</v>
      </c>
      <c r="B43" s="215" t="s">
        <v>426</v>
      </c>
      <c r="C43" s="238">
        <f ca="1">ROUND(IF('数据-取费表'!B22&lt;=1,C39*F22*'数据-取费表'!B21/2,C39*(POWER((1+F22),'数据-取费表'!B21/2)-1)),0)</f>
        <v>0</v>
      </c>
      <c r="D43" s="238"/>
      <c r="E43" s="238"/>
      <c r="F43" s="239"/>
      <c r="G43" s="3692"/>
    </row>
    <row r="44" spans="1:7" ht="13.5" customHeight="1">
      <c r="A44" s="777" t="s">
        <v>348</v>
      </c>
      <c r="B44" s="215" t="s">
        <v>428</v>
      </c>
      <c r="C44" s="238">
        <f ca="1">ROUND(IF('数据-取费表'!B22&lt;=1,C40*F22*'数据-取费表'!B21/2,C40*(POWER((1+F22),'数据-取费表'!B21/2)-1)),4)</f>
        <v>1.1000000000000001E-3</v>
      </c>
      <c r="D44" s="238"/>
      <c r="E44" s="238"/>
      <c r="F44" s="239"/>
      <c r="G44" s="3693"/>
    </row>
    <row r="45" spans="1:7" s="214" customFormat="1" ht="13.5" customHeight="1">
      <c r="A45" s="774" t="s">
        <v>341</v>
      </c>
      <c r="B45" s="244" t="s">
        <v>85</v>
      </c>
      <c r="C45" s="245">
        <f>C46</f>
        <v>57</v>
      </c>
      <c r="D45" s="235">
        <f>C47</f>
        <v>3.5999999999999999E-3</v>
      </c>
      <c r="E45" s="236" t="s">
        <v>102</v>
      </c>
      <c r="F45" s="246"/>
      <c r="G45" s="247" t="s">
        <v>434</v>
      </c>
    </row>
    <row r="46" spans="1:7" s="214" customFormat="1" ht="13.5" customHeight="1">
      <c r="A46" s="777" t="s">
        <v>349</v>
      </c>
      <c r="B46" s="248" t="s">
        <v>427</v>
      </c>
      <c r="C46" s="249">
        <f>ROUND((C33+C39)*F27,0)</f>
        <v>57</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421</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337</v>
      </c>
      <c r="D51" s="232"/>
      <c r="E51" s="232"/>
      <c r="F51" s="264"/>
      <c r="G51" s="234" t="s">
        <v>37</v>
      </c>
    </row>
    <row r="52" spans="1:7" s="208" customFormat="1" ht="16.5" thickBot="1">
      <c r="A52" s="265" t="s">
        <v>38</v>
      </c>
      <c r="B52" s="266"/>
      <c r="C52" s="267">
        <f ca="1">C31+C51</f>
        <v>29749</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3507</v>
      </c>
      <c r="D148" s="3477">
        <v>212.13</v>
      </c>
      <c r="E148" s="3477">
        <v>74955</v>
      </c>
    </row>
    <row r="149" spans="3:5">
      <c r="C149" s="3492" t="s">
        <v>3508</v>
      </c>
      <c r="D149" s="3477">
        <v>66.87</v>
      </c>
      <c r="E149" s="3477">
        <v>77763</v>
      </c>
    </row>
    <row r="150" spans="3:5">
      <c r="C150" s="3492" t="s">
        <v>3509</v>
      </c>
      <c r="D150" s="3477">
        <v>286.86</v>
      </c>
      <c r="E150" s="3477">
        <v>83665</v>
      </c>
    </row>
    <row r="153" spans="3:5">
      <c r="C153" s="3492" t="s">
        <v>3510</v>
      </c>
    </row>
    <row r="154" spans="3:5">
      <c r="C154" s="3492" t="s">
        <v>3511</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20.6</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1960.6797999999999</v>
      </c>
      <c r="C2" s="1384" t="s">
        <v>805</v>
      </c>
      <c r="D2" s="1468">
        <f ca="1">C40+J29+L46</f>
        <v>19606798</v>
      </c>
      <c r="E2" s="1385" t="s">
        <v>880</v>
      </c>
      <c r="F2" s="1386"/>
      <c r="G2" s="2701"/>
      <c r="H2" s="2690"/>
      <c r="I2" s="2690"/>
      <c r="J2" s="2690"/>
      <c r="K2" s="2691"/>
      <c r="L2" s="2690"/>
      <c r="M2" s="2690"/>
    </row>
    <row r="3" spans="1:37" ht="18" customHeight="1" thickBot="1">
      <c r="A3" s="1387" t="s">
        <v>806</v>
      </c>
      <c r="B3" s="1388">
        <f ca="1">IF(ISERROR(D2/F43),0,ROUND(D2/F43,0))</f>
        <v>47735</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48" t="s">
        <v>694</v>
      </c>
      <c r="C6" s="1071">
        <f ca="1">ROUND(F6*F8*F7*(1-F9),0)</f>
        <v>1754065</v>
      </c>
      <c r="D6" s="155" t="s">
        <v>2105</v>
      </c>
      <c r="E6" s="302" t="s">
        <v>696</v>
      </c>
      <c r="F6" s="303">
        <f ca="1">INDIRECT("'数据-取费表'!u"&amp;$G$1)</f>
        <v>13</v>
      </c>
      <c r="G6" s="1381"/>
      <c r="H6" s="1066" t="s">
        <v>398</v>
      </c>
      <c r="I6" s="3748" t="s">
        <v>694</v>
      </c>
      <c r="J6" s="301">
        <f ca="1">ROUND(M6*M8*M7*(1-M9),0)</f>
        <v>0</v>
      </c>
      <c r="K6" s="1373" t="s">
        <v>2106</v>
      </c>
      <c r="L6" s="302" t="s">
        <v>696</v>
      </c>
      <c r="M6" s="303">
        <f ca="1">INDIRECT("'数据-取费表'!z"&amp;$G$1)</f>
        <v>0</v>
      </c>
    </row>
    <row r="7" spans="1:37" ht="18" customHeight="1">
      <c r="A7" s="1070"/>
      <c r="B7" s="3749"/>
      <c r="C7" s="1072"/>
      <c r="D7" s="307"/>
      <c r="E7" s="3450" t="s">
        <v>697</v>
      </c>
      <c r="F7" s="303">
        <f ca="1">IF(INDIRECT("'数据-取费表'!ah"&amp;$G$1)="",INDIRECT("'数据-取费表'!k"&amp;$G$1),INDIRECT("'数据-取费表'!ah"&amp;$G$1))</f>
        <v>410.74</v>
      </c>
      <c r="G7" s="1381"/>
      <c r="H7" s="304"/>
      <c r="I7" s="3749"/>
      <c r="J7" s="306"/>
      <c r="K7" s="307"/>
      <c r="L7" s="302" t="s">
        <v>697</v>
      </c>
      <c r="M7" s="303">
        <f ca="1">F7</f>
        <v>410.74</v>
      </c>
    </row>
    <row r="8" spans="1:37" ht="18" customHeight="1">
      <c r="A8" s="304"/>
      <c r="B8" s="3749"/>
      <c r="C8" s="306"/>
      <c r="D8" s="307"/>
      <c r="E8" s="302" t="s">
        <v>698</v>
      </c>
      <c r="F8" s="303">
        <f ca="1">INDIRECT("'数据-取费表'!ai"&amp;$G$1)</f>
        <v>365</v>
      </c>
      <c r="G8" s="1381"/>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2276319</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2845399</v>
      </c>
      <c r="K14" s="3449"/>
      <c r="L14" s="804"/>
      <c r="M14" s="805"/>
    </row>
    <row r="15" spans="1:37" s="1394" customFormat="1" ht="18" customHeight="1" thickBot="1">
      <c r="A15" s="979" t="s">
        <v>399</v>
      </c>
      <c r="B15" s="302" t="s">
        <v>710</v>
      </c>
      <c r="C15" s="21">
        <f ca="1">ROUND(C14*F15,0)</f>
        <v>92417</v>
      </c>
      <c r="D15" s="3447" t="s">
        <v>711</v>
      </c>
      <c r="E15" s="3447"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29565</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2050620</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41012</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28454</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112362</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-29565</v>
      </c>
      <c r="K25" s="1092" t="s">
        <v>753</v>
      </c>
      <c r="L25" s="1093"/>
      <c r="M25" s="1094"/>
    </row>
    <row r="26" spans="1:37" ht="18" customHeight="1">
      <c r="A26" s="979" t="s">
        <v>397</v>
      </c>
      <c r="B26" s="302" t="s">
        <v>754</v>
      </c>
      <c r="C26" s="21">
        <f ca="1">ROUND((C19+C20)*F26,0)</f>
        <v>418326</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2845399</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344557</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28454</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3414</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1411701</v>
      </c>
      <c r="D39" s="1092" t="s">
        <v>753</v>
      </c>
      <c r="E39" s="1093"/>
      <c r="F39" s="1094"/>
      <c r="G39" s="1381"/>
      <c r="H39" s="2695"/>
      <c r="I39" s="1395">
        <f ca="1">C39/C5</f>
        <v>0.80381185452251325</v>
      </c>
      <c r="J39" s="1396"/>
      <c r="K39" s="2699"/>
      <c r="L39" s="2695"/>
      <c r="M39" s="2695"/>
    </row>
    <row r="40" spans="1:18" ht="18" customHeight="1">
      <c r="A40" s="299" t="s">
        <v>395</v>
      </c>
      <c r="B40" s="300" t="s">
        <v>774</v>
      </c>
      <c r="C40" s="301">
        <f ca="1">ROUND(C39*(1-((1+F42)/(1+F40))^F41)/(F40-F42),0)</f>
        <v>19313678</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47022</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-1969.7833000000001</v>
      </c>
      <c r="D45" s="3427" t="s">
        <v>3354</v>
      </c>
      <c r="E45" s="1397"/>
      <c r="F45" s="1397"/>
      <c r="O45" s="1400" t="s">
        <v>808</v>
      </c>
      <c r="P45" s="1458"/>
      <c r="Q45" s="1458"/>
      <c r="R45" s="1458"/>
    </row>
    <row r="46" spans="1:18" s="1381" customFormat="1" ht="13.5" thickBot="1">
      <c r="A46" s="1401" t="s">
        <v>809</v>
      </c>
      <c r="C46" s="1402">
        <f ca="1">ROUND(C45,0)</f>
        <v>-1970</v>
      </c>
      <c r="D46" s="1403" t="str">
        <f>C2</f>
        <v>万元</v>
      </c>
      <c r="I46" s="1404" t="s">
        <v>810</v>
      </c>
      <c r="J46" s="1405"/>
      <c r="K46" s="1406"/>
      <c r="L46" s="1407">
        <f ca="1">IF(M47="住宅",0,IF(L48&gt;J51,L60,J60))</f>
        <v>293120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19313678</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20.6</v>
      </c>
      <c r="O48" s="1415" t="s">
        <v>404</v>
      </c>
      <c r="P48" s="1416" t="s">
        <v>821</v>
      </c>
      <c r="Q48" s="1417">
        <f ca="1">J60</f>
        <v>293120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2845399</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22639085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20.6</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20.6</v>
      </c>
      <c r="K53" s="3746" t="s">
        <v>837</v>
      </c>
      <c r="L53" s="3747"/>
      <c r="O53" s="1415" t="s">
        <v>409</v>
      </c>
      <c r="P53" s="1416" t="s">
        <v>838</v>
      </c>
      <c r="Q53" s="1417">
        <f ca="1">Q47+Q48</f>
        <v>19606798</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2276319</v>
      </c>
      <c r="D56" s="1444"/>
      <c r="E56" s="1445"/>
      <c r="F56" s="1437"/>
      <c r="I56" s="1446" t="s">
        <v>842</v>
      </c>
      <c r="J56" s="1447" t="s">
        <v>3380</v>
      </c>
      <c r="K56" s="1418" t="s">
        <v>843</v>
      </c>
      <c r="L56" s="1421" t="str">
        <f ca="1">IF(L48&lt;J51,"——",L48-J51)</f>
        <v>——</v>
      </c>
      <c r="O56" s="1415" t="s">
        <v>403</v>
      </c>
      <c r="P56" s="1416" t="s">
        <v>817</v>
      </c>
      <c r="Q56" s="1417">
        <f ca="1">C40+J29</f>
        <v>19313678</v>
      </c>
      <c r="R56" s="1417" t="s">
        <v>818</v>
      </c>
    </row>
    <row r="57" spans="1:18" s="1381" customFormat="1" ht="24.75" thickBot="1">
      <c r="A57" s="1448"/>
      <c r="B57" s="947" t="s">
        <v>767</v>
      </c>
      <c r="C57" s="238">
        <f ca="1">C29</f>
        <v>2845399</v>
      </c>
      <c r="D57" s="1449"/>
      <c r="E57" s="1450"/>
      <c r="F57" s="1451"/>
      <c r="I57" s="1452" t="s">
        <v>844</v>
      </c>
      <c r="J57" s="1453">
        <f ca="1">IF(OR(M47="住宅",J51&lt;L48,J56="是"),"——",J51-L48)</f>
        <v>27.4</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32979</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1300347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293120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19313678</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28454</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3414</v>
      </c>
      <c r="D65" s="961" t="s">
        <v>743</v>
      </c>
      <c r="E65" s="947" t="s">
        <v>712</v>
      </c>
      <c r="F65" s="330">
        <f t="shared" ca="1" si="0"/>
        <v>1.5E-3</v>
      </c>
      <c r="I65" s="1459" t="s">
        <v>867</v>
      </c>
      <c r="J65" s="1460">
        <v>40</v>
      </c>
      <c r="K65" s="1460">
        <v>30</v>
      </c>
      <c r="L65" s="1460">
        <v>50</v>
      </c>
      <c r="M65" s="1462">
        <v>0.02</v>
      </c>
      <c r="O65" s="1415" t="s">
        <v>403</v>
      </c>
      <c r="P65" s="1416" t="s">
        <v>817</v>
      </c>
      <c r="Q65" s="1417">
        <f ca="1">C40+J29</f>
        <v>19313678</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-32979</v>
      </c>
      <c r="D67" s="960" t="s">
        <v>753</v>
      </c>
      <c r="E67" s="965"/>
      <c r="F67" s="966"/>
      <c r="O67" s="1425" t="s">
        <v>405</v>
      </c>
      <c r="P67" s="1416" t="s">
        <v>850</v>
      </c>
      <c r="Q67" s="1463">
        <f ca="1">L51</f>
        <v>22639085</v>
      </c>
      <c r="R67" s="1417" t="s">
        <v>870</v>
      </c>
    </row>
    <row r="68" spans="1:18" s="1381" customFormat="1" ht="16.5" thickBot="1">
      <c r="A68" s="944" t="s">
        <v>395</v>
      </c>
      <c r="B68" s="945" t="s">
        <v>774</v>
      </c>
      <c r="C68" s="301">
        <f ca="1">ROUND(C67*(1-((1+F70)/(1+F68))^F69)/(F68-F70),0)</f>
        <v>-384155</v>
      </c>
      <c r="D68" s="962" t="s">
        <v>758</v>
      </c>
      <c r="E68" s="947" t="s">
        <v>759</v>
      </c>
      <c r="F68" s="312">
        <f ca="1">F40</f>
        <v>0.06</v>
      </c>
      <c r="O68" s="1425" t="s">
        <v>406</v>
      </c>
      <c r="P68" s="1464" t="s">
        <v>871</v>
      </c>
      <c r="Q68" s="1417">
        <f ca="1">ROUND(Q69-Q70*Q71,0)</f>
        <v>1252359</v>
      </c>
      <c r="R68" s="1417" t="s">
        <v>414</v>
      </c>
    </row>
    <row r="69" spans="1:18" s="1381" customFormat="1" ht="13.5" thickBot="1">
      <c r="A69" s="948"/>
      <c r="B69" s="949"/>
      <c r="C69" s="306"/>
      <c r="D69" s="967" t="s">
        <v>762</v>
      </c>
      <c r="E69" s="947" t="s">
        <v>763</v>
      </c>
      <c r="F69" s="333">
        <f ca="1">F41</f>
        <v>20.6</v>
      </c>
      <c r="O69" s="1425" t="s">
        <v>411</v>
      </c>
      <c r="P69" s="1464" t="s">
        <v>872</v>
      </c>
      <c r="Q69" s="1417">
        <f ca="1">C39</f>
        <v>1411701</v>
      </c>
      <c r="R69" s="1417" t="s">
        <v>818</v>
      </c>
    </row>
    <row r="70" spans="1:18" s="1381" customFormat="1" ht="13.5" thickBot="1">
      <c r="A70" s="951"/>
      <c r="B70" s="952"/>
      <c r="C70" s="310"/>
      <c r="D70" s="963"/>
      <c r="E70" s="947" t="s">
        <v>766</v>
      </c>
      <c r="F70" s="1051"/>
      <c r="O70" s="1425" t="s">
        <v>412</v>
      </c>
      <c r="P70" s="1464" t="s">
        <v>873</v>
      </c>
      <c r="Q70" s="1417">
        <f ca="1">C13</f>
        <v>2276319</v>
      </c>
      <c r="R70" s="1417" t="s">
        <v>818</v>
      </c>
    </row>
    <row r="71" spans="1:18" s="1381" customFormat="1" ht="13.5" thickBot="1">
      <c r="A71" s="968" t="s">
        <v>396</v>
      </c>
      <c r="B71" s="969" t="s">
        <v>776</v>
      </c>
      <c r="C71" s="336">
        <f ca="1">ROUND(C68/F71,0)</f>
        <v>-935</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159342</v>
      </c>
      <c r="D75" s="1381"/>
      <c r="E75" s="1381"/>
      <c r="F75" s="1381"/>
      <c r="K75" s="1399"/>
      <c r="L75" s="1381"/>
      <c r="O75" s="1415" t="s">
        <v>409</v>
      </c>
      <c r="P75" s="1416" t="s">
        <v>838</v>
      </c>
      <c r="Q75" s="1417">
        <f ca="1">Q65+Q66</f>
        <v>19313678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0.88700000000000001</v>
      </c>
    </row>
    <row r="80" spans="1:18">
      <c r="B80" s="340" t="s">
        <v>800</v>
      </c>
      <c r="C80" s="274">
        <f ca="1">ROUND(C75/C39,3)</f>
        <v>0.113</v>
      </c>
    </row>
    <row r="81" spans="2:3">
      <c r="B81" s="270" t="s">
        <v>801</v>
      </c>
      <c r="C81" s="238"/>
    </row>
    <row r="82" spans="2:3">
      <c r="B82" s="273" t="s">
        <v>802</v>
      </c>
      <c r="C82" s="275">
        <f ca="1">1-C83</f>
        <v>0.88200000000000001</v>
      </c>
    </row>
    <row r="83" spans="2:3">
      <c r="B83" s="273" t="s">
        <v>803</v>
      </c>
      <c r="C83" s="274">
        <f ca="1">ROUND(C13/C40,3)</f>
        <v>0.11799999999999999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8" activePane="bottomLeft" state="frozen"/>
      <selection activeCell="H20" sqref="H20"/>
      <selection pane="bottomLeft" activeCell="U22" sqref="U22"/>
    </sheetView>
  </sheetViews>
  <sheetFormatPr defaultColWidth="9" defaultRowHeight="12.75"/>
  <cols>
    <col min="1" max="1" width="11.5" style="130" customWidth="1"/>
    <col min="2" max="2" width="9.25" style="24" customWidth="1"/>
    <col min="3" max="3" width="7.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4" t="s">
        <v>2084</v>
      </c>
      <c r="D1" s="3755"/>
      <c r="E1" s="3755"/>
      <c r="F1" s="3755"/>
      <c r="G1" s="3755"/>
      <c r="H1" s="3755"/>
      <c r="I1" s="3755"/>
      <c r="J1" s="3755"/>
      <c r="K1" s="3755"/>
      <c r="L1" s="3755"/>
      <c r="M1" s="3755"/>
      <c r="N1" s="3755"/>
      <c r="O1" s="3755"/>
      <c r="P1" s="3755"/>
      <c r="Q1" s="3755"/>
      <c r="R1" s="3755"/>
      <c r="S1" s="3756"/>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3556</v>
      </c>
      <c r="C5" s="901" t="s">
        <v>3527</v>
      </c>
      <c r="D5" s="895" t="s">
        <v>3445</v>
      </c>
      <c r="E5" s="895" t="s">
        <v>3512</v>
      </c>
      <c r="F5" s="1314" t="s">
        <v>3528</v>
      </c>
      <c r="G5" s="1314" t="s">
        <v>3529</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3557</v>
      </c>
      <c r="C7" s="901" t="s">
        <v>3558</v>
      </c>
      <c r="D7" s="895" t="s">
        <v>3553</v>
      </c>
      <c r="E7" s="895" t="s">
        <v>3512</v>
      </c>
      <c r="F7" s="1314" t="s">
        <v>3559</v>
      </c>
      <c r="G7" s="1314" t="s">
        <v>3560</v>
      </c>
      <c r="H7" s="1314"/>
      <c r="I7" s="1314"/>
      <c r="J7" s="1314"/>
      <c r="K7" s="1314"/>
      <c r="L7" s="1314"/>
      <c r="M7" s="1315"/>
      <c r="N7" s="1316"/>
      <c r="O7" s="1317"/>
      <c r="P7" s="1318"/>
      <c r="Q7" s="1319"/>
      <c r="R7" s="1320"/>
      <c r="S7" s="1321"/>
      <c r="T7" s="658">
        <f>'比较法-商业'!K27</f>
        <v>5</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95</v>
      </c>
      <c r="E8" s="899">
        <f t="shared" ref="E8:S8" si="2">D8-$T7</f>
        <v>90</v>
      </c>
      <c r="F8" s="1313">
        <f t="shared" si="2"/>
        <v>85</v>
      </c>
      <c r="G8" s="1313">
        <f t="shared" si="2"/>
        <v>80</v>
      </c>
      <c r="H8" s="1313">
        <f t="shared" si="2"/>
        <v>75</v>
      </c>
      <c r="I8" s="1313">
        <f t="shared" si="2"/>
        <v>70</v>
      </c>
      <c r="J8" s="1313">
        <f t="shared" si="2"/>
        <v>65</v>
      </c>
      <c r="K8" s="1313">
        <f t="shared" si="2"/>
        <v>60</v>
      </c>
      <c r="L8" s="1313">
        <f t="shared" si="2"/>
        <v>55</v>
      </c>
      <c r="M8" s="1313">
        <f t="shared" si="2"/>
        <v>50</v>
      </c>
      <c r="N8" s="1313">
        <f t="shared" si="2"/>
        <v>45</v>
      </c>
      <c r="O8" s="1313">
        <f t="shared" si="2"/>
        <v>40</v>
      </c>
      <c r="P8" s="1313">
        <f t="shared" si="2"/>
        <v>35</v>
      </c>
      <c r="Q8" s="1313">
        <f t="shared" si="2"/>
        <v>30</v>
      </c>
      <c r="R8" s="1313">
        <f t="shared" si="2"/>
        <v>25</v>
      </c>
      <c r="S8" s="1313">
        <f t="shared" si="2"/>
        <v>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27.75" thickTop="1">
      <c r="A9" s="991"/>
      <c r="B9" s="3497" t="s">
        <v>3561</v>
      </c>
      <c r="C9" s="3487" t="s">
        <v>3537</v>
      </c>
      <c r="D9" s="3487" t="s">
        <v>3562</v>
      </c>
      <c r="E9" s="3487" t="s">
        <v>3539</v>
      </c>
      <c r="F9" s="3490" t="s">
        <v>3540</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3563</v>
      </c>
      <c r="C11" s="3489" t="s">
        <v>3571</v>
      </c>
      <c r="D11" s="3489" t="s">
        <v>3572</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35142</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65190</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51" t="s">
        <v>27</v>
      </c>
      <c r="D22" s="3752"/>
      <c r="E22" s="3752"/>
      <c r="F22" s="3752"/>
      <c r="G22" s="3752"/>
      <c r="H22" s="3752"/>
      <c r="I22" s="3752"/>
      <c r="J22" s="3752"/>
      <c r="K22" s="3752"/>
      <c r="L22" s="3752"/>
      <c r="M22" s="3752"/>
      <c r="N22" s="3752"/>
      <c r="O22" s="3752"/>
      <c r="P22" s="3752"/>
      <c r="Q22" s="3753"/>
      <c r="R22" s="660">
        <f ca="1">ROUND(S22*10000/B22,0)</f>
        <v>65190</v>
      </c>
      <c r="S22" s="21">
        <f ca="1">SUM(S24:S10000)</f>
        <v>35142</v>
      </c>
      <c r="T22" s="722">
        <v>35096</v>
      </c>
      <c r="U22" s="722">
        <f ca="1">S22-T22</f>
        <v>46</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分套价值!B2</f>
        <v>2单元107</v>
      </c>
      <c r="B24" s="3496">
        <f>分套价值!C2</f>
        <v>410.74</v>
      </c>
      <c r="C24" s="2805">
        <v>1</v>
      </c>
      <c r="D24" s="2806" t="s">
        <v>3445</v>
      </c>
      <c r="E24" s="2805">
        <v>1</v>
      </c>
      <c r="F24" s="2806" t="s">
        <v>3553</v>
      </c>
      <c r="G24" s="2805">
        <v>1</v>
      </c>
      <c r="H24" s="2806" t="s">
        <v>3480</v>
      </c>
      <c r="I24" s="2805">
        <v>1</v>
      </c>
      <c r="J24" s="2806" t="s">
        <v>3569</v>
      </c>
      <c r="K24" s="2805">
        <v>1</v>
      </c>
      <c r="L24" s="2806"/>
      <c r="M24" s="2805">
        <v>1</v>
      </c>
      <c r="N24" s="2806"/>
      <c r="O24" s="2805">
        <v>1</v>
      </c>
      <c r="P24" s="2806">
        <v>1</v>
      </c>
      <c r="Q24" s="2805">
        <v>1</v>
      </c>
      <c r="R24" s="665">
        <f ca="1">结果表商!G20</f>
        <v>75064</v>
      </c>
      <c r="S24" s="663">
        <f t="shared" ref="S24:S87" ca="1" si="5">ROUND(R24*B24/10000,0)</f>
        <v>3083</v>
      </c>
      <c r="T24" s="727" t="str">
        <f>分套价值!I2</f>
        <v>星巴克</v>
      </c>
      <c r="U24" s="727" t="str">
        <f>分套价值!J2</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分套价值!B3</f>
        <v>2单元109</v>
      </c>
      <c r="B25" s="2420">
        <f>分套价值!C3</f>
        <v>891.56</v>
      </c>
      <c r="C25" s="21">
        <f>IF(B25="",1,(LOOKUP(B25,$3:$3,$4:$4)-LOOKUP($B$24,$3:$3,$4:$4)+100)/100)</f>
        <v>0.99</v>
      </c>
      <c r="D25" s="664" t="s">
        <v>3512</v>
      </c>
      <c r="E25" s="21">
        <f>(SUMIF($5:$5,D25,$6:$6)-SUMIF($5:$5,$D$24,$6:$6)+100)/100</f>
        <v>0.97</v>
      </c>
      <c r="F25" s="664" t="s">
        <v>3512</v>
      </c>
      <c r="G25" s="21">
        <f>(SUMIF($7:$7,F25,$8:$8)-SUMIF($7:$7,$F$24,$8:$8)+100)/100</f>
        <v>0.95</v>
      </c>
      <c r="H25" s="2806" t="s">
        <v>3480</v>
      </c>
      <c r="I25" s="21">
        <f>(SUMIF($9:$9,H25,$10:$10)-SUMIF($9:$9,$H$24,$10:$10)+100)/100</f>
        <v>1</v>
      </c>
      <c r="J25" s="2806" t="s">
        <v>3569</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68480</v>
      </c>
      <c r="S25" s="316">
        <f t="shared" ca="1" si="5"/>
        <v>6105</v>
      </c>
      <c r="T25" s="727" t="str">
        <f>分套价值!I3</f>
        <v>优优</v>
      </c>
      <c r="U25" s="727" t="str">
        <f>分套价值!J3</f>
        <v>通道</v>
      </c>
    </row>
    <row r="26" spans="1:45">
      <c r="A26" s="2420" t="str">
        <f>分套价值!B4</f>
        <v>2单元115</v>
      </c>
      <c r="B26" s="2420">
        <f>分套价值!C4</f>
        <v>820.83</v>
      </c>
      <c r="C26" s="21">
        <f t="shared" ref="C26:C89" si="6">IF(B26="",1,(LOOKUP(B26,$3:$3,$4:$4)-LOOKUP($B$24,$3:$3,$4:$4)+100)/100)</f>
        <v>0.99</v>
      </c>
      <c r="D26" s="664" t="s">
        <v>3445</v>
      </c>
      <c r="E26" s="21">
        <f t="shared" ref="E26:E89" si="7">(SUMIF($5:$5,D26,$6:$6)-SUMIF($5:$5,$D$24,$6:$6)+100)/100</f>
        <v>1</v>
      </c>
      <c r="F26" s="664" t="s">
        <v>3553</v>
      </c>
      <c r="G26" s="21">
        <f t="shared" ref="G26:G89" si="8">(SUMIF($7:$7,F26,$8:$8)-SUMIF($7:$7,$F$24,$8:$8)+100)/100</f>
        <v>1</v>
      </c>
      <c r="H26" s="2806" t="s">
        <v>3480</v>
      </c>
      <c r="I26" s="21">
        <f t="shared" ref="I26:I89" si="9">(SUMIF($9:$9,H26,$10:$10)-SUMIF($9:$9,$H$24,$10:$10)+100)/100</f>
        <v>1</v>
      </c>
      <c r="J26" s="2806" t="s">
        <v>3569</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74313</v>
      </c>
      <c r="S26" s="316">
        <f t="shared" ca="1" si="5"/>
        <v>6100</v>
      </c>
      <c r="T26" s="727" t="str">
        <f>分套价值!I4</f>
        <v>空置</v>
      </c>
      <c r="U26" s="727" t="str">
        <f>分套价值!J4</f>
        <v>外</v>
      </c>
    </row>
    <row r="27" spans="1:45">
      <c r="A27" s="2420" t="str">
        <f>分套价值!B5</f>
        <v>2单元116</v>
      </c>
      <c r="B27" s="2420">
        <f>分套价值!C5</f>
        <v>114.12</v>
      </c>
      <c r="C27" s="21">
        <f t="shared" si="6"/>
        <v>1.02</v>
      </c>
      <c r="D27" s="2806" t="s">
        <v>3445</v>
      </c>
      <c r="E27" s="21">
        <f t="shared" si="7"/>
        <v>1</v>
      </c>
      <c r="F27" s="2806" t="s">
        <v>3553</v>
      </c>
      <c r="G27" s="21">
        <f t="shared" si="8"/>
        <v>1</v>
      </c>
      <c r="H27" s="2806" t="s">
        <v>3480</v>
      </c>
      <c r="I27" s="21">
        <f t="shared" si="9"/>
        <v>1</v>
      </c>
      <c r="J27" s="2806" t="s">
        <v>3569</v>
      </c>
      <c r="K27" s="21">
        <f t="shared" si="10"/>
        <v>1</v>
      </c>
      <c r="L27" s="664"/>
      <c r="M27" s="21">
        <f t="shared" si="11"/>
        <v>1</v>
      </c>
      <c r="N27" s="664"/>
      <c r="O27" s="21">
        <f t="shared" si="12"/>
        <v>1</v>
      </c>
      <c r="P27" s="2806">
        <v>1</v>
      </c>
      <c r="Q27" s="21">
        <f t="shared" si="13"/>
        <v>1</v>
      </c>
      <c r="R27" s="660">
        <f t="shared" ca="1" si="14"/>
        <v>76565</v>
      </c>
      <c r="S27" s="316">
        <f t="shared" ca="1" si="5"/>
        <v>874</v>
      </c>
      <c r="T27" s="727" t="str">
        <f>分套价值!I5</f>
        <v>同仁堂</v>
      </c>
      <c r="U27" s="727" t="str">
        <f>分套价值!J5</f>
        <v>外，朝北</v>
      </c>
    </row>
    <row r="28" spans="1:45">
      <c r="A28" s="2420" t="str">
        <f>分套价值!B6</f>
        <v>2单元120</v>
      </c>
      <c r="B28" s="2420">
        <f>分套价值!C6</f>
        <v>229.57</v>
      </c>
      <c r="C28" s="21">
        <f t="shared" si="6"/>
        <v>1.01</v>
      </c>
      <c r="D28" s="664" t="s">
        <v>3529</v>
      </c>
      <c r="E28" s="21">
        <f t="shared" si="7"/>
        <v>0.91</v>
      </c>
      <c r="F28" s="664" t="s">
        <v>3560</v>
      </c>
      <c r="G28" s="21">
        <f t="shared" si="8"/>
        <v>0.85</v>
      </c>
      <c r="H28" s="2806" t="s">
        <v>3480</v>
      </c>
      <c r="I28" s="21">
        <f t="shared" si="9"/>
        <v>1</v>
      </c>
      <c r="J28" s="2806" t="s">
        <v>3569</v>
      </c>
      <c r="K28" s="21">
        <f t="shared" si="10"/>
        <v>1</v>
      </c>
      <c r="L28" s="664"/>
      <c r="M28" s="21">
        <f t="shared" si="11"/>
        <v>1</v>
      </c>
      <c r="N28" s="664"/>
      <c r="O28" s="21">
        <f t="shared" si="12"/>
        <v>1</v>
      </c>
      <c r="P28" s="2806">
        <v>1</v>
      </c>
      <c r="Q28" s="21">
        <f t="shared" si="13"/>
        <v>1</v>
      </c>
      <c r="R28" s="660">
        <f t="shared" ca="1" si="14"/>
        <v>58643</v>
      </c>
      <c r="S28" s="316">
        <f t="shared" ca="1" si="5"/>
        <v>1346</v>
      </c>
      <c r="T28" s="727" t="str">
        <f>分套价值!I6</f>
        <v>空置</v>
      </c>
      <c r="U28" s="727" t="str">
        <f>分套价值!J6</f>
        <v>内</v>
      </c>
    </row>
    <row r="29" spans="1:45">
      <c r="A29" s="2420" t="str">
        <f>分套价值!B7</f>
        <v>2单元121</v>
      </c>
      <c r="B29" s="2420">
        <f>分套价值!C7</f>
        <v>174.61</v>
      </c>
      <c r="C29" s="21">
        <f t="shared" si="6"/>
        <v>1.02</v>
      </c>
      <c r="D29" s="664" t="s">
        <v>3529</v>
      </c>
      <c r="E29" s="21">
        <f t="shared" si="7"/>
        <v>0.91</v>
      </c>
      <c r="F29" s="664" t="s">
        <v>3560</v>
      </c>
      <c r="G29" s="21">
        <f t="shared" si="8"/>
        <v>0.85</v>
      </c>
      <c r="H29" s="2806" t="s">
        <v>3480</v>
      </c>
      <c r="I29" s="21">
        <f t="shared" si="9"/>
        <v>1</v>
      </c>
      <c r="J29" s="2806" t="s">
        <v>3569</v>
      </c>
      <c r="K29" s="21">
        <f t="shared" si="10"/>
        <v>1</v>
      </c>
      <c r="L29" s="664"/>
      <c r="M29" s="21">
        <f t="shared" si="11"/>
        <v>1</v>
      </c>
      <c r="N29" s="664"/>
      <c r="O29" s="21">
        <f t="shared" si="12"/>
        <v>1</v>
      </c>
      <c r="P29" s="2806">
        <v>1</v>
      </c>
      <c r="Q29" s="21">
        <f t="shared" si="13"/>
        <v>1</v>
      </c>
      <c r="R29" s="660">
        <f t="shared" ca="1" si="14"/>
        <v>59223</v>
      </c>
      <c r="S29" s="316">
        <f t="shared" ca="1" si="5"/>
        <v>1034</v>
      </c>
      <c r="T29" s="727" t="str">
        <f>分套价值!I7</f>
        <v>空置</v>
      </c>
      <c r="U29" s="727" t="str">
        <f>分套价值!J7</f>
        <v>内</v>
      </c>
    </row>
    <row r="30" spans="1:45">
      <c r="A30" s="2420" t="str">
        <f>分套价值!B8</f>
        <v>2单元122</v>
      </c>
      <c r="B30" s="2420">
        <f>分套价值!C8</f>
        <v>579.52</v>
      </c>
      <c r="C30" s="21">
        <f t="shared" si="6"/>
        <v>0.99</v>
      </c>
      <c r="D30" s="664" t="s">
        <v>3529</v>
      </c>
      <c r="E30" s="21">
        <f t="shared" si="7"/>
        <v>0.91</v>
      </c>
      <c r="F30" s="664" t="s">
        <v>3560</v>
      </c>
      <c r="G30" s="21">
        <f t="shared" si="8"/>
        <v>0.85</v>
      </c>
      <c r="H30" s="2806" t="s">
        <v>3480</v>
      </c>
      <c r="I30" s="21">
        <f t="shared" si="9"/>
        <v>1</v>
      </c>
      <c r="J30" s="2806" t="s">
        <v>3569</v>
      </c>
      <c r="K30" s="21">
        <f t="shared" si="10"/>
        <v>1</v>
      </c>
      <c r="L30" s="664"/>
      <c r="M30" s="21">
        <f t="shared" si="11"/>
        <v>1</v>
      </c>
      <c r="N30" s="664"/>
      <c r="O30" s="21">
        <f t="shared" si="12"/>
        <v>1</v>
      </c>
      <c r="P30" s="2806">
        <v>1</v>
      </c>
      <c r="Q30" s="21">
        <f t="shared" si="13"/>
        <v>1</v>
      </c>
      <c r="R30" s="660">
        <f t="shared" ca="1" si="14"/>
        <v>57481</v>
      </c>
      <c r="S30" s="316">
        <f t="shared" ca="1" si="5"/>
        <v>3331</v>
      </c>
      <c r="T30" s="727" t="str">
        <f>分套价值!I8</f>
        <v>人寿</v>
      </c>
      <c r="U30" s="727" t="str">
        <f>分套价值!J8</f>
        <v>内</v>
      </c>
    </row>
    <row r="31" spans="1:45">
      <c r="A31" s="2420" t="str">
        <f>分套价值!B9</f>
        <v>2单元123</v>
      </c>
      <c r="B31" s="2420">
        <f>分套价值!C9</f>
        <v>392.45</v>
      </c>
      <c r="C31" s="21">
        <f t="shared" si="6"/>
        <v>1</v>
      </c>
      <c r="D31" s="664" t="s">
        <v>3529</v>
      </c>
      <c r="E31" s="21">
        <f t="shared" si="7"/>
        <v>0.91</v>
      </c>
      <c r="F31" s="664" t="s">
        <v>3560</v>
      </c>
      <c r="G31" s="21">
        <f t="shared" si="8"/>
        <v>0.85</v>
      </c>
      <c r="H31" s="2806" t="s">
        <v>3480</v>
      </c>
      <c r="I31" s="21">
        <f t="shared" si="9"/>
        <v>1</v>
      </c>
      <c r="J31" s="2806" t="s">
        <v>3569</v>
      </c>
      <c r="K31" s="21">
        <f t="shared" si="10"/>
        <v>1</v>
      </c>
      <c r="L31" s="664"/>
      <c r="M31" s="21">
        <f t="shared" si="11"/>
        <v>1</v>
      </c>
      <c r="N31" s="664"/>
      <c r="O31" s="21">
        <f t="shared" si="12"/>
        <v>1</v>
      </c>
      <c r="P31" s="2806">
        <v>1</v>
      </c>
      <c r="Q31" s="21">
        <f t="shared" si="13"/>
        <v>1</v>
      </c>
      <c r="R31" s="660">
        <f t="shared" ca="1" si="14"/>
        <v>58062</v>
      </c>
      <c r="S31" s="316">
        <f t="shared" ca="1" si="5"/>
        <v>2279</v>
      </c>
      <c r="T31" s="727" t="str">
        <f>分套价值!I9</f>
        <v>空置</v>
      </c>
      <c r="U31" s="727" t="str">
        <f>分套价值!J9</f>
        <v>内</v>
      </c>
    </row>
    <row r="32" spans="1:45">
      <c r="A32" s="2420" t="str">
        <f>分套价值!B10</f>
        <v>2单元126</v>
      </c>
      <c r="B32" s="2420">
        <f>分套价值!C10</f>
        <v>129.91</v>
      </c>
      <c r="C32" s="21">
        <f t="shared" si="6"/>
        <v>1.02</v>
      </c>
      <c r="D32" s="664" t="s">
        <v>3529</v>
      </c>
      <c r="E32" s="21">
        <f t="shared" si="7"/>
        <v>0.91</v>
      </c>
      <c r="F32" s="664" t="s">
        <v>3560</v>
      </c>
      <c r="G32" s="21">
        <f t="shared" si="8"/>
        <v>0.85</v>
      </c>
      <c r="H32" s="2806" t="s">
        <v>3480</v>
      </c>
      <c r="I32" s="21">
        <f t="shared" si="9"/>
        <v>1</v>
      </c>
      <c r="J32" s="2806" t="s">
        <v>3569</v>
      </c>
      <c r="K32" s="21">
        <f t="shared" si="10"/>
        <v>1</v>
      </c>
      <c r="L32" s="664"/>
      <c r="M32" s="21">
        <f t="shared" si="11"/>
        <v>1</v>
      </c>
      <c r="N32" s="664"/>
      <c r="O32" s="21">
        <f t="shared" si="12"/>
        <v>1</v>
      </c>
      <c r="P32" s="2806">
        <v>1</v>
      </c>
      <c r="Q32" s="21">
        <f t="shared" si="13"/>
        <v>1</v>
      </c>
      <c r="R32" s="660">
        <f t="shared" ca="1" si="14"/>
        <v>59223</v>
      </c>
      <c r="S32" s="316">
        <f t="shared" ca="1" si="5"/>
        <v>769</v>
      </c>
      <c r="T32" s="727" t="str">
        <f>分套价值!I10</f>
        <v>空置</v>
      </c>
      <c r="U32" s="727" t="str">
        <f>分套价值!J10</f>
        <v>内</v>
      </c>
    </row>
    <row r="33" spans="1:21">
      <c r="A33" s="2420" t="str">
        <f>分套价值!B11</f>
        <v>2单元127</v>
      </c>
      <c r="B33" s="2420">
        <f>分套价值!C11</f>
        <v>130.21</v>
      </c>
      <c r="C33" s="21">
        <f t="shared" si="6"/>
        <v>1.02</v>
      </c>
      <c r="D33" s="664" t="s">
        <v>3529</v>
      </c>
      <c r="E33" s="21">
        <f t="shared" si="7"/>
        <v>0.91</v>
      </c>
      <c r="F33" s="664" t="s">
        <v>3560</v>
      </c>
      <c r="G33" s="21">
        <f t="shared" si="8"/>
        <v>0.85</v>
      </c>
      <c r="H33" s="2806" t="s">
        <v>3480</v>
      </c>
      <c r="I33" s="21">
        <f t="shared" si="9"/>
        <v>1</v>
      </c>
      <c r="J33" s="2806" t="s">
        <v>3569</v>
      </c>
      <c r="K33" s="21">
        <f t="shared" si="10"/>
        <v>1</v>
      </c>
      <c r="L33" s="664"/>
      <c r="M33" s="21">
        <f t="shared" si="11"/>
        <v>1</v>
      </c>
      <c r="N33" s="664"/>
      <c r="O33" s="21">
        <f t="shared" si="12"/>
        <v>1</v>
      </c>
      <c r="P33" s="2806">
        <v>1</v>
      </c>
      <c r="Q33" s="21">
        <f t="shared" si="13"/>
        <v>1</v>
      </c>
      <c r="R33" s="660">
        <f t="shared" ca="1" si="14"/>
        <v>59223</v>
      </c>
      <c r="S33" s="316">
        <f t="shared" ca="1" si="5"/>
        <v>771</v>
      </c>
      <c r="T33" s="727" t="str">
        <f>分套价值!I11</f>
        <v>人寿</v>
      </c>
      <c r="U33" s="727" t="str">
        <f>分套价值!J11</f>
        <v>内</v>
      </c>
    </row>
    <row r="34" spans="1:21">
      <c r="A34" s="2420" t="str">
        <f>分套价值!B12</f>
        <v>2单元128</v>
      </c>
      <c r="B34" s="2420">
        <f>分套价值!C12</f>
        <v>219.79</v>
      </c>
      <c r="C34" s="21">
        <f t="shared" si="6"/>
        <v>1.01</v>
      </c>
      <c r="D34" s="664" t="s">
        <v>3529</v>
      </c>
      <c r="E34" s="21">
        <f t="shared" si="7"/>
        <v>0.91</v>
      </c>
      <c r="F34" s="664" t="s">
        <v>3560</v>
      </c>
      <c r="G34" s="21">
        <f t="shared" si="8"/>
        <v>0.85</v>
      </c>
      <c r="H34" s="2806" t="s">
        <v>3480</v>
      </c>
      <c r="I34" s="21">
        <f t="shared" si="9"/>
        <v>1</v>
      </c>
      <c r="J34" s="2806" t="s">
        <v>3569</v>
      </c>
      <c r="K34" s="21">
        <f t="shared" si="10"/>
        <v>1</v>
      </c>
      <c r="L34" s="664"/>
      <c r="M34" s="21">
        <f t="shared" si="11"/>
        <v>1</v>
      </c>
      <c r="N34" s="664"/>
      <c r="O34" s="21">
        <f t="shared" si="12"/>
        <v>1</v>
      </c>
      <c r="P34" s="2806">
        <v>1</v>
      </c>
      <c r="Q34" s="21">
        <f t="shared" si="13"/>
        <v>1</v>
      </c>
      <c r="R34" s="660">
        <f t="shared" ca="1" si="14"/>
        <v>58643</v>
      </c>
      <c r="S34" s="316">
        <f t="shared" ca="1" si="5"/>
        <v>1289</v>
      </c>
      <c r="T34" s="727" t="str">
        <f>分套价值!I12</f>
        <v>空置</v>
      </c>
      <c r="U34" s="727" t="str">
        <f>分套价值!J12</f>
        <v>内</v>
      </c>
    </row>
    <row r="35" spans="1:21">
      <c r="A35" s="2420" t="str">
        <f>分套价值!B13</f>
        <v>2单元129</v>
      </c>
      <c r="B35" s="2420">
        <f>分套价值!C13</f>
        <v>147.19999999999999</v>
      </c>
      <c r="C35" s="21">
        <f t="shared" si="6"/>
        <v>1.02</v>
      </c>
      <c r="D35" s="664" t="s">
        <v>3529</v>
      </c>
      <c r="E35" s="21">
        <f t="shared" si="7"/>
        <v>0.91</v>
      </c>
      <c r="F35" s="664" t="s">
        <v>3560</v>
      </c>
      <c r="G35" s="21">
        <f t="shared" si="8"/>
        <v>0.85</v>
      </c>
      <c r="H35" s="2806" t="s">
        <v>3480</v>
      </c>
      <c r="I35" s="21">
        <f t="shared" si="9"/>
        <v>1</v>
      </c>
      <c r="J35" s="2806" t="s">
        <v>3569</v>
      </c>
      <c r="K35" s="21">
        <f t="shared" si="10"/>
        <v>1</v>
      </c>
      <c r="L35" s="664"/>
      <c r="M35" s="21">
        <f t="shared" si="11"/>
        <v>1</v>
      </c>
      <c r="N35" s="664"/>
      <c r="O35" s="21">
        <f t="shared" si="12"/>
        <v>1</v>
      </c>
      <c r="P35" s="2806">
        <v>1</v>
      </c>
      <c r="Q35" s="21">
        <f t="shared" si="13"/>
        <v>1</v>
      </c>
      <c r="R35" s="660">
        <f t="shared" ca="1" si="14"/>
        <v>59223</v>
      </c>
      <c r="S35" s="316">
        <f t="shared" ca="1" si="5"/>
        <v>872</v>
      </c>
      <c r="T35" s="727" t="str">
        <f>分套价值!I13</f>
        <v>空置</v>
      </c>
      <c r="U35" s="727" t="str">
        <f>分套价值!J13</f>
        <v>内</v>
      </c>
    </row>
    <row r="36" spans="1:21">
      <c r="A36" s="2420" t="str">
        <f>分套价值!B14</f>
        <v>2单元130</v>
      </c>
      <c r="B36" s="2420">
        <f>分套价值!C14</f>
        <v>221.24</v>
      </c>
      <c r="C36" s="21">
        <f t="shared" si="6"/>
        <v>1.01</v>
      </c>
      <c r="D36" s="664" t="s">
        <v>3529</v>
      </c>
      <c r="E36" s="21">
        <f t="shared" si="7"/>
        <v>0.91</v>
      </c>
      <c r="F36" s="664" t="s">
        <v>3560</v>
      </c>
      <c r="G36" s="21">
        <f t="shared" si="8"/>
        <v>0.85</v>
      </c>
      <c r="H36" s="2806" t="s">
        <v>3480</v>
      </c>
      <c r="I36" s="21">
        <f t="shared" si="9"/>
        <v>1</v>
      </c>
      <c r="J36" s="2806" t="s">
        <v>3569</v>
      </c>
      <c r="K36" s="21">
        <f t="shared" si="10"/>
        <v>1</v>
      </c>
      <c r="L36" s="664"/>
      <c r="M36" s="21">
        <f t="shared" si="11"/>
        <v>1</v>
      </c>
      <c r="N36" s="664"/>
      <c r="O36" s="21">
        <f t="shared" si="12"/>
        <v>1</v>
      </c>
      <c r="P36" s="2806">
        <v>1</v>
      </c>
      <c r="Q36" s="21">
        <f t="shared" si="13"/>
        <v>1</v>
      </c>
      <c r="R36" s="660">
        <f t="shared" ca="1" si="14"/>
        <v>58643</v>
      </c>
      <c r="S36" s="316">
        <f t="shared" ca="1" si="5"/>
        <v>1297</v>
      </c>
      <c r="T36" s="727" t="str">
        <f>分套价值!I14</f>
        <v>人寿</v>
      </c>
      <c r="U36" s="727" t="str">
        <f>分套价值!J14</f>
        <v>内</v>
      </c>
    </row>
    <row r="37" spans="1:21">
      <c r="A37" s="2420" t="str">
        <f>分套价值!B15</f>
        <v>2单元131</v>
      </c>
      <c r="B37" s="2420">
        <f>分套价值!C15</f>
        <v>341.21</v>
      </c>
      <c r="C37" s="21">
        <f t="shared" si="6"/>
        <v>1</v>
      </c>
      <c r="D37" s="664" t="s">
        <v>3529</v>
      </c>
      <c r="E37" s="21">
        <f t="shared" si="7"/>
        <v>0.91</v>
      </c>
      <c r="F37" s="664" t="s">
        <v>3560</v>
      </c>
      <c r="G37" s="21">
        <f t="shared" si="8"/>
        <v>0.85</v>
      </c>
      <c r="H37" s="2806" t="s">
        <v>3480</v>
      </c>
      <c r="I37" s="21">
        <f t="shared" si="9"/>
        <v>1</v>
      </c>
      <c r="J37" s="2806" t="s">
        <v>3569</v>
      </c>
      <c r="K37" s="21">
        <f t="shared" si="10"/>
        <v>1</v>
      </c>
      <c r="L37" s="664"/>
      <c r="M37" s="21">
        <f t="shared" si="11"/>
        <v>1</v>
      </c>
      <c r="N37" s="664"/>
      <c r="O37" s="21">
        <f t="shared" si="12"/>
        <v>1</v>
      </c>
      <c r="P37" s="2806">
        <v>1</v>
      </c>
      <c r="Q37" s="21">
        <f t="shared" si="13"/>
        <v>1</v>
      </c>
      <c r="R37" s="660">
        <f t="shared" ca="1" si="14"/>
        <v>58062</v>
      </c>
      <c r="S37" s="316">
        <f t="shared" ca="1" si="5"/>
        <v>1981</v>
      </c>
      <c r="T37" s="727" t="str">
        <f>分套价值!I15</f>
        <v>御见美</v>
      </c>
      <c r="U37" s="727" t="str">
        <f>分套价值!J15</f>
        <v>内</v>
      </c>
    </row>
    <row r="38" spans="1:21">
      <c r="A38" s="2420" t="str">
        <f>分套价值!B16</f>
        <v>2单元132</v>
      </c>
      <c r="B38" s="2420">
        <f>分套价值!C16</f>
        <v>105.02</v>
      </c>
      <c r="C38" s="21">
        <f t="shared" si="6"/>
        <v>1.02</v>
      </c>
      <c r="D38" s="664" t="s">
        <v>3529</v>
      </c>
      <c r="E38" s="21">
        <f t="shared" si="7"/>
        <v>0.91</v>
      </c>
      <c r="F38" s="664" t="s">
        <v>3560</v>
      </c>
      <c r="G38" s="21">
        <f t="shared" si="8"/>
        <v>0.85</v>
      </c>
      <c r="H38" s="2806" t="s">
        <v>3480</v>
      </c>
      <c r="I38" s="21">
        <f t="shared" si="9"/>
        <v>1</v>
      </c>
      <c r="J38" s="2806" t="s">
        <v>3569</v>
      </c>
      <c r="K38" s="21">
        <f t="shared" si="10"/>
        <v>1</v>
      </c>
      <c r="L38" s="664"/>
      <c r="M38" s="21">
        <f t="shared" si="11"/>
        <v>1</v>
      </c>
      <c r="N38" s="664"/>
      <c r="O38" s="21">
        <f t="shared" si="12"/>
        <v>1</v>
      </c>
      <c r="P38" s="2806">
        <v>1</v>
      </c>
      <c r="Q38" s="21">
        <f t="shared" si="13"/>
        <v>1</v>
      </c>
      <c r="R38" s="660">
        <f t="shared" ca="1" si="14"/>
        <v>59223</v>
      </c>
      <c r="S38" s="316">
        <f t="shared" ca="1" si="5"/>
        <v>622</v>
      </c>
      <c r="T38" s="727" t="str">
        <f>分套价值!I16</f>
        <v>空置</v>
      </c>
      <c r="U38" s="727" t="str">
        <f>分套价值!J16</f>
        <v>内</v>
      </c>
    </row>
    <row r="39" spans="1:21">
      <c r="A39" s="2420" t="str">
        <f>分套价值!B17</f>
        <v>2单元133</v>
      </c>
      <c r="B39" s="2420">
        <f>分套价值!C17</f>
        <v>105.26</v>
      </c>
      <c r="C39" s="21">
        <f t="shared" si="6"/>
        <v>1.02</v>
      </c>
      <c r="D39" s="664" t="s">
        <v>3529</v>
      </c>
      <c r="E39" s="21">
        <f t="shared" si="7"/>
        <v>0.91</v>
      </c>
      <c r="F39" s="664" t="s">
        <v>3560</v>
      </c>
      <c r="G39" s="21">
        <f t="shared" si="8"/>
        <v>0.85</v>
      </c>
      <c r="H39" s="2806" t="s">
        <v>3480</v>
      </c>
      <c r="I39" s="21">
        <f t="shared" si="9"/>
        <v>1</v>
      </c>
      <c r="J39" s="2806" t="s">
        <v>3569</v>
      </c>
      <c r="K39" s="21">
        <f t="shared" si="10"/>
        <v>1</v>
      </c>
      <c r="L39" s="664"/>
      <c r="M39" s="21">
        <f t="shared" si="11"/>
        <v>1</v>
      </c>
      <c r="N39" s="664"/>
      <c r="O39" s="21">
        <f t="shared" si="12"/>
        <v>1</v>
      </c>
      <c r="P39" s="2806">
        <v>1</v>
      </c>
      <c r="Q39" s="21">
        <f t="shared" si="13"/>
        <v>1</v>
      </c>
      <c r="R39" s="660">
        <f t="shared" ca="1" si="14"/>
        <v>59223</v>
      </c>
      <c r="S39" s="316">
        <f t="shared" ca="1" si="5"/>
        <v>623</v>
      </c>
      <c r="T39" s="727" t="str">
        <f>分套价值!I17</f>
        <v>名庐</v>
      </c>
      <c r="U39" s="727" t="str">
        <f>分套价值!J17</f>
        <v>内</v>
      </c>
    </row>
    <row r="40" spans="1:21">
      <c r="A40" s="2420" t="str">
        <f>分套价值!B18</f>
        <v>2单元134</v>
      </c>
      <c r="B40" s="2420">
        <f>分套价值!C18</f>
        <v>56.19</v>
      </c>
      <c r="C40" s="21">
        <f t="shared" si="6"/>
        <v>1.03</v>
      </c>
      <c r="D40" s="664" t="s">
        <v>3512</v>
      </c>
      <c r="E40" s="21">
        <f t="shared" si="7"/>
        <v>0.97</v>
      </c>
      <c r="F40" s="664" t="s">
        <v>3512</v>
      </c>
      <c r="G40" s="21">
        <f t="shared" si="8"/>
        <v>0.95</v>
      </c>
      <c r="H40" s="2806" t="s">
        <v>3480</v>
      </c>
      <c r="I40" s="21">
        <f t="shared" si="9"/>
        <v>1</v>
      </c>
      <c r="J40" s="2806" t="s">
        <v>3569</v>
      </c>
      <c r="K40" s="21">
        <f t="shared" si="10"/>
        <v>1</v>
      </c>
      <c r="L40" s="664"/>
      <c r="M40" s="21">
        <f t="shared" si="11"/>
        <v>1</v>
      </c>
      <c r="N40" s="664"/>
      <c r="O40" s="21">
        <f t="shared" si="12"/>
        <v>1</v>
      </c>
      <c r="P40" s="2806">
        <v>1</v>
      </c>
      <c r="Q40" s="21">
        <f t="shared" si="13"/>
        <v>1</v>
      </c>
      <c r="R40" s="660">
        <f t="shared" ca="1" si="14"/>
        <v>71247</v>
      </c>
      <c r="S40" s="316">
        <f t="shared" ca="1" si="5"/>
        <v>400</v>
      </c>
      <c r="T40" s="727" t="str">
        <f>分套价值!I18</f>
        <v>福奈特</v>
      </c>
      <c r="U40" s="727" t="str">
        <f>分套价值!J18</f>
        <v>外，朝南</v>
      </c>
    </row>
    <row r="41" spans="1:21">
      <c r="A41" s="2420" t="str">
        <f>分套价值!B19</f>
        <v>2单元150</v>
      </c>
      <c r="B41" s="2420">
        <f>分套价值!C19</f>
        <v>43.73</v>
      </c>
      <c r="C41" s="21">
        <f t="shared" si="6"/>
        <v>1.03</v>
      </c>
      <c r="D41" s="664" t="s">
        <v>3529</v>
      </c>
      <c r="E41" s="21">
        <f t="shared" si="7"/>
        <v>0.91</v>
      </c>
      <c r="F41" s="664" t="s">
        <v>3560</v>
      </c>
      <c r="G41" s="21">
        <f t="shared" si="8"/>
        <v>0.85</v>
      </c>
      <c r="H41" s="2806" t="s">
        <v>3480</v>
      </c>
      <c r="I41" s="21">
        <f t="shared" si="9"/>
        <v>1</v>
      </c>
      <c r="J41" s="2806" t="s">
        <v>3569</v>
      </c>
      <c r="K41" s="21">
        <f t="shared" si="10"/>
        <v>1</v>
      </c>
      <c r="L41" s="664"/>
      <c r="M41" s="21">
        <f t="shared" si="11"/>
        <v>1</v>
      </c>
      <c r="N41" s="664"/>
      <c r="O41" s="21">
        <f t="shared" si="12"/>
        <v>1</v>
      </c>
      <c r="P41" s="2806">
        <v>1</v>
      </c>
      <c r="Q41" s="21">
        <f t="shared" si="13"/>
        <v>1</v>
      </c>
      <c r="R41" s="660">
        <f t="shared" ca="1" si="14"/>
        <v>59804</v>
      </c>
      <c r="S41" s="316">
        <f t="shared" ca="1" si="5"/>
        <v>262</v>
      </c>
      <c r="T41" s="727" t="str">
        <f>分套价值!I19</f>
        <v>李氏凤凰</v>
      </c>
      <c r="U41" s="727" t="str">
        <f>分套价值!J19</f>
        <v>内</v>
      </c>
    </row>
    <row r="42" spans="1:21">
      <c r="A42" s="2420" t="str">
        <f>分套价值!B20</f>
        <v>3单元102</v>
      </c>
      <c r="B42" s="2420">
        <f>分套价值!C20</f>
        <v>277.54000000000002</v>
      </c>
      <c r="C42" s="21">
        <f t="shared" si="6"/>
        <v>1.01</v>
      </c>
      <c r="D42" s="2806" t="s">
        <v>3445</v>
      </c>
      <c r="E42" s="21">
        <f t="shared" si="7"/>
        <v>1</v>
      </c>
      <c r="F42" s="2806" t="s">
        <v>3553</v>
      </c>
      <c r="G42" s="21">
        <f t="shared" si="8"/>
        <v>1</v>
      </c>
      <c r="H42" s="2806" t="s">
        <v>3480</v>
      </c>
      <c r="I42" s="21">
        <f t="shared" si="9"/>
        <v>1</v>
      </c>
      <c r="J42" s="2806" t="s">
        <v>3569</v>
      </c>
      <c r="K42" s="21">
        <f t="shared" si="10"/>
        <v>1</v>
      </c>
      <c r="L42" s="664"/>
      <c r="M42" s="21">
        <f t="shared" si="11"/>
        <v>1</v>
      </c>
      <c r="N42" s="664"/>
      <c r="O42" s="21">
        <f t="shared" si="12"/>
        <v>1</v>
      </c>
      <c r="P42" s="2806">
        <v>1</v>
      </c>
      <c r="Q42" s="21">
        <f t="shared" si="13"/>
        <v>1</v>
      </c>
      <c r="R42" s="660">
        <f t="shared" ca="1" si="14"/>
        <v>75815</v>
      </c>
      <c r="S42" s="316">
        <f t="shared" ca="1" si="5"/>
        <v>2104</v>
      </c>
      <c r="T42" s="727" t="str">
        <f>分套价值!I20</f>
        <v>浙商银行</v>
      </c>
      <c r="U42" s="727" t="str">
        <f>分套价值!J20</f>
        <v>外，朝北</v>
      </c>
    </row>
    <row r="43" spans="1:21">
      <c r="A43" s="2420"/>
      <c r="B43" s="2420"/>
      <c r="C43" s="21">
        <f t="shared" si="6"/>
        <v>1</v>
      </c>
      <c r="D43" s="664"/>
      <c r="E43" s="21">
        <f t="shared" si="7"/>
        <v>0.03</v>
      </c>
      <c r="F43" s="664"/>
      <c r="G43" s="21">
        <f t="shared" si="8"/>
        <v>0.05</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0.05</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0.05</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0.05</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0.05</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0.05</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0.05</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0.05</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0.05</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0.05</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0.05</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0.05</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0.05</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0.05</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0.05</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0.05</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0.05</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0.05</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0.05</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0.05</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0.05</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0.05</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0.05</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0.05</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0.05</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0.05</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0.05</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0.05</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0.05</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0.05</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0.05</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0.05</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0.05</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0.05</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0.05</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0.05</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0.05</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0.05</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0.05</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0.05</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0.05</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0.05</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0.05</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0.05</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0.05</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0.05</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0.05</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0.05</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0.05</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0.05</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0.05</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0.05</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0.05</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0.05</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0.05</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0.05</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0.05</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0.05</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0.05</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0.05</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0.05</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0.05</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0.05</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0.05</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0.05</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0.05</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0.05</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0.05</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0.05</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0.05</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0.05</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0.05</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0.05</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0.05</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0.05</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0.05</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0.05</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0.05</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0.05</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0.05</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0.05</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0.05</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0.05</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0.05</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0.05</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0.05</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0.05</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0.05</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0.05</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0.05</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0.05</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0.05</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0.05</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0.05</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0.05</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0.05</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0.05</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0.05</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0.05</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0.05</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0.05</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0.05</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0.05</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0.05</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0.05</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0.05</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0.05</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0.05</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0.05</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0.05</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0.05</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0.05</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0.05</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0.05</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0.05</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0.05</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0.05</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0.05</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0.05</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0.05</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0.05</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0.05</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0.05</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0.05</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0.05</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0.05</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0.05</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0.05</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0.05</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0.05</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0.05</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0.05</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0.05</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0.05</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0.05</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0.05</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0.05</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0.05</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0.05</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0.05</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0.05</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0.05</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0.05</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0.05</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0.05</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0.05</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0.05</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0.05</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0.05</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0.05</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0.05</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0.05</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0.05</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0.05</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0.05</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0.05</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0.05</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0.05</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0.05</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0.05</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0.05</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0.05</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0.05</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0.05</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0.05</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0.05</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0.05</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0.05</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0.05</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0.05</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0.05</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0.05</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0.05</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0.05</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0.05</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0.05</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0.05</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0.05</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0.05</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0.05</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0.05</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0.05</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0.05</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0.05</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0.05</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0.05</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0.05</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0.05</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0.05</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0.05</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0.05</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0.05</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0.05</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0.05</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0.05</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0.05</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0.05</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0.05</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0.05</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0.05</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0.05</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0.05</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0.05</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0.05</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0.05</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0.05</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0.05</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0.05</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0.05</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0.05</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0.05</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0.05</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0.05</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0.05</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0.05</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0.05</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0.05</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0.05</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0.05</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0.05</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0.05</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0.05</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0.05</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0.05</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0.05</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0.05</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0.05</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0.05</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0.05</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0.05</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0.05</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0.05</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0.05</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0.05</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0.05</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0.05</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0.05</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0.05</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0.05</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0.05</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0.05</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0.05</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0.05</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0.05</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0.05</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0.05</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0.05</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0.05</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0.05</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0.05</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0.05</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0.05</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0.05</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0.05</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0.05</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0.05</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0.05</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0.05</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0.05</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0.05</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0.05</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0.05</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0.05</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0.05</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0.05</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0.05</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0.05</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0.05</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0.05</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0.05</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0.05</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0.05</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0.05</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0.05</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0.05</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0.05</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0.05</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0.05</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0.05</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0.05</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0.05</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0.05</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0.05</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0.05</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0.05</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0.05</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0.05</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0.05</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0.05</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0.05</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0.05</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0.05</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0.05</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0.05</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0.05</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0.05</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0.05</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0.05</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0.05</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0.05</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0.05</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0.05</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0.05</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0.05</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0.05</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0.05</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0.05</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0.05</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0.05</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0.05</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0.05</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0.05</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0.05</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0.05</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0.05</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0.05</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0.05</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0.05</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0.05</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0.05</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0.05</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0.05</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0.05</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0.05</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0.05</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0.05</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0.05</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0.05</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0.05</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0.05</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0.05</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0.05</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0.05</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0.05</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0.05</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0.05</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0.05</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0.05</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0.05</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0.05</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0.05</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0.05</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0.05</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0.05</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0.05</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0.05</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0.05</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0.05</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0.05</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0.05</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0.05</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0.05</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0.05</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0.05</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0.05</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0.05</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0.05</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0.05</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0.05</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0.05</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0.05</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0.05</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0.05</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0.05</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0.05</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0.05</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0.05</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0.05</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0.05</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0.05</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0.05</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0.05</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0.05</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0.05</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0.05</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0.05</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0.05</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0.05</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0.05</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0.05</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0.05</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0.05</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0.05</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0.05</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0.05</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0.05</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0.05</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0.05</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0.05</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0.05</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0.05</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0.05</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0.05</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0.05</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0.05</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0.05</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0.05</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0.05</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0.05</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0.05</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0.05</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0.05</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0.05</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0.05</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0.05</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0.05</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0.05</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0.05</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0.05</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0.05</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0.05</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0.05</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0.05</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0.05</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0.05</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0.05</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0.05</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0.05</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0.05</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0.05</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0.05</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0.05</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0.05</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0.05</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0.05</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0.05</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0.05</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0.05</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0.05</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0.05</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0.05</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0.05</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0.05</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0.05</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0.05</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0.05</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0.05</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0.05</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0.05</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0.05</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0.05</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0.05</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0.05</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0.05</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0.05</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0.05</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0.05</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0.05</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0.05</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0.05</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0.05</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0.05</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0.05</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0.05</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0.05</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0.05</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0.05</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0.05</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0.05</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0.05</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0.05</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0.05</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0.05</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0.05</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0.05</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0.05</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0.05</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0.05</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0.05</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0.05</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0.05</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0.05</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0.05</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0.05</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0.05</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0.05</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0.05</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0.05</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0.05</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0.05</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0.05</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0.05</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1" t="s">
        <v>2840</v>
      </c>
      <c r="B1" s="3831"/>
      <c r="C1" s="3831"/>
      <c r="D1" s="3831"/>
      <c r="E1" s="3831"/>
      <c r="F1" s="3831"/>
      <c r="G1" s="3832"/>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9"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30"/>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3" t="s">
        <v>3182</v>
      </c>
      <c r="B1" s="3833"/>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4" t="s">
        <v>3233</v>
      </c>
      <c r="B1" s="3834"/>
      <c r="C1" s="3834"/>
      <c r="D1" s="3834"/>
      <c r="E1" s="3834"/>
      <c r="F1" s="3835"/>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45142</v>
      </c>
      <c r="B1" s="3205" t="s">
        <v>2839</v>
      </c>
      <c r="C1" s="3206"/>
      <c r="D1" s="3206"/>
      <c r="E1" s="3206"/>
      <c r="F1" s="3206"/>
      <c r="G1" s="3206"/>
      <c r="H1" s="3206"/>
      <c r="I1" s="3206"/>
      <c r="J1" s="3160"/>
      <c r="K1" s="3206" t="s">
        <v>454</v>
      </c>
      <c r="L1" s="3206"/>
      <c r="M1" s="3206"/>
      <c r="N1" s="3206"/>
      <c r="O1" s="3206"/>
      <c r="P1" s="3206"/>
      <c r="Q1" s="3160"/>
      <c r="R1" s="3836" t="s">
        <v>456</v>
      </c>
      <c r="S1" s="3837"/>
      <c r="T1" s="3837"/>
      <c r="U1" s="3837"/>
      <c r="V1" s="3837"/>
      <c r="W1" s="3837"/>
      <c r="X1" s="3160"/>
      <c r="Y1" s="3836" t="s">
        <v>457</v>
      </c>
      <c r="Z1" s="3837"/>
      <c r="AA1" s="3837"/>
      <c r="AB1" s="3837"/>
      <c r="AC1" s="3837"/>
      <c r="AD1" s="3837"/>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6" t="s">
        <v>2827</v>
      </c>
      <c r="S21" s="3837"/>
      <c r="T21" s="3837"/>
      <c r="U21" s="3837"/>
      <c r="V21" s="3837"/>
      <c r="W21" s="3837"/>
      <c r="X21" s="3160"/>
      <c r="Y21" s="3836" t="s">
        <v>2828</v>
      </c>
      <c r="Z21" s="3837"/>
      <c r="AA21" s="3837"/>
      <c r="AB21" s="3837"/>
      <c r="AC21" s="3837"/>
      <c r="AD21" s="3837"/>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0"/>
      <c r="B3" s="3520"/>
      <c r="C3" s="3520"/>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75">
      <c r="A6" s="3519" t="str">
        <f>结果表!A120</f>
        <v>估价师知悉的法定优先受偿款</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75">
      <c r="A8" s="3519" t="str">
        <f>结果表!A122</f>
        <v>房地产抵押价值</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75">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75">
      <c r="A12" s="3519" t="str">
        <f>结果表!A126</f>
        <v/>
      </c>
      <c r="B12" s="3519"/>
      <c r="C12" s="3519"/>
      <c r="D12" s="3519" t="str">
        <f>结果表!D126</f>
        <v>——</v>
      </c>
      <c r="E12" s="3519"/>
      <c r="F12" s="3519"/>
      <c r="G12" s="3519"/>
      <c r="H12" s="3519"/>
      <c r="I12" s="3519"/>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45142</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2" t="s">
        <v>949</v>
      </c>
      <c r="B1" s="3532"/>
      <c r="C1" s="3532"/>
      <c r="D1" s="3532"/>
    </row>
    <row r="2" spans="1:4" ht="18">
      <c r="A2" s="3533" t="s">
        <v>933</v>
      </c>
      <c r="B2" s="3533"/>
      <c r="C2" s="3533"/>
      <c r="D2" s="3533"/>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33" t="s">
        <v>939</v>
      </c>
      <c r="B6" s="3533"/>
      <c r="C6" s="3533"/>
      <c r="D6" s="353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4"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26" t="str">
        <f>IF(项目基本情况!B8="抵押","4.本次评估估价师所知悉的法定优先受偿款情况说明如下：","——")</f>
        <v>4.本次评估估价师所知悉的法定优先受偿款情况说明如下：</v>
      </c>
      <c r="B14" s="3531"/>
      <c r="C14" s="3531"/>
      <c r="D14" s="3531"/>
    </row>
    <row r="15" spans="1:4" ht="42" customHeight="1">
      <c r="A15" s="35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945</v>
      </c>
      <c r="B22" s="3530"/>
      <c r="C22" s="3530"/>
      <c r="D22" s="353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0" t="s">
        <v>956</v>
      </c>
      <c r="B15" s="3535" t="s">
        <v>109</v>
      </c>
      <c r="C15" s="3536"/>
    </row>
    <row r="16" spans="1:7" ht="13.5">
      <c r="A16" s="3541"/>
      <c r="B16" s="3535" t="s">
        <v>42</v>
      </c>
      <c r="C16" s="3536"/>
    </row>
    <row r="17" spans="1:3" ht="13.5">
      <c r="A17" s="3541"/>
      <c r="B17" s="3538" t="s">
        <v>957</v>
      </c>
      <c r="C17" s="1529" t="s">
        <v>956</v>
      </c>
    </row>
    <row r="18" spans="1:3" ht="13.5">
      <c r="A18" s="3541"/>
      <c r="B18" s="3538"/>
      <c r="C18" s="1529" t="s">
        <v>958</v>
      </c>
    </row>
    <row r="19" spans="1:3" ht="13.5">
      <c r="A19" s="3541"/>
      <c r="B19" s="3538"/>
      <c r="C19" s="1529" t="s">
        <v>959</v>
      </c>
    </row>
    <row r="20" spans="1:3" ht="13.5">
      <c r="A20" s="3542"/>
      <c r="B20" s="3537" t="s">
        <v>960</v>
      </c>
      <c r="C20" s="3536"/>
    </row>
    <row r="21" spans="1:3" ht="13.5">
      <c r="A21" s="1530" t="s">
        <v>961</v>
      </c>
      <c r="B21" s="1531"/>
      <c r="C21" s="1532"/>
    </row>
    <row r="22" spans="1:3" ht="13.5">
      <c r="A22" s="3539" t="s">
        <v>962</v>
      </c>
      <c r="B22" s="3537" t="s">
        <v>963</v>
      </c>
      <c r="C22" s="3536"/>
    </row>
    <row r="23" spans="1:3" ht="13.5">
      <c r="A23" s="3539"/>
      <c r="B23" s="3537" t="s">
        <v>964</v>
      </c>
      <c r="C23" s="3536"/>
    </row>
    <row r="24" spans="1:3" ht="13.5">
      <c r="A24" s="3539"/>
      <c r="B24" s="3537" t="s">
        <v>965</v>
      </c>
      <c r="C24" s="3536"/>
    </row>
    <row r="25" spans="1:3" ht="13.5">
      <c r="A25" s="3539"/>
      <c r="B25" s="3538" t="s">
        <v>966</v>
      </c>
      <c r="C25" s="1529" t="s">
        <v>967</v>
      </c>
    </row>
    <row r="26" spans="1:3" ht="13.5">
      <c r="A26" s="3539"/>
      <c r="B26" s="3538"/>
      <c r="C26" s="1529" t="s">
        <v>968</v>
      </c>
    </row>
    <row r="27" spans="1:3" ht="13.5">
      <c r="A27" s="3539"/>
      <c r="B27" s="3538"/>
      <c r="C27" s="1529" t="s">
        <v>969</v>
      </c>
    </row>
    <row r="28" spans="1:3" ht="13.5">
      <c r="A28" s="3539"/>
      <c r="B28" s="3538"/>
      <c r="C28" s="1529" t="s">
        <v>970</v>
      </c>
    </row>
    <row r="29" spans="1:3" ht="13.5">
      <c r="A29" s="3539"/>
      <c r="B29" s="3538"/>
      <c r="C29" s="1529" t="s">
        <v>971</v>
      </c>
    </row>
    <row r="30" spans="1:3" ht="13.5">
      <c r="A30" s="3539"/>
      <c r="B30" s="3538"/>
      <c r="C30" s="1529" t="s">
        <v>972</v>
      </c>
    </row>
    <row r="31" spans="1:3" ht="13.5">
      <c r="A31" s="3539"/>
      <c r="B31" s="3538"/>
      <c r="C31" s="1529" t="s">
        <v>973</v>
      </c>
    </row>
    <row r="32" spans="1:3" ht="13.5">
      <c r="A32" s="3539"/>
      <c r="B32" s="3538"/>
      <c r="C32" s="1529" t="s">
        <v>974</v>
      </c>
    </row>
    <row r="33" spans="1:3" ht="13.5">
      <c r="A33" s="3539"/>
      <c r="B33" s="353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45148</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3" t="s">
        <v>2159</v>
      </c>
      <c r="B17" s="3543"/>
      <c r="C17" s="3543"/>
      <c r="D17" s="3543"/>
      <c r="E17" s="3543"/>
      <c r="F17" s="3543"/>
      <c r="G17" s="3543"/>
      <c r="H17" s="3543"/>
    </row>
    <row r="18" spans="1:8" ht="24" customHeight="1">
      <c r="A18" s="3544" t="s">
        <v>2160</v>
      </c>
      <c r="B18" s="3544"/>
      <c r="C18" s="3544"/>
      <c r="D18" s="2340"/>
      <c r="E18" s="3545" t="s">
        <v>2161</v>
      </c>
      <c r="F18" s="3544"/>
      <c r="G18" s="3544"/>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2023-08-10T02:45:28Z</dcterms:modified>
</cp:coreProperties>
</file>