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10" windowWidth="12120" windowHeight="7620"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结果汇总表" sheetId="77" r:id="rId16"/>
    <sheet name="结果表-商业" sheetId="69" r:id="rId17"/>
    <sheet name="基准地价-商业" sheetId="46" r:id="rId18"/>
    <sheet name="不动产收益法-商业" sheetId="15" r:id="rId19"/>
    <sheet name="剩余法-商业" sheetId="12" r:id="rId20"/>
    <sheet name="不动产比较法-商业" sheetId="33" r:id="rId21"/>
    <sheet name="剩余法-现房" sheetId="43" state="hidden" r:id="rId22"/>
    <sheet name="比较法-住宅、综合" sheetId="39" state="hidden" r:id="rId23"/>
    <sheet name="比较法-工业" sheetId="40"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酒店收入计算" sheetId="57" state="hidden" r:id="rId31"/>
    <sheet name="成本逼近法" sheetId="11" state="hidden" r:id="rId32"/>
    <sheet name="不动产比较法-住宅" sheetId="21" state="hidden" r:id="rId33"/>
    <sheet name="结果表-办公" sheetId="9" r:id="rId34"/>
    <sheet name="基准地价-办公" sheetId="72" r:id="rId35"/>
    <sheet name="不动产收益法-办公" sheetId="78" r:id="rId36"/>
    <sheet name="剩余法-办公" sheetId="75" r:id="rId37"/>
    <sheet name="不动产比较法-办公" sheetId="34"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商业租金案例" sheetId="80" r:id="rId44"/>
    <sheet name="系统读取表" sheetId="66" r:id="rId45"/>
    <sheet name="办公案例" sheetId="73" r:id="rId46"/>
    <sheet name="商业案例" sheetId="74" r:id="rId47"/>
    <sheet name="面积拆分" sheetId="76" r:id="rId48"/>
    <sheet name="地价" sheetId="59" r:id="rId49"/>
    <sheet name="办公租金案例" sheetId="79" r:id="rId50"/>
  </sheets>
  <definedNames>
    <definedName name="_xlnm._FilterDatabase" localSheetId="23" hidden="1">'比较法-工业'!$A$1:$L$45</definedName>
    <definedName name="_xlnm._FilterDatabase" localSheetId="22"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20"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7">'不动产比较法-办公'!$A$4:$J$51</definedName>
    <definedName name="_xlnm.Print_Area" localSheetId="20">'不动产比较法-商业'!$A$3:$J$49</definedName>
    <definedName name="_xlnm.Print_Area" localSheetId="35">'不动产收益法-办公'!$A$1:$F$43</definedName>
    <definedName name="_xlnm.Print_Area" localSheetId="18">'不动产收益法-商业'!$A$1:$F$43</definedName>
    <definedName name="_xlnm.Print_Area" localSheetId="36">'剩余法-办公'!$A$1:$K$37</definedName>
    <definedName name="_xlnm.Print_Area" localSheetId="19">'剩余法-商业'!$A$1:$K$37</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34">'基准地价-办公'!$N$19:$AG$19</definedName>
    <definedName name="季度">'基准地价-商业'!$N$19:$AG$19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Q17" i="77"/>
  <c r="C5" i="9" l="1"/>
  <c r="D5" s="1"/>
  <c r="D5" i="69"/>
  <c r="AH7" i="1" l="1"/>
  <c r="AH6"/>
  <c r="Q73" i="78"/>
  <c r="Q60"/>
  <c r="D60"/>
  <c r="Q59"/>
  <c r="K59"/>
  <c r="P75" s="1"/>
  <c r="F58"/>
  <c r="Q52"/>
  <c r="P62" l="1"/>
  <c r="J50"/>
  <c r="J51" s="1"/>
  <c r="M47"/>
  <c r="L46" l="1"/>
  <c r="F33"/>
  <c r="F60" s="1"/>
  <c r="F31"/>
  <c r="F23"/>
  <c r="D24" s="1"/>
  <c r="D23" l="1"/>
  <c r="D22"/>
  <c r="F21"/>
  <c r="F20"/>
  <c r="M19"/>
  <c r="F18"/>
  <c r="M17"/>
  <c r="F17"/>
  <c r="F15"/>
  <c r="B13" i="77" l="1"/>
  <c r="B12"/>
  <c r="H12" s="1"/>
  <c r="M13" l="1"/>
  <c r="H13"/>
  <c r="M12"/>
  <c r="B14"/>
  <c r="B1" i="76" l="1"/>
  <c r="M9"/>
  <c r="N9"/>
  <c r="F12"/>
  <c r="E12"/>
  <c r="C34" i="34" l="1"/>
  <c r="C33" i="33" l="1"/>
  <c r="F25" i="75" l="1"/>
  <c r="F24"/>
  <c r="F23"/>
  <c r="E22"/>
  <c r="E21"/>
  <c r="E19"/>
  <c r="F17"/>
  <c r="E16"/>
  <c r="F15"/>
  <c r="F14"/>
  <c r="K9"/>
  <c r="J9"/>
  <c r="I9"/>
  <c r="H9"/>
  <c r="G9"/>
  <c r="F9"/>
  <c r="E9"/>
  <c r="D9"/>
  <c r="D29" i="46"/>
  <c r="D29" i="72"/>
  <c r="F20" i="6" l="1"/>
  <c r="F19"/>
  <c r="F113" i="72"/>
  <c r="N99"/>
  <c r="N108" s="1"/>
  <c r="M99"/>
  <c r="M108" s="1"/>
  <c r="L99"/>
  <c r="L108" s="1"/>
  <c r="K99"/>
  <c r="K108" s="1"/>
  <c r="J99"/>
  <c r="J108" s="1"/>
  <c r="I99"/>
  <c r="I108" s="1"/>
  <c r="H99"/>
  <c r="H108" s="1"/>
  <c r="G99"/>
  <c r="G108" s="1"/>
  <c r="F99"/>
  <c r="F108" s="1"/>
  <c r="E99"/>
  <c r="E108" s="1"/>
  <c r="D99"/>
  <c r="D108" s="1"/>
  <c r="C99"/>
  <c r="C108" s="1"/>
  <c r="M87"/>
  <c r="N87" s="1"/>
  <c r="K87"/>
  <c r="J87" s="1"/>
  <c r="D87"/>
  <c r="N86"/>
  <c r="M86"/>
  <c r="K86"/>
  <c r="J86" s="1"/>
  <c r="D86"/>
  <c r="M85"/>
  <c r="N85" s="1"/>
  <c r="K85"/>
  <c r="J85" s="1"/>
  <c r="D85"/>
  <c r="M84"/>
  <c r="N84" s="1"/>
  <c r="K84"/>
  <c r="J84" s="1"/>
  <c r="D84"/>
  <c r="M83"/>
  <c r="N83" s="1"/>
  <c r="K83"/>
  <c r="J83" s="1"/>
  <c r="D83"/>
  <c r="B83"/>
  <c r="M82"/>
  <c r="N82" s="1"/>
  <c r="K82"/>
  <c r="J82" s="1"/>
  <c r="D82"/>
  <c r="B82"/>
  <c r="M81"/>
  <c r="N81" s="1"/>
  <c r="K81"/>
  <c r="J81" s="1"/>
  <c r="D81"/>
  <c r="M80"/>
  <c r="N80" s="1"/>
  <c r="K80"/>
  <c r="J80" s="1"/>
  <c r="F80"/>
  <c r="H86" s="1"/>
  <c r="D80"/>
  <c r="M77"/>
  <c r="N77" s="1"/>
  <c r="K77"/>
  <c r="J77" s="1"/>
  <c r="D77"/>
  <c r="M76"/>
  <c r="N76" s="1"/>
  <c r="K76"/>
  <c r="J76" s="1"/>
  <c r="D76"/>
  <c r="N75"/>
  <c r="M75"/>
  <c r="K75"/>
  <c r="J75" s="1"/>
  <c r="D75"/>
  <c r="N74"/>
  <c r="M74"/>
  <c r="K74"/>
  <c r="J74" s="1"/>
  <c r="D74"/>
  <c r="M73"/>
  <c r="N73" s="1"/>
  <c r="K73"/>
  <c r="J73" s="1"/>
  <c r="D73"/>
  <c r="M72"/>
  <c r="N72" s="1"/>
  <c r="K72"/>
  <c r="J72" s="1"/>
  <c r="D72"/>
  <c r="M71"/>
  <c r="N71" s="1"/>
  <c r="K71"/>
  <c r="J71"/>
  <c r="D71"/>
  <c r="B71"/>
  <c r="M70"/>
  <c r="N70" s="1"/>
  <c r="K70"/>
  <c r="J70" s="1"/>
  <c r="D70"/>
  <c r="M69"/>
  <c r="N69" s="1"/>
  <c r="K69"/>
  <c r="J69" s="1"/>
  <c r="F69"/>
  <c r="H75" s="1"/>
  <c r="D69"/>
  <c r="M66"/>
  <c r="N66" s="1"/>
  <c r="K66"/>
  <c r="J66" s="1"/>
  <c r="D66"/>
  <c r="M65"/>
  <c r="N65" s="1"/>
  <c r="K65"/>
  <c r="J65" s="1"/>
  <c r="D65"/>
  <c r="M64"/>
  <c r="N64" s="1"/>
  <c r="K64"/>
  <c r="J64" s="1"/>
  <c r="D64"/>
  <c r="M63"/>
  <c r="N63" s="1"/>
  <c r="K63"/>
  <c r="J63" s="1"/>
  <c r="M62"/>
  <c r="N62" s="1"/>
  <c r="K62"/>
  <c r="J62" s="1"/>
  <c r="D62"/>
  <c r="M61"/>
  <c r="N61" s="1"/>
  <c r="K61"/>
  <c r="J61" s="1"/>
  <c r="M60"/>
  <c r="N60" s="1"/>
  <c r="K60"/>
  <c r="J60" s="1"/>
  <c r="D60"/>
  <c r="B60"/>
  <c r="N59"/>
  <c r="M59"/>
  <c r="K59"/>
  <c r="J59" s="1"/>
  <c r="M58"/>
  <c r="N58" s="1"/>
  <c r="K58"/>
  <c r="J58" s="1"/>
  <c r="D58"/>
  <c r="M55"/>
  <c r="N55" s="1"/>
  <c r="K55"/>
  <c r="J55" s="1"/>
  <c r="D55"/>
  <c r="M54"/>
  <c r="N54" s="1"/>
  <c r="K54"/>
  <c r="J54" s="1"/>
  <c r="D54"/>
  <c r="M53"/>
  <c r="N53" s="1"/>
  <c r="K53"/>
  <c r="J53" s="1"/>
  <c r="D53"/>
  <c r="M52"/>
  <c r="N52" s="1"/>
  <c r="K52"/>
  <c r="J52" s="1"/>
  <c r="D52"/>
  <c r="M51"/>
  <c r="N51" s="1"/>
  <c r="K51"/>
  <c r="J51" s="1"/>
  <c r="D51"/>
  <c r="M50"/>
  <c r="N50" s="1"/>
  <c r="K50"/>
  <c r="J50" s="1"/>
  <c r="D50"/>
  <c r="M49"/>
  <c r="N49" s="1"/>
  <c r="K49"/>
  <c r="J49" s="1"/>
  <c r="D49"/>
  <c r="B49"/>
  <c r="M48"/>
  <c r="N48" s="1"/>
  <c r="K48"/>
  <c r="J48" s="1"/>
  <c r="D48"/>
  <c r="M47"/>
  <c r="N47" s="1"/>
  <c r="K47"/>
  <c r="J47" s="1"/>
  <c r="F47"/>
  <c r="H54" s="1"/>
  <c r="D47"/>
  <c r="H39"/>
  <c r="H38"/>
  <c r="H37"/>
  <c r="H36"/>
  <c r="H35"/>
  <c r="H34"/>
  <c r="H33"/>
  <c r="J20"/>
  <c r="I19"/>
  <c r="C18"/>
  <c r="F15"/>
  <c r="E15"/>
  <c r="D15"/>
  <c r="C15"/>
  <c r="Y12"/>
  <c r="Y10"/>
  <c r="C10"/>
  <c r="C11" s="1"/>
  <c r="AJ9"/>
  <c r="AJ12" s="1"/>
  <c r="AI9"/>
  <c r="AI10" s="1"/>
  <c r="AH9"/>
  <c r="AH12" s="1"/>
  <c r="AG9"/>
  <c r="AG10" s="1"/>
  <c r="AF9"/>
  <c r="AF12" s="1"/>
  <c r="AE9"/>
  <c r="AE10" s="1"/>
  <c r="AD9"/>
  <c r="AD12" s="1"/>
  <c r="AC9"/>
  <c r="AC10" s="1"/>
  <c r="AB9"/>
  <c r="AB12" s="1"/>
  <c r="AA9"/>
  <c r="AA10" s="1"/>
  <c r="Z9"/>
  <c r="Z12" s="1"/>
  <c r="C9"/>
  <c r="A7"/>
  <c r="I2"/>
  <c r="N12" s="1"/>
  <c r="G2"/>
  <c r="F39" s="1"/>
  <c r="N1"/>
  <c r="D1"/>
  <c r="C112" i="69"/>
  <c r="C109"/>
  <c r="E108"/>
  <c r="D107"/>
  <c r="C107" s="1"/>
  <c r="C105" s="1"/>
  <c r="H95"/>
  <c r="D95"/>
  <c r="C95" s="1"/>
  <c r="C94"/>
  <c r="F77"/>
  <c r="E77"/>
  <c r="P75"/>
  <c r="O75"/>
  <c r="L75"/>
  <c r="K75"/>
  <c r="O74"/>
  <c r="F74"/>
  <c r="P74" s="1"/>
  <c r="O73"/>
  <c r="I73"/>
  <c r="F73"/>
  <c r="P73" s="1"/>
  <c r="D73"/>
  <c r="N73" s="1"/>
  <c r="E66"/>
  <c r="O72" s="1"/>
  <c r="A46"/>
  <c r="C46" s="1"/>
  <c r="A45"/>
  <c r="C45" s="1"/>
  <c r="O40" s="1"/>
  <c r="K31" s="1"/>
  <c r="K32" s="1"/>
  <c r="K44"/>
  <c r="A44"/>
  <c r="C44" s="1"/>
  <c r="K43"/>
  <c r="C43"/>
  <c r="K47" s="1"/>
  <c r="K39"/>
  <c r="K29"/>
  <c r="K30" s="1"/>
  <c r="C25"/>
  <c r="C24"/>
  <c r="N69" l="1"/>
  <c r="O39"/>
  <c r="E80" i="72"/>
  <c r="B78" s="1"/>
  <c r="C12"/>
  <c r="E47"/>
  <c r="B45" s="1"/>
  <c r="D61"/>
  <c r="D63"/>
  <c r="K40" i="69"/>
  <c r="C92"/>
  <c r="D59" i="72"/>
  <c r="E69"/>
  <c r="B67" s="1"/>
  <c r="E58"/>
  <c r="B56" s="1"/>
  <c r="C24" s="1"/>
  <c r="P13" i="77" s="1"/>
  <c r="Q13" s="1"/>
  <c r="M1" i="72"/>
  <c r="H80"/>
  <c r="E9"/>
  <c r="E8"/>
  <c r="E11"/>
  <c r="E10"/>
  <c r="M2"/>
  <c r="N3"/>
  <c r="M4"/>
  <c r="N5"/>
  <c r="C6"/>
  <c r="N6"/>
  <c r="M7"/>
  <c r="M8"/>
  <c r="M9"/>
  <c r="N10"/>
  <c r="Z10"/>
  <c r="AB10"/>
  <c r="AD10"/>
  <c r="AF10"/>
  <c r="AH10"/>
  <c r="AJ10"/>
  <c r="N11"/>
  <c r="M12"/>
  <c r="AA12"/>
  <c r="AC12"/>
  <c r="AE12"/>
  <c r="AG12"/>
  <c r="AI12"/>
  <c r="E17"/>
  <c r="H17"/>
  <c r="J17"/>
  <c r="H47"/>
  <c r="H49"/>
  <c r="H50"/>
  <c r="H53"/>
  <c r="H55"/>
  <c r="H69"/>
  <c r="H71"/>
  <c r="H73"/>
  <c r="H76"/>
  <c r="H77"/>
  <c r="H82"/>
  <c r="H84"/>
  <c r="H87"/>
  <c r="D100"/>
  <c r="F100"/>
  <c r="H100"/>
  <c r="J100"/>
  <c r="L100"/>
  <c r="N100"/>
  <c r="H113"/>
  <c r="N2"/>
  <c r="M3"/>
  <c r="N4"/>
  <c r="F58" s="1"/>
  <c r="M5"/>
  <c r="M6"/>
  <c r="N7"/>
  <c r="X7"/>
  <c r="N8"/>
  <c r="N9"/>
  <c r="M10"/>
  <c r="M11"/>
  <c r="C17"/>
  <c r="G17"/>
  <c r="I17"/>
  <c r="F33"/>
  <c r="F34"/>
  <c r="F35"/>
  <c r="F36"/>
  <c r="F37"/>
  <c r="F38"/>
  <c r="H48"/>
  <c r="H51"/>
  <c r="H52"/>
  <c r="H70"/>
  <c r="H72"/>
  <c r="H74"/>
  <c r="H81"/>
  <c r="H83"/>
  <c r="H85"/>
  <c r="C100"/>
  <c r="E100"/>
  <c r="G100"/>
  <c r="I100"/>
  <c r="K100"/>
  <c r="M100"/>
  <c r="M88" i="69"/>
  <c r="N88" s="1"/>
  <c r="M87"/>
  <c r="N87" s="1"/>
  <c r="M86"/>
  <c r="N86" s="1"/>
  <c r="M85"/>
  <c r="N85" s="1"/>
  <c r="M84"/>
  <c r="N84" s="1"/>
  <c r="M83"/>
  <c r="N83" s="1"/>
  <c r="N89" s="1"/>
  <c r="O89" s="1"/>
  <c r="O41"/>
  <c r="K33"/>
  <c r="C110"/>
  <c r="K41"/>
  <c r="H65" i="72" l="1"/>
  <c r="H60"/>
  <c r="H64"/>
  <c r="H59"/>
  <c r="H63"/>
  <c r="H58"/>
  <c r="H61"/>
  <c r="H66"/>
  <c r="H62"/>
  <c r="C16"/>
  <c r="D5" s="1"/>
  <c r="C7"/>
  <c r="K34" i="69"/>
  <c r="C5" i="72" l="1"/>
  <c r="D17" i="69"/>
  <c r="C17"/>
  <c r="M4"/>
  <c r="L4"/>
  <c r="C18" l="1"/>
  <c r="D3" i="77" s="1"/>
  <c r="D18" i="69" l="1"/>
  <c r="M44" s="1"/>
  <c r="M43"/>
  <c r="L3" i="59"/>
  <c r="K3"/>
  <c r="J3"/>
  <c r="I3"/>
  <c r="AH5"/>
  <c r="AG5"/>
  <c r="AE5"/>
  <c r="AF5" s="1"/>
  <c r="AD5"/>
  <c r="Q5"/>
  <c r="Q6"/>
  <c r="P5"/>
  <c r="P6"/>
  <c r="O5"/>
  <c r="O6"/>
  <c r="N5"/>
  <c r="N6"/>
  <c r="AH6"/>
  <c r="AG6"/>
  <c r="AE6"/>
  <c r="AF6"/>
  <c r="AD6"/>
  <c r="Q7"/>
  <c r="P7"/>
  <c r="O7"/>
  <c r="N7"/>
  <c r="J50" i="15"/>
  <c r="J51" s="1"/>
  <c r="D9" i="59"/>
  <c r="AH7"/>
  <c r="AG7"/>
  <c r="AE7"/>
  <c r="AF7" s="1"/>
  <c r="AD7"/>
  <c r="AE8"/>
  <c r="AF8" s="1"/>
  <c r="AG8"/>
  <c r="AH8"/>
  <c r="AD8"/>
  <c r="Q8"/>
  <c r="P8"/>
  <c r="E8" s="1"/>
  <c r="O8"/>
  <c r="N8"/>
  <c r="N9"/>
  <c r="Q9"/>
  <c r="P9"/>
  <c r="O9"/>
  <c r="K59" i="15"/>
  <c r="P62" s="1"/>
  <c r="P75"/>
  <c r="Q74" i="44"/>
  <c r="Q61"/>
  <c r="Q60"/>
  <c r="Q53"/>
  <c r="J51"/>
  <c r="J52" s="1"/>
  <c r="M48"/>
  <c r="A16" i="55"/>
  <c r="A15"/>
  <c r="B66" i="63" s="1"/>
  <c r="A14" i="55"/>
  <c r="A11"/>
  <c r="A10"/>
  <c r="A9"/>
  <c r="A8"/>
  <c r="A6" i="54"/>
  <c r="B49" i="63" s="1"/>
  <c r="A8" i="54"/>
  <c r="A7"/>
  <c r="A28" i="51"/>
  <c r="A27"/>
  <c r="B20" i="63" s="1"/>
  <c r="Q10" i="59"/>
  <c r="O10"/>
  <c r="N11"/>
  <c r="O11"/>
  <c r="P11"/>
  <c r="Q11"/>
  <c r="N10"/>
  <c r="P10"/>
  <c r="K75" i="9"/>
  <c r="K6" i="4"/>
  <c r="O76" i="9" s="1"/>
  <c r="B22" i="31"/>
  <c r="E15" i="66"/>
  <c r="F15"/>
  <c r="E16"/>
  <c r="F16"/>
  <c r="E17"/>
  <c r="F17"/>
  <c r="E18"/>
  <c r="F18"/>
  <c r="E19"/>
  <c r="F19"/>
  <c r="E20"/>
  <c r="F20"/>
  <c r="E21"/>
  <c r="F21"/>
  <c r="E22"/>
  <c r="F22"/>
  <c r="E23"/>
  <c r="F23"/>
  <c r="B3"/>
  <c r="B8" i="59"/>
  <c r="B7" s="1"/>
  <c r="B6" s="1"/>
  <c r="B5" s="1"/>
  <c r="F8"/>
  <c r="F7" s="1"/>
  <c r="F6" s="1"/>
  <c r="F5" s="1"/>
  <c r="S8"/>
  <c r="AD3"/>
  <c r="AE3"/>
  <c r="AF3" s="1"/>
  <c r="AG3"/>
  <c r="AH3"/>
  <c r="AD9"/>
  <c r="AE9"/>
  <c r="AF9" s="1"/>
  <c r="AG9"/>
  <c r="AH9"/>
  <c r="AD10"/>
  <c r="AE10"/>
  <c r="AF10"/>
  <c r="AG10"/>
  <c r="AH10"/>
  <c r="AD11"/>
  <c r="AE11"/>
  <c r="AF11" s="1"/>
  <c r="AG11"/>
  <c r="AH11"/>
  <c r="AD12"/>
  <c r="AE12"/>
  <c r="AF12" s="1"/>
  <c r="AG12"/>
  <c r="AH12"/>
  <c r="AD13"/>
  <c r="AE13"/>
  <c r="AF13" s="1"/>
  <c r="AG13"/>
  <c r="AH13"/>
  <c r="AD14"/>
  <c r="AE14"/>
  <c r="AF14"/>
  <c r="AG14"/>
  <c r="AH14"/>
  <c r="AD15"/>
  <c r="AE15"/>
  <c r="AF15" s="1"/>
  <c r="AG15"/>
  <c r="AH15"/>
  <c r="AD16"/>
  <c r="AE16"/>
  <c r="AF16" s="1"/>
  <c r="AG16"/>
  <c r="AH16"/>
  <c r="AD17"/>
  <c r="AE17"/>
  <c r="AF17" s="1"/>
  <c r="AG17"/>
  <c r="AH17"/>
  <c r="AD18"/>
  <c r="AE18"/>
  <c r="AF18"/>
  <c r="AG18"/>
  <c r="AH18"/>
  <c r="AD19"/>
  <c r="AE19"/>
  <c r="AF19" s="1"/>
  <c r="AG19"/>
  <c r="AH19"/>
  <c r="AD20"/>
  <c r="AE20"/>
  <c r="AF20" s="1"/>
  <c r="AG20"/>
  <c r="AH20"/>
  <c r="AD21"/>
  <c r="AE21"/>
  <c r="AF21" s="1"/>
  <c r="AG21"/>
  <c r="AH21"/>
  <c r="AD22"/>
  <c r="AE22"/>
  <c r="AF22"/>
  <c r="AG22"/>
  <c r="AH22"/>
  <c r="AH23"/>
  <c r="AG23"/>
  <c r="AE23"/>
  <c r="AF23"/>
  <c r="AD23"/>
  <c r="AD24"/>
  <c r="AE24"/>
  <c r="AF24"/>
  <c r="AG24"/>
  <c r="AH24"/>
  <c r="S2" i="31"/>
  <c r="M2"/>
  <c r="N2"/>
  <c r="O2"/>
  <c r="P2"/>
  <c r="Q2"/>
  <c r="R2"/>
  <c r="C8" i="59"/>
  <c r="C7" s="1"/>
  <c r="C3" i="65"/>
  <c r="C1"/>
  <c r="N1" s="1"/>
  <c r="B76" i="63"/>
  <c r="M5" i="54"/>
  <c r="A23" i="51"/>
  <c r="Y12" i="46"/>
  <c r="AA9"/>
  <c r="AA10" s="1"/>
  <c r="AB9"/>
  <c r="AC9"/>
  <c r="AC10" s="1"/>
  <c r="AD9"/>
  <c r="AE9"/>
  <c r="AE10" s="1"/>
  <c r="AF9"/>
  <c r="AG9"/>
  <c r="AG10" s="1"/>
  <c r="AH9"/>
  <c r="AI9"/>
  <c r="AI10" s="1"/>
  <c r="AJ9"/>
  <c r="Z9"/>
  <c r="Z10" s="1"/>
  <c r="AJ10"/>
  <c r="AH10"/>
  <c r="AF10"/>
  <c r="AD10"/>
  <c r="AB10"/>
  <c r="Y10"/>
  <c r="AJ12"/>
  <c r="AH12"/>
  <c r="AF12"/>
  <c r="AD12"/>
  <c r="AB12"/>
  <c r="Z12"/>
  <c r="AC12"/>
  <c r="B73" i="63"/>
  <c r="A21" i="64"/>
  <c r="B75" i="63" s="1"/>
  <c r="A27" i="64"/>
  <c r="A15"/>
  <c r="A14"/>
  <c r="A11"/>
  <c r="A3"/>
  <c r="A45" i="9"/>
  <c r="K40" s="1"/>
  <c r="A44"/>
  <c r="C57" i="10"/>
  <c r="A28" i="64" s="1"/>
  <c r="C56" i="10"/>
  <c r="C55"/>
  <c r="C54"/>
  <c r="B44" i="63"/>
  <c r="B40"/>
  <c r="B30"/>
  <c r="B27"/>
  <c r="B25"/>
  <c r="A11" i="51"/>
  <c r="A26" i="64"/>
  <c r="A26" i="51"/>
  <c r="K39" i="9"/>
  <c r="B58" i="63"/>
  <c r="B53"/>
  <c r="B51"/>
  <c r="A46" i="9"/>
  <c r="K41" s="1"/>
  <c r="B8" i="63"/>
  <c r="A21" i="55"/>
  <c r="B71" i="63" s="1"/>
  <c r="A20" i="55"/>
  <c r="B69" i="63" s="1"/>
  <c r="B26"/>
  <c r="B28"/>
  <c r="B29"/>
  <c r="B31"/>
  <c r="B33"/>
  <c r="B35"/>
  <c r="B36"/>
  <c r="B37"/>
  <c r="B63"/>
  <c r="B64"/>
  <c r="B68"/>
  <c r="D51" i="10"/>
  <c r="B61" i="63"/>
  <c r="B60"/>
  <c r="B59"/>
  <c r="B10"/>
  <c r="B51" i="10"/>
  <c r="B17" i="63"/>
  <c r="A15" i="51"/>
  <c r="B12" i="63"/>
  <c r="A14" i="51"/>
  <c r="B11" i="63"/>
  <c r="A4" i="55"/>
  <c r="B57" i="63"/>
  <c r="B41"/>
  <c r="G5" i="54"/>
  <c r="B34" i="63" s="1"/>
  <c r="E5" i="54"/>
  <c r="B32" i="63" s="1"/>
  <c r="R2" i="54"/>
  <c r="B24" i="63" s="1"/>
  <c r="B19"/>
  <c r="B49" i="50"/>
  <c r="B5" i="63" s="1"/>
  <c r="B40" i="50"/>
  <c r="B3" i="63" s="1"/>
  <c r="N4"/>
  <c r="B21"/>
  <c r="B67"/>
  <c r="I19" i="46"/>
  <c r="Q12" i="59"/>
  <c r="P12"/>
  <c r="E12" s="1"/>
  <c r="O12"/>
  <c r="N12"/>
  <c r="B12" s="1"/>
  <c r="D73"/>
  <c r="F72"/>
  <c r="F71" s="1"/>
  <c r="F70" s="1"/>
  <c r="E72"/>
  <c r="E71" s="1"/>
  <c r="E70" s="1"/>
  <c r="C72"/>
  <c r="D72" s="1"/>
  <c r="B72"/>
  <c r="B71"/>
  <c r="B70" s="1"/>
  <c r="D69"/>
  <c r="F68"/>
  <c r="F67" s="1"/>
  <c r="F66" s="1"/>
  <c r="E68"/>
  <c r="E67" s="1"/>
  <c r="E66" s="1"/>
  <c r="C68"/>
  <c r="D68" s="1"/>
  <c r="B68"/>
  <c r="B67"/>
  <c r="B66" s="1"/>
  <c r="D65"/>
  <c r="Q64"/>
  <c r="P64"/>
  <c r="O64"/>
  <c r="N64"/>
  <c r="F64"/>
  <c r="V64" s="1"/>
  <c r="E64"/>
  <c r="U64" s="1"/>
  <c r="C64"/>
  <c r="T64" s="1"/>
  <c r="B64"/>
  <c r="S64" s="1"/>
  <c r="Q63"/>
  <c r="P63"/>
  <c r="O63"/>
  <c r="N63"/>
  <c r="F63"/>
  <c r="F62" s="1"/>
  <c r="B63"/>
  <c r="B62" s="1"/>
  <c r="Q62"/>
  <c r="P62"/>
  <c r="O62"/>
  <c r="N62"/>
  <c r="Q61"/>
  <c r="P61"/>
  <c r="O61"/>
  <c r="N6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F52"/>
  <c r="V52" s="1"/>
  <c r="E52"/>
  <c r="E51" s="1"/>
  <c r="C52"/>
  <c r="B52"/>
  <c r="N52" s="1"/>
  <c r="F51"/>
  <c r="F50" s="1"/>
  <c r="D49"/>
  <c r="Q48"/>
  <c r="P48"/>
  <c r="O48"/>
  <c r="N48"/>
  <c r="Q47"/>
  <c r="P47"/>
  <c r="O47"/>
  <c r="N47"/>
  <c r="Q46"/>
  <c r="P46"/>
  <c r="O46"/>
  <c r="N46"/>
  <c r="Q45"/>
  <c r="F46" s="1"/>
  <c r="F47" s="1"/>
  <c r="F48" s="1"/>
  <c r="V48" s="1"/>
  <c r="P45"/>
  <c r="E46" s="1"/>
  <c r="E47" s="1"/>
  <c r="E48" s="1"/>
  <c r="U48" s="1"/>
  <c r="O45"/>
  <c r="C46"/>
  <c r="N45"/>
  <c r="B46"/>
  <c r="B47" s="1"/>
  <c r="B48" s="1"/>
  <c r="S48" s="1"/>
  <c r="D45"/>
  <c r="Q44"/>
  <c r="P44"/>
  <c r="O44"/>
  <c r="N44"/>
  <c r="Q43"/>
  <c r="P43"/>
  <c r="O43"/>
  <c r="N43"/>
  <c r="Q42"/>
  <c r="P42"/>
  <c r="O42"/>
  <c r="N42"/>
  <c r="Q41"/>
  <c r="F42" s="1"/>
  <c r="F43" s="1"/>
  <c r="F44" s="1"/>
  <c r="V44" s="1"/>
  <c r="P41"/>
  <c r="E42" s="1"/>
  <c r="E43" s="1"/>
  <c r="E44" s="1"/>
  <c r="U44" s="1"/>
  <c r="O41"/>
  <c r="C42" s="1"/>
  <c r="N41"/>
  <c r="B42" s="1"/>
  <c r="B43" s="1"/>
  <c r="B44" s="1"/>
  <c r="S44" s="1"/>
  <c r="D41"/>
  <c r="Q40"/>
  <c r="P40"/>
  <c r="O40"/>
  <c r="N40"/>
  <c r="Q39"/>
  <c r="P39"/>
  <c r="O39"/>
  <c r="N39"/>
  <c r="Q38"/>
  <c r="P38"/>
  <c r="O38"/>
  <c r="N38"/>
  <c r="Q37"/>
  <c r="F38" s="1"/>
  <c r="F39" s="1"/>
  <c r="F40" s="1"/>
  <c r="V40" s="1"/>
  <c r="P37"/>
  <c r="E38" s="1"/>
  <c r="E39" s="1"/>
  <c r="E40" s="1"/>
  <c r="U40" s="1"/>
  <c r="O37"/>
  <c r="C38"/>
  <c r="N37"/>
  <c r="B38"/>
  <c r="B39" s="1"/>
  <c r="B40" s="1"/>
  <c r="S40" s="1"/>
  <c r="D37"/>
  <c r="Q36"/>
  <c r="P36"/>
  <c r="O36"/>
  <c r="N36"/>
  <c r="Q35"/>
  <c r="P35"/>
  <c r="O35"/>
  <c r="N35"/>
  <c r="Q34"/>
  <c r="P34"/>
  <c r="O34"/>
  <c r="N34"/>
  <c r="Q33"/>
  <c r="F34" s="1"/>
  <c r="F35" s="1"/>
  <c r="F36" s="1"/>
  <c r="V36" s="1"/>
  <c r="P33"/>
  <c r="E34" s="1"/>
  <c r="E35" s="1"/>
  <c r="E36" s="1"/>
  <c r="U36" s="1"/>
  <c r="O33"/>
  <c r="C34" s="1"/>
  <c r="N33"/>
  <c r="B34" s="1"/>
  <c r="B35" s="1"/>
  <c r="B36" s="1"/>
  <c r="S36" s="1"/>
  <c r="D33"/>
  <c r="T32"/>
  <c r="Q32"/>
  <c r="P32"/>
  <c r="O32"/>
  <c r="N32"/>
  <c r="D32"/>
  <c r="Q31"/>
  <c r="P31"/>
  <c r="O31"/>
  <c r="N31"/>
  <c r="Q30"/>
  <c r="P30"/>
  <c r="O30"/>
  <c r="N30"/>
  <c r="Q29"/>
  <c r="F30" s="1"/>
  <c r="F31" s="1"/>
  <c r="F32" s="1"/>
  <c r="V32" s="1"/>
  <c r="P29"/>
  <c r="E30" s="1"/>
  <c r="E31" s="1"/>
  <c r="E32" s="1"/>
  <c r="U32" s="1"/>
  <c r="O29"/>
  <c r="C30" s="1"/>
  <c r="N29"/>
  <c r="B30" s="1"/>
  <c r="B31" s="1"/>
  <c r="B32" s="1"/>
  <c r="S32" s="1"/>
  <c r="D29"/>
  <c r="Q28"/>
  <c r="P28"/>
  <c r="O28"/>
  <c r="N28"/>
  <c r="Q27"/>
  <c r="P27"/>
  <c r="O27"/>
  <c r="N27"/>
  <c r="Q26"/>
  <c r="P26"/>
  <c r="O26"/>
  <c r="N26"/>
  <c r="Q25"/>
  <c r="F26" s="1"/>
  <c r="F27" s="1"/>
  <c r="F28" s="1"/>
  <c r="V28" s="1"/>
  <c r="P25"/>
  <c r="E26" s="1"/>
  <c r="E27" s="1"/>
  <c r="E28" s="1"/>
  <c r="U28" s="1"/>
  <c r="O25"/>
  <c r="C26"/>
  <c r="N25"/>
  <c r="B26"/>
  <c r="B27" s="1"/>
  <c r="B28" s="1"/>
  <c r="S28" s="1"/>
  <c r="D25"/>
  <c r="Q24"/>
  <c r="P24"/>
  <c r="O24"/>
  <c r="N24"/>
  <c r="Q23"/>
  <c r="AB23" s="1"/>
  <c r="P23"/>
  <c r="O23"/>
  <c r="Y23" s="1"/>
  <c r="Z23" s="1"/>
  <c r="N23"/>
  <c r="X23" s="1"/>
  <c r="Q22"/>
  <c r="AB22" s="1"/>
  <c r="P22"/>
  <c r="O22"/>
  <c r="N22"/>
  <c r="X22" s="1"/>
  <c r="Q21"/>
  <c r="AB21" s="1"/>
  <c r="F22"/>
  <c r="P21"/>
  <c r="E22" s="1"/>
  <c r="E23" s="1"/>
  <c r="E24" s="1"/>
  <c r="U24" s="1"/>
  <c r="O21"/>
  <c r="Y21" s="1"/>
  <c r="Z21" s="1"/>
  <c r="N21"/>
  <c r="X21" s="1"/>
  <c r="D21"/>
  <c r="Q20"/>
  <c r="AB20" s="1"/>
  <c r="P20"/>
  <c r="O20"/>
  <c r="Y20" s="1"/>
  <c r="Z20" s="1"/>
  <c r="N20"/>
  <c r="Q19"/>
  <c r="AB19" s="1"/>
  <c r="P19"/>
  <c r="O19"/>
  <c r="Y19" s="1"/>
  <c r="Z19" s="1"/>
  <c r="N19"/>
  <c r="Q18"/>
  <c r="AB18" s="1"/>
  <c r="P18"/>
  <c r="O18"/>
  <c r="Y18" s="1"/>
  <c r="Z18" s="1"/>
  <c r="N18"/>
  <c r="Q17"/>
  <c r="AB17" s="1"/>
  <c r="P17"/>
  <c r="AA17" s="1"/>
  <c r="O17"/>
  <c r="C18" s="1"/>
  <c r="N17"/>
  <c r="B18" s="1"/>
  <c r="B19" s="1"/>
  <c r="B20" s="1"/>
  <c r="S20" s="1"/>
  <c r="D17"/>
  <c r="Q16"/>
  <c r="P16"/>
  <c r="AA16" s="1"/>
  <c r="O16"/>
  <c r="N16"/>
  <c r="X16" s="1"/>
  <c r="Q15"/>
  <c r="P15"/>
  <c r="AA15" s="1"/>
  <c r="O15"/>
  <c r="N15"/>
  <c r="X15" s="1"/>
  <c r="Q14"/>
  <c r="P14"/>
  <c r="AA14" s="1"/>
  <c r="O14"/>
  <c r="N14"/>
  <c r="X14" s="1"/>
  <c r="Q13"/>
  <c r="F14"/>
  <c r="F15" s="1"/>
  <c r="F16" s="1"/>
  <c r="V16" s="1"/>
  <c r="P13"/>
  <c r="O13"/>
  <c r="Y13" s="1"/>
  <c r="Z13" s="1"/>
  <c r="N13"/>
  <c r="D13"/>
  <c r="X11"/>
  <c r="AA10"/>
  <c r="AB12"/>
  <c r="AB3"/>
  <c r="AB9"/>
  <c r="AB10"/>
  <c r="AB11"/>
  <c r="E14"/>
  <c r="E15"/>
  <c r="E16" s="1"/>
  <c r="U16" s="1"/>
  <c r="S52"/>
  <c r="AA23"/>
  <c r="F23"/>
  <c r="F24" s="1"/>
  <c r="V24" s="1"/>
  <c r="C27"/>
  <c r="D27" s="1"/>
  <c r="D26"/>
  <c r="C39"/>
  <c r="D38"/>
  <c r="C47"/>
  <c r="D46"/>
  <c r="Q51"/>
  <c r="T52"/>
  <c r="O52"/>
  <c r="D52"/>
  <c r="C51"/>
  <c r="C50" s="1"/>
  <c r="P52"/>
  <c r="U52"/>
  <c r="Q52"/>
  <c r="C55"/>
  <c r="C54" s="1"/>
  <c r="D54" s="1"/>
  <c r="E55"/>
  <c r="E54" s="1"/>
  <c r="D56"/>
  <c r="C59"/>
  <c r="D59" s="1"/>
  <c r="E59"/>
  <c r="E58" s="1"/>
  <c r="D60"/>
  <c r="C63"/>
  <c r="D63" s="1"/>
  <c r="E63"/>
  <c r="E62" s="1"/>
  <c r="D64"/>
  <c r="C67"/>
  <c r="C66" s="1"/>
  <c r="D66" s="1"/>
  <c r="C71"/>
  <c r="D71" s="1"/>
  <c r="U16" i="4"/>
  <c r="S16"/>
  <c r="Q16"/>
  <c r="O16"/>
  <c r="M16"/>
  <c r="K16"/>
  <c r="C70" i="59"/>
  <c r="D70" s="1"/>
  <c r="C62"/>
  <c r="D62" s="1"/>
  <c r="D55"/>
  <c r="O51"/>
  <c r="D67"/>
  <c r="C58"/>
  <c r="D58" s="1"/>
  <c r="C48"/>
  <c r="D48" s="1"/>
  <c r="D47"/>
  <c r="C40"/>
  <c r="D40" s="1"/>
  <c r="D39"/>
  <c r="C28"/>
  <c r="D28" s="1"/>
  <c r="T28"/>
  <c r="T40"/>
  <c r="T48"/>
  <c r="O27" i="6"/>
  <c r="N27"/>
  <c r="P26"/>
  <c r="L26"/>
  <c r="P25"/>
  <c r="L25"/>
  <c r="P24"/>
  <c r="L24"/>
  <c r="P23"/>
  <c r="L23"/>
  <c r="P22"/>
  <c r="L22"/>
  <c r="P21"/>
  <c r="L21"/>
  <c r="P20"/>
  <c r="P19"/>
  <c r="P27" s="1"/>
  <c r="Q18" i="36"/>
  <c r="Z18" s="1"/>
  <c r="C18"/>
  <c r="D66"/>
  <c r="F18"/>
  <c r="AA18" s="1"/>
  <c r="Q18" i="35"/>
  <c r="Z18" s="1"/>
  <c r="F18"/>
  <c r="AA18" s="1"/>
  <c r="C18"/>
  <c r="D68"/>
  <c r="E68"/>
  <c r="F68" s="1"/>
  <c r="G68" s="1"/>
  <c r="Q21" i="37"/>
  <c r="Z21" s="1"/>
  <c r="F21"/>
  <c r="AA21" s="1"/>
  <c r="C21"/>
  <c r="D77"/>
  <c r="E77" s="1"/>
  <c r="F77" s="1"/>
  <c r="G77" s="1"/>
  <c r="Q21" i="34"/>
  <c r="Z21" s="1"/>
  <c r="C21"/>
  <c r="D84"/>
  <c r="F21"/>
  <c r="AA21" s="1"/>
  <c r="Q21" i="33"/>
  <c r="Z21" s="1"/>
  <c r="C21"/>
  <c r="D83"/>
  <c r="E83" s="1"/>
  <c r="F83" s="1"/>
  <c r="G83" s="1"/>
  <c r="Q21" i="21"/>
  <c r="Z21" s="1"/>
  <c r="D83"/>
  <c r="E83" s="1"/>
  <c r="F83" s="1"/>
  <c r="G83" s="1"/>
  <c r="F21"/>
  <c r="AA21" s="1"/>
  <c r="C21"/>
  <c r="Q27" i="40"/>
  <c r="Z27" s="1"/>
  <c r="D96"/>
  <c r="E96"/>
  <c r="F27"/>
  <c r="AA27"/>
  <c r="Q31" i="39"/>
  <c r="Z31" s="1"/>
  <c r="D105"/>
  <c r="E105" s="1"/>
  <c r="F105" s="1"/>
  <c r="F31"/>
  <c r="AA31" s="1"/>
  <c r="G20" i="20"/>
  <c r="B85" i="72" s="1"/>
  <c r="C22" i="20"/>
  <c r="C31" i="39" s="1"/>
  <c r="S18" i="36"/>
  <c r="S18" i="35"/>
  <c r="S21" i="37"/>
  <c r="S27" i="40"/>
  <c r="C27"/>
  <c r="B74" i="46"/>
  <c r="E66" i="36"/>
  <c r="H18" i="35"/>
  <c r="J18"/>
  <c r="H21" i="37"/>
  <c r="J21"/>
  <c r="E84" i="34"/>
  <c r="F84" s="1"/>
  <c r="G84" s="1"/>
  <c r="J21"/>
  <c r="H21"/>
  <c r="F21" i="33"/>
  <c r="H21"/>
  <c r="J21"/>
  <c r="H21" i="21"/>
  <c r="J21"/>
  <c r="F96" i="40"/>
  <c r="H27"/>
  <c r="H31" i="39"/>
  <c r="F23" i="15"/>
  <c r="D22" s="1"/>
  <c r="G17" i="11"/>
  <c r="F15" i="15"/>
  <c r="F17"/>
  <c r="F18"/>
  <c r="F20"/>
  <c r="F21"/>
  <c r="F33"/>
  <c r="F60" s="1"/>
  <c r="K2" i="4"/>
  <c r="A2" i="69" s="1"/>
  <c r="K1" i="4"/>
  <c r="B1"/>
  <c r="B37" i="50" s="1"/>
  <c r="B2" i="63" s="1"/>
  <c r="C31" i="57"/>
  <c r="C32"/>
  <c r="I23"/>
  <c r="D20"/>
  <c r="I19"/>
  <c r="I18"/>
  <c r="I17"/>
  <c r="I20" s="1"/>
  <c r="E15"/>
  <c r="I14"/>
  <c r="I13"/>
  <c r="I12"/>
  <c r="I9"/>
  <c r="I8"/>
  <c r="I7"/>
  <c r="I6"/>
  <c r="I5"/>
  <c r="I4"/>
  <c r="I3"/>
  <c r="I10" s="1"/>
  <c r="C30"/>
  <c r="E26"/>
  <c r="C112" i="9"/>
  <c r="C7" i="11"/>
  <c r="F80" i="46"/>
  <c r="H81" s="1"/>
  <c r="D1"/>
  <c r="F113"/>
  <c r="D99"/>
  <c r="D108" s="1"/>
  <c r="E99"/>
  <c r="E108" s="1"/>
  <c r="F99"/>
  <c r="F100" s="1"/>
  <c r="G99"/>
  <c r="G108" s="1"/>
  <c r="H99"/>
  <c r="H108" s="1"/>
  <c r="I99"/>
  <c r="I108" s="1"/>
  <c r="J99"/>
  <c r="J108" s="1"/>
  <c r="K99"/>
  <c r="K108" s="1"/>
  <c r="L99"/>
  <c r="L108" s="1"/>
  <c r="M99"/>
  <c r="M108"/>
  <c r="N99"/>
  <c r="N108"/>
  <c r="C99"/>
  <c r="C108"/>
  <c r="K100"/>
  <c r="L100"/>
  <c r="K58"/>
  <c r="J58" s="1"/>
  <c r="D58"/>
  <c r="K50"/>
  <c r="D83"/>
  <c r="D77"/>
  <c r="B83"/>
  <c r="B82"/>
  <c r="B71"/>
  <c r="B60"/>
  <c r="B49"/>
  <c r="M87"/>
  <c r="N87" s="1"/>
  <c r="K87"/>
  <c r="J87" s="1"/>
  <c r="D87"/>
  <c r="M86"/>
  <c r="D86"/>
  <c r="K86"/>
  <c r="J86" s="1"/>
  <c r="M85"/>
  <c r="N85" s="1"/>
  <c r="D85"/>
  <c r="K85"/>
  <c r="J85" s="1"/>
  <c r="M84"/>
  <c r="N84" s="1"/>
  <c r="K84"/>
  <c r="J84" s="1"/>
  <c r="M83"/>
  <c r="N83" s="1"/>
  <c r="K83"/>
  <c r="J83" s="1"/>
  <c r="M82"/>
  <c r="N82" s="1"/>
  <c r="K82"/>
  <c r="J82" s="1"/>
  <c r="D82"/>
  <c r="M81"/>
  <c r="N81" s="1"/>
  <c r="K81"/>
  <c r="J81" s="1"/>
  <c r="M80"/>
  <c r="N80" s="1"/>
  <c r="K80"/>
  <c r="J80" s="1"/>
  <c r="M77"/>
  <c r="N77" s="1"/>
  <c r="K77"/>
  <c r="J77" s="1"/>
  <c r="M76"/>
  <c r="N76" s="1"/>
  <c r="D76"/>
  <c r="K76"/>
  <c r="J76" s="1"/>
  <c r="M75"/>
  <c r="N75" s="1"/>
  <c r="K75"/>
  <c r="J75" s="1"/>
  <c r="M74"/>
  <c r="N74" s="1"/>
  <c r="K74"/>
  <c r="J74" s="1"/>
  <c r="D74"/>
  <c r="M73"/>
  <c r="D73"/>
  <c r="K73"/>
  <c r="J73"/>
  <c r="M72"/>
  <c r="N72"/>
  <c r="K72"/>
  <c r="J72"/>
  <c r="D72"/>
  <c r="M71"/>
  <c r="N71" s="1"/>
  <c r="K71"/>
  <c r="J71" s="1"/>
  <c r="M70"/>
  <c r="N70" s="1"/>
  <c r="K70"/>
  <c r="J70" s="1"/>
  <c r="D70"/>
  <c r="M69"/>
  <c r="N69"/>
  <c r="K69"/>
  <c r="J69"/>
  <c r="M66"/>
  <c r="N66"/>
  <c r="K66"/>
  <c r="M65"/>
  <c r="N65" s="1"/>
  <c r="K65"/>
  <c r="J65" s="1"/>
  <c r="D65"/>
  <c r="M64"/>
  <c r="N64"/>
  <c r="K64"/>
  <c r="J64"/>
  <c r="D64"/>
  <c r="M63"/>
  <c r="N63" s="1"/>
  <c r="K63"/>
  <c r="J63" s="1"/>
  <c r="D63"/>
  <c r="M62"/>
  <c r="N62"/>
  <c r="K62"/>
  <c r="J62"/>
  <c r="D62"/>
  <c r="M61"/>
  <c r="N61" s="1"/>
  <c r="K61"/>
  <c r="J61" s="1"/>
  <c r="D61"/>
  <c r="M60"/>
  <c r="N60"/>
  <c r="K60"/>
  <c r="J60"/>
  <c r="D60"/>
  <c r="M59"/>
  <c r="N59" s="1"/>
  <c r="K59"/>
  <c r="J59" s="1"/>
  <c r="D59"/>
  <c r="M58"/>
  <c r="N58"/>
  <c r="M55"/>
  <c r="N55" s="1"/>
  <c r="K55"/>
  <c r="M54"/>
  <c r="N54" s="1"/>
  <c r="K54"/>
  <c r="J54" s="1"/>
  <c r="M53"/>
  <c r="N53" s="1"/>
  <c r="K53"/>
  <c r="J53" s="1"/>
  <c r="M52"/>
  <c r="N52" s="1"/>
  <c r="K52"/>
  <c r="M51"/>
  <c r="N51" s="1"/>
  <c r="K51"/>
  <c r="M50"/>
  <c r="N50" s="1"/>
  <c r="M49"/>
  <c r="N49" s="1"/>
  <c r="K49"/>
  <c r="J49" s="1"/>
  <c r="M48"/>
  <c r="N48" s="1"/>
  <c r="K48"/>
  <c r="J48" s="1"/>
  <c r="D48"/>
  <c r="M47"/>
  <c r="N47" s="1"/>
  <c r="K47"/>
  <c r="J47" s="1"/>
  <c r="J51"/>
  <c r="N86"/>
  <c r="D80"/>
  <c r="D81"/>
  <c r="N73"/>
  <c r="D75"/>
  <c r="J66"/>
  <c r="D66"/>
  <c r="J50"/>
  <c r="D50"/>
  <c r="D54"/>
  <c r="Q73" i="15"/>
  <c r="Q60"/>
  <c r="Q59"/>
  <c r="Q52"/>
  <c r="AE9" i="1"/>
  <c r="AE10"/>
  <c r="AE11"/>
  <c r="AE12"/>
  <c r="AE13"/>
  <c r="M47" i="15"/>
  <c r="AG8" i="1"/>
  <c r="AG9"/>
  <c r="AG10"/>
  <c r="AG11"/>
  <c r="AG12"/>
  <c r="AG13"/>
  <c r="D12" i="31"/>
  <c r="E12"/>
  <c r="F12" s="1"/>
  <c r="G12" s="1"/>
  <c r="H12" s="1"/>
  <c r="I12" s="1"/>
  <c r="J12" s="1"/>
  <c r="K12" s="1"/>
  <c r="L12" s="1"/>
  <c r="M12" s="1"/>
  <c r="N12" s="1"/>
  <c r="O12" s="1"/>
  <c r="P12" s="1"/>
  <c r="Q12" s="1"/>
  <c r="R12" s="1"/>
  <c r="S12" s="1"/>
  <c r="D10"/>
  <c r="E10"/>
  <c r="F10" s="1"/>
  <c r="G10" s="1"/>
  <c r="H10" s="1"/>
  <c r="I10" s="1"/>
  <c r="J10" s="1"/>
  <c r="K10" s="1"/>
  <c r="L10" s="1"/>
  <c r="M10" s="1"/>
  <c r="N10" s="1"/>
  <c r="O10" s="1"/>
  <c r="P10" s="1"/>
  <c r="Q10" s="1"/>
  <c r="R10" s="1"/>
  <c r="S10" s="1"/>
  <c r="D8"/>
  <c r="E8"/>
  <c r="F8" s="1"/>
  <c r="G8" s="1"/>
  <c r="H8" s="1"/>
  <c r="I8" s="1"/>
  <c r="J8" s="1"/>
  <c r="K8" s="1"/>
  <c r="L8" s="1"/>
  <c r="M8" s="1"/>
  <c r="N8" s="1"/>
  <c r="O8" s="1"/>
  <c r="P8" s="1"/>
  <c r="Q8" s="1"/>
  <c r="R8" s="1"/>
  <c r="S8" s="1"/>
  <c r="D6"/>
  <c r="E6"/>
  <c r="F6" s="1"/>
  <c r="G6" s="1"/>
  <c r="H6" s="1"/>
  <c r="I6" s="1"/>
  <c r="J6" s="1"/>
  <c r="K6" s="1"/>
  <c r="L6" s="1"/>
  <c r="M6" s="1"/>
  <c r="N6" s="1"/>
  <c r="O6" s="1"/>
  <c r="P6" s="1"/>
  <c r="Q6" s="1"/>
  <c r="R6" s="1"/>
  <c r="S6" s="1"/>
  <c r="F11" i="1"/>
  <c r="F12"/>
  <c r="AP12" s="1"/>
  <c r="F13"/>
  <c r="AP13" s="1"/>
  <c r="D11"/>
  <c r="D12"/>
  <c r="D13"/>
  <c r="D6"/>
  <c r="D7"/>
  <c r="D8"/>
  <c r="D9"/>
  <c r="F10"/>
  <c r="AP10" s="1"/>
  <c r="D10"/>
  <c r="B2"/>
  <c r="C42"/>
  <c r="C25" i="75" s="1"/>
  <c r="A12" i="1"/>
  <c r="R12"/>
  <c r="A13"/>
  <c r="B13"/>
  <c r="E13" s="1"/>
  <c r="A7"/>
  <c r="A8"/>
  <c r="A9"/>
  <c r="A10"/>
  <c r="R10" s="1"/>
  <c r="A11"/>
  <c r="A6"/>
  <c r="T4"/>
  <c r="K12"/>
  <c r="M12" s="1"/>
  <c r="K13"/>
  <c r="M13" s="1"/>
  <c r="G79" i="36"/>
  <c r="G85" i="35"/>
  <c r="G97" i="37"/>
  <c r="G110" i="34"/>
  <c r="G109" i="33"/>
  <c r="L2" i="31"/>
  <c r="K2"/>
  <c r="J2"/>
  <c r="I2"/>
  <c r="H2"/>
  <c r="G2"/>
  <c r="F2"/>
  <c r="E2"/>
  <c r="D2"/>
  <c r="C2"/>
  <c r="D60" i="15"/>
  <c r="G19" i="20"/>
  <c r="B84" i="72" s="1"/>
  <c r="BT112" i="3"/>
  <c r="BS112"/>
  <c r="BR112"/>
  <c r="BQ112"/>
  <c r="BP112"/>
  <c r="BO112"/>
  <c r="BN112"/>
  <c r="BM112"/>
  <c r="BL112"/>
  <c r="BK112"/>
  <c r="BJ112"/>
  <c r="BI112"/>
  <c r="BH112"/>
  <c r="BG112"/>
  <c r="BF112"/>
  <c r="BE112"/>
  <c r="BD112"/>
  <c r="BC112"/>
  <c r="BB112"/>
  <c r="BA112" s="1"/>
  <c r="AX112"/>
  <c r="AW112"/>
  <c r="AV112"/>
  <c r="AC112"/>
  <c r="H112"/>
  <c r="BT111"/>
  <c r="BS111"/>
  <c r="BR111"/>
  <c r="BQ111"/>
  <c r="BP111"/>
  <c r="BO111"/>
  <c r="BN111"/>
  <c r="BM111"/>
  <c r="BL111"/>
  <c r="BK111"/>
  <c r="BJ111"/>
  <c r="BI111"/>
  <c r="BH111"/>
  <c r="BG111"/>
  <c r="BF111"/>
  <c r="BE111"/>
  <c r="BD111"/>
  <c r="BC111"/>
  <c r="BB111"/>
  <c r="BA111" s="1"/>
  <c r="AZ111" s="1"/>
  <c r="AX111"/>
  <c r="AW111"/>
  <c r="AV111"/>
  <c r="AC111"/>
  <c r="H111"/>
  <c r="G111"/>
  <c r="BT110"/>
  <c r="BS110"/>
  <c r="BR110"/>
  <c r="BQ110"/>
  <c r="BP110"/>
  <c r="BO110"/>
  <c r="BN110"/>
  <c r="BM110"/>
  <c r="BL110" s="1"/>
  <c r="BK110"/>
  <c r="BJ110"/>
  <c r="BI110"/>
  <c r="BH110"/>
  <c r="BG110"/>
  <c r="BF110"/>
  <c r="BE110"/>
  <c r="BD110"/>
  <c r="BC110"/>
  <c r="BB110"/>
  <c r="BA110" s="1"/>
  <c r="AX110"/>
  <c r="AW110"/>
  <c r="AV110"/>
  <c r="AC110"/>
  <c r="H110"/>
  <c r="G110" s="1"/>
  <c r="BT109"/>
  <c r="BS109"/>
  <c r="BR109"/>
  <c r="BQ109"/>
  <c r="BP109"/>
  <c r="BO109"/>
  <c r="BN109"/>
  <c r="BM109"/>
  <c r="BK109"/>
  <c r="BJ109"/>
  <c r="BI109"/>
  <c r="BH109"/>
  <c r="BG109"/>
  <c r="BF109"/>
  <c r="BE109"/>
  <c r="BD109"/>
  <c r="BC109"/>
  <c r="BB109"/>
  <c r="BA109"/>
  <c r="AX109"/>
  <c r="AW109"/>
  <c r="AV109"/>
  <c r="AC109"/>
  <c r="H109"/>
  <c r="BT108"/>
  <c r="BS108"/>
  <c r="BR108"/>
  <c r="BQ108"/>
  <c r="BP108"/>
  <c r="BO108"/>
  <c r="BN108"/>
  <c r="BM108"/>
  <c r="BL108"/>
  <c r="BK108"/>
  <c r="BJ108"/>
  <c r="BI108"/>
  <c r="BH108"/>
  <c r="BG108"/>
  <c r="BF108"/>
  <c r="BE108"/>
  <c r="BD108"/>
  <c r="BC108"/>
  <c r="BB108"/>
  <c r="BA108" s="1"/>
  <c r="AZ108" s="1"/>
  <c r="AX108"/>
  <c r="AW108"/>
  <c r="AV108"/>
  <c r="AC108"/>
  <c r="H108"/>
  <c r="G108"/>
  <c r="BT107"/>
  <c r="BS107"/>
  <c r="BR107"/>
  <c r="BQ107"/>
  <c r="BP107"/>
  <c r="BO107"/>
  <c r="BN107"/>
  <c r="BM107"/>
  <c r="BL107" s="1"/>
  <c r="BK107"/>
  <c r="BJ107"/>
  <c r="BI107"/>
  <c r="BH107"/>
  <c r="BG107"/>
  <c r="BF107"/>
  <c r="BE107"/>
  <c r="BD107"/>
  <c r="BC107"/>
  <c r="BB107"/>
  <c r="BA107" s="1"/>
  <c r="AX107"/>
  <c r="AW107"/>
  <c r="AV107"/>
  <c r="AC107"/>
  <c r="H107"/>
  <c r="G107" s="1"/>
  <c r="BT106"/>
  <c r="BS106"/>
  <c r="BR106"/>
  <c r="BQ106"/>
  <c r="BP106"/>
  <c r="BO106"/>
  <c r="BN106"/>
  <c r="BM106"/>
  <c r="BK106"/>
  <c r="BJ106"/>
  <c r="BI106"/>
  <c r="BH106"/>
  <c r="BG106"/>
  <c r="BF106"/>
  <c r="BE106"/>
  <c r="BD106"/>
  <c r="BC106"/>
  <c r="BB106"/>
  <c r="BA106"/>
  <c r="AX106"/>
  <c r="AW106"/>
  <c r="AV106"/>
  <c r="AC106"/>
  <c r="H106"/>
  <c r="G106"/>
  <c r="BT105"/>
  <c r="BS105"/>
  <c r="BR105"/>
  <c r="BQ105"/>
  <c r="BP105"/>
  <c r="BO105"/>
  <c r="BN105"/>
  <c r="BM105"/>
  <c r="BL105" s="1"/>
  <c r="BK105"/>
  <c r="BJ105"/>
  <c r="BI105"/>
  <c r="BH105"/>
  <c r="BG105"/>
  <c r="BF105"/>
  <c r="BE105"/>
  <c r="BD105"/>
  <c r="BC105"/>
  <c r="BB105"/>
  <c r="BA105" s="1"/>
  <c r="AX105"/>
  <c r="AW105"/>
  <c r="AV105"/>
  <c r="AC105"/>
  <c r="H105"/>
  <c r="G105" s="1"/>
  <c r="BT104"/>
  <c r="BS104"/>
  <c r="BR104"/>
  <c r="BQ104"/>
  <c r="BP104"/>
  <c r="BO104"/>
  <c r="BN104"/>
  <c r="BM104"/>
  <c r="BL104" s="1"/>
  <c r="BK104"/>
  <c r="BJ104"/>
  <c r="BI104"/>
  <c r="BH104"/>
  <c r="BG104"/>
  <c r="BF104"/>
  <c r="BE104"/>
  <c r="BD104"/>
  <c r="BC104"/>
  <c r="BB104"/>
  <c r="AX104"/>
  <c r="AW104"/>
  <c r="AV104"/>
  <c r="AC104"/>
  <c r="H104"/>
  <c r="G104" s="1"/>
  <c r="BT103"/>
  <c r="BS103"/>
  <c r="BR103"/>
  <c r="BQ103"/>
  <c r="BP103"/>
  <c r="BO103"/>
  <c r="BN103"/>
  <c r="BM103"/>
  <c r="BK103"/>
  <c r="BJ103"/>
  <c r="BI103"/>
  <c r="BH103"/>
  <c r="BG103"/>
  <c r="BF103"/>
  <c r="BE103"/>
  <c r="BD103"/>
  <c r="BC103"/>
  <c r="BB103"/>
  <c r="BA103"/>
  <c r="AX103"/>
  <c r="AW103"/>
  <c r="AV103"/>
  <c r="AC103"/>
  <c r="H103"/>
  <c r="BT102"/>
  <c r="BS102"/>
  <c r="BR102"/>
  <c r="BQ102"/>
  <c r="BP102"/>
  <c r="BO102"/>
  <c r="BN102"/>
  <c r="BM102"/>
  <c r="BL102"/>
  <c r="BK102"/>
  <c r="BJ102"/>
  <c r="BI102"/>
  <c r="BH102"/>
  <c r="BG102"/>
  <c r="BF102"/>
  <c r="BE102"/>
  <c r="BD102"/>
  <c r="BC102"/>
  <c r="BB102"/>
  <c r="BA102" s="1"/>
  <c r="AX102"/>
  <c r="AW102"/>
  <c r="AV102"/>
  <c r="AC102"/>
  <c r="H102"/>
  <c r="BT101"/>
  <c r="BS101"/>
  <c r="BR101"/>
  <c r="BQ101"/>
  <c r="BP101"/>
  <c r="BO101"/>
  <c r="BN101"/>
  <c r="BM101"/>
  <c r="BL101"/>
  <c r="BK101"/>
  <c r="BJ101"/>
  <c r="BI101"/>
  <c r="BH101"/>
  <c r="BG101"/>
  <c r="BF101"/>
  <c r="BE101"/>
  <c r="BD101"/>
  <c r="BC101"/>
  <c r="BB101"/>
  <c r="BA101" s="1"/>
  <c r="AZ101" s="1"/>
  <c r="AX101"/>
  <c r="AW101"/>
  <c r="AV101"/>
  <c r="AC101"/>
  <c r="H101"/>
  <c r="G101"/>
  <c r="BT100"/>
  <c r="BS100"/>
  <c r="BR100"/>
  <c r="BQ100"/>
  <c r="BP100"/>
  <c r="BO100"/>
  <c r="BN100"/>
  <c r="BM100"/>
  <c r="BL100" s="1"/>
  <c r="BK100"/>
  <c r="BJ100"/>
  <c r="BI100"/>
  <c r="BH100"/>
  <c r="BG100"/>
  <c r="BF100"/>
  <c r="BE100"/>
  <c r="BD100"/>
  <c r="BC100"/>
  <c r="BB100"/>
  <c r="BA100" s="1"/>
  <c r="AX100"/>
  <c r="AW100"/>
  <c r="AV100"/>
  <c r="AC100"/>
  <c r="H100"/>
  <c r="G100" s="1"/>
  <c r="BT99"/>
  <c r="BS99"/>
  <c r="BR99"/>
  <c r="BQ99"/>
  <c r="BP99"/>
  <c r="BO99"/>
  <c r="BN99"/>
  <c r="BM99"/>
  <c r="BL99" s="1"/>
  <c r="BK99"/>
  <c r="BJ99"/>
  <c r="BI99"/>
  <c r="BH99"/>
  <c r="BG99"/>
  <c r="BF99"/>
  <c r="BE99"/>
  <c r="BD99"/>
  <c r="BC99"/>
  <c r="BB99"/>
  <c r="AX99"/>
  <c r="AW99"/>
  <c r="AV99"/>
  <c r="AC99"/>
  <c r="H99"/>
  <c r="G99" s="1"/>
  <c r="BT98"/>
  <c r="BS98"/>
  <c r="BR98"/>
  <c r="BQ98"/>
  <c r="BP98"/>
  <c r="BO98"/>
  <c r="BN98"/>
  <c r="BM98"/>
  <c r="BL98" s="1"/>
  <c r="BK98"/>
  <c r="BJ98"/>
  <c r="BI98"/>
  <c r="BH98"/>
  <c r="BG98"/>
  <c r="BF98"/>
  <c r="BE98"/>
  <c r="BD98"/>
  <c r="BC98"/>
  <c r="BB98"/>
  <c r="AX98"/>
  <c r="AW98"/>
  <c r="AV98"/>
  <c r="AC98"/>
  <c r="H98"/>
  <c r="G98" s="1"/>
  <c r="BT97"/>
  <c r="BS97"/>
  <c r="BR97"/>
  <c r="BQ97"/>
  <c r="BP97"/>
  <c r="BO97"/>
  <c r="BN97"/>
  <c r="BM97"/>
  <c r="BL97" s="1"/>
  <c r="BK97"/>
  <c r="BJ97"/>
  <c r="BI97"/>
  <c r="BH97"/>
  <c r="BG97"/>
  <c r="BF97"/>
  <c r="BE97"/>
  <c r="BD97"/>
  <c r="BC97"/>
  <c r="BB97"/>
  <c r="AX97"/>
  <c r="AW97"/>
  <c r="AV97"/>
  <c r="AC97"/>
  <c r="H97"/>
  <c r="G97" s="1"/>
  <c r="BT96"/>
  <c r="BS96"/>
  <c r="BR96"/>
  <c r="BQ96"/>
  <c r="BP96"/>
  <c r="BO96"/>
  <c r="BN96"/>
  <c r="BM96"/>
  <c r="BK96"/>
  <c r="BJ96"/>
  <c r="BI96"/>
  <c r="BH96"/>
  <c r="BG96"/>
  <c r="BF96"/>
  <c r="BE96"/>
  <c r="BD96"/>
  <c r="BC96"/>
  <c r="BB96"/>
  <c r="BA96"/>
  <c r="AX96"/>
  <c r="AW96"/>
  <c r="AV96"/>
  <c r="AC96"/>
  <c r="H96"/>
  <c r="BT95"/>
  <c r="BS95"/>
  <c r="BR95"/>
  <c r="BQ95"/>
  <c r="BP95"/>
  <c r="BO95"/>
  <c r="BN95"/>
  <c r="BM95"/>
  <c r="BL95"/>
  <c r="BK95"/>
  <c r="BJ95"/>
  <c r="BI95"/>
  <c r="BH95"/>
  <c r="BG95"/>
  <c r="BF95"/>
  <c r="BE95"/>
  <c r="BD95"/>
  <c r="BC95"/>
  <c r="BB95"/>
  <c r="BA95" s="1"/>
  <c r="AZ95" s="1"/>
  <c r="AX95"/>
  <c r="AW95"/>
  <c r="AV95"/>
  <c r="AC95"/>
  <c r="H95"/>
  <c r="G95"/>
  <c r="BT94"/>
  <c r="BS94"/>
  <c r="BR94"/>
  <c r="BQ94"/>
  <c r="BP94"/>
  <c r="BO94"/>
  <c r="BN94"/>
  <c r="BM94"/>
  <c r="BL94" s="1"/>
  <c r="BK94"/>
  <c r="BJ94"/>
  <c r="BI94"/>
  <c r="BH94"/>
  <c r="BG94"/>
  <c r="BF94"/>
  <c r="BE94"/>
  <c r="BD94"/>
  <c r="BC94"/>
  <c r="BB94"/>
  <c r="BA94" s="1"/>
  <c r="AX94"/>
  <c r="AW94"/>
  <c r="AV94"/>
  <c r="AC94"/>
  <c r="H94"/>
  <c r="G94" s="1"/>
  <c r="BT93"/>
  <c r="BS93"/>
  <c r="BR93"/>
  <c r="BQ93"/>
  <c r="BP93"/>
  <c r="BO93"/>
  <c r="BN93"/>
  <c r="BM93"/>
  <c r="BK93"/>
  <c r="BJ93"/>
  <c r="BI93"/>
  <c r="BH93"/>
  <c r="BG93"/>
  <c r="BF93"/>
  <c r="BE93"/>
  <c r="BD93"/>
  <c r="BC93"/>
  <c r="BB93"/>
  <c r="BA93"/>
  <c r="AX93"/>
  <c r="AW93"/>
  <c r="AV93"/>
  <c r="AC93"/>
  <c r="H93"/>
  <c r="BT92"/>
  <c r="BS92"/>
  <c r="BR92"/>
  <c r="BQ92"/>
  <c r="BP92"/>
  <c r="BO92"/>
  <c r="BN92"/>
  <c r="BM92"/>
  <c r="BL92"/>
  <c r="BK92"/>
  <c r="BJ92"/>
  <c r="BI92"/>
  <c r="BH92"/>
  <c r="BG92"/>
  <c r="BF92"/>
  <c r="BE92"/>
  <c r="BD92"/>
  <c r="BC92"/>
  <c r="BB92"/>
  <c r="BA92" s="1"/>
  <c r="AZ92" s="1"/>
  <c r="AX92"/>
  <c r="AW92"/>
  <c r="AV92"/>
  <c r="AC92"/>
  <c r="H92"/>
  <c r="G92"/>
  <c r="BT91"/>
  <c r="BS91"/>
  <c r="BR91"/>
  <c r="BQ91"/>
  <c r="BP91"/>
  <c r="BO91"/>
  <c r="BN91"/>
  <c r="BM91"/>
  <c r="BL91" s="1"/>
  <c r="BK91"/>
  <c r="BJ91"/>
  <c r="BI91"/>
  <c r="BH91"/>
  <c r="BG91"/>
  <c r="BF91"/>
  <c r="BE91"/>
  <c r="BD91"/>
  <c r="BC91"/>
  <c r="BB91"/>
  <c r="BA91" s="1"/>
  <c r="AX91"/>
  <c r="AW91"/>
  <c r="AV91"/>
  <c r="AC91"/>
  <c r="H91"/>
  <c r="G91" s="1"/>
  <c r="BT90"/>
  <c r="BS90"/>
  <c r="BR90"/>
  <c r="BQ90"/>
  <c r="BP90"/>
  <c r="BO90"/>
  <c r="BN90"/>
  <c r="BM90"/>
  <c r="BK90"/>
  <c r="BJ90"/>
  <c r="BI90"/>
  <c r="BH90"/>
  <c r="BG90"/>
  <c r="BF90"/>
  <c r="BE90"/>
  <c r="BD90"/>
  <c r="BC90"/>
  <c r="BB90"/>
  <c r="BA90"/>
  <c r="AX90"/>
  <c r="AW90"/>
  <c r="AV90"/>
  <c r="AC90"/>
  <c r="H90"/>
  <c r="G90"/>
  <c r="BT89"/>
  <c r="BS89"/>
  <c r="BR89"/>
  <c r="BQ89"/>
  <c r="BP89"/>
  <c r="BO89"/>
  <c r="BN89"/>
  <c r="BM89"/>
  <c r="BL89" s="1"/>
  <c r="BK89"/>
  <c r="BJ89"/>
  <c r="BI89"/>
  <c r="BH89"/>
  <c r="BG89"/>
  <c r="BF89"/>
  <c r="BE89"/>
  <c r="BD89"/>
  <c r="BC89"/>
  <c r="BB89"/>
  <c r="BA89" s="1"/>
  <c r="AX89"/>
  <c r="AW89"/>
  <c r="AV89"/>
  <c r="AC89"/>
  <c r="H89"/>
  <c r="G89" s="1"/>
  <c r="BT88"/>
  <c r="BS88"/>
  <c r="BR88"/>
  <c r="BQ88"/>
  <c r="BP88"/>
  <c r="BO88"/>
  <c r="BN88"/>
  <c r="BM88"/>
  <c r="BL88" s="1"/>
  <c r="BK88"/>
  <c r="BJ88"/>
  <c r="BI88"/>
  <c r="BH88"/>
  <c r="BG88"/>
  <c r="BF88"/>
  <c r="BE88"/>
  <c r="BD88"/>
  <c r="BC88"/>
  <c r="BB88"/>
  <c r="AX88"/>
  <c r="AW88"/>
  <c r="AV88"/>
  <c r="AC88"/>
  <c r="H88"/>
  <c r="G88" s="1"/>
  <c r="BT87"/>
  <c r="BS87"/>
  <c r="BR87"/>
  <c r="BQ87"/>
  <c r="BP87"/>
  <c r="BO87"/>
  <c r="BN87"/>
  <c r="BM87"/>
  <c r="BK87"/>
  <c r="BJ87"/>
  <c r="BI87"/>
  <c r="BH87"/>
  <c r="BG87"/>
  <c r="BF87"/>
  <c r="BE87"/>
  <c r="BD87"/>
  <c r="BC87"/>
  <c r="BB87"/>
  <c r="BA87"/>
  <c r="AX87"/>
  <c r="AW87"/>
  <c r="AV87"/>
  <c r="AC87"/>
  <c r="H87"/>
  <c r="BT86"/>
  <c r="BS86"/>
  <c r="BR86"/>
  <c r="BQ86"/>
  <c r="BP86"/>
  <c r="BO86"/>
  <c r="BN86"/>
  <c r="BM86"/>
  <c r="BL86"/>
  <c r="BK86"/>
  <c r="BJ86"/>
  <c r="BI86"/>
  <c r="BH86"/>
  <c r="BG86"/>
  <c r="BF86"/>
  <c r="BE86"/>
  <c r="BD86"/>
  <c r="BC86"/>
  <c r="BB86"/>
  <c r="BA86" s="1"/>
  <c r="AX86"/>
  <c r="AW86"/>
  <c r="AV86"/>
  <c r="AC86"/>
  <c r="H86"/>
  <c r="BT85"/>
  <c r="BS85"/>
  <c r="BR85"/>
  <c r="BQ85"/>
  <c r="BP85"/>
  <c r="BO85"/>
  <c r="BN85"/>
  <c r="BM85"/>
  <c r="BL85"/>
  <c r="BK85"/>
  <c r="BJ85"/>
  <c r="BI85"/>
  <c r="BH85"/>
  <c r="BG85"/>
  <c r="BF85"/>
  <c r="BE85"/>
  <c r="BD85"/>
  <c r="BC85"/>
  <c r="BB85"/>
  <c r="BA85" s="1"/>
  <c r="AZ85" s="1"/>
  <c r="AX85"/>
  <c r="AW85"/>
  <c r="AV85"/>
  <c r="AC85"/>
  <c r="H85"/>
  <c r="G85"/>
  <c r="BT84"/>
  <c r="BS84"/>
  <c r="BR84"/>
  <c r="BQ84"/>
  <c r="BP84"/>
  <c r="BO84"/>
  <c r="BN84"/>
  <c r="BM84"/>
  <c r="BL84" s="1"/>
  <c r="BK84"/>
  <c r="BJ84"/>
  <c r="BI84"/>
  <c r="BH84"/>
  <c r="BG84"/>
  <c r="BF84"/>
  <c r="BE84"/>
  <c r="BD84"/>
  <c r="BC84"/>
  <c r="BB84"/>
  <c r="BA84" s="1"/>
  <c r="AX84"/>
  <c r="AW84"/>
  <c r="AV84"/>
  <c r="AC84"/>
  <c r="H84"/>
  <c r="G84" s="1"/>
  <c r="BT83"/>
  <c r="BS83"/>
  <c r="BR83"/>
  <c r="BQ83"/>
  <c r="BP83"/>
  <c r="BO83"/>
  <c r="BN83"/>
  <c r="BM83"/>
  <c r="BK83"/>
  <c r="BJ83"/>
  <c r="BI83"/>
  <c r="BH83"/>
  <c r="BG83"/>
  <c r="BF83"/>
  <c r="BE83"/>
  <c r="BD83"/>
  <c r="BC83"/>
  <c r="BB83"/>
  <c r="BA83"/>
  <c r="AX83"/>
  <c r="AW83"/>
  <c r="AV83"/>
  <c r="AC83"/>
  <c r="H83"/>
  <c r="BT82"/>
  <c r="BS82"/>
  <c r="BR82"/>
  <c r="BQ82"/>
  <c r="BP82"/>
  <c r="BO82"/>
  <c r="BN82"/>
  <c r="BM82"/>
  <c r="BL82"/>
  <c r="BK82"/>
  <c r="BJ82"/>
  <c r="BI82"/>
  <c r="BH82"/>
  <c r="BG82"/>
  <c r="BF82"/>
  <c r="BE82"/>
  <c r="BD82"/>
  <c r="BC82"/>
  <c r="BB82"/>
  <c r="BA82" s="1"/>
  <c r="AX82"/>
  <c r="AW82"/>
  <c r="AV82"/>
  <c r="AC82"/>
  <c r="H82"/>
  <c r="BT81"/>
  <c r="BS81"/>
  <c r="BR81"/>
  <c r="BQ81"/>
  <c r="BP81"/>
  <c r="BO81"/>
  <c r="BN81"/>
  <c r="BM81"/>
  <c r="BL81"/>
  <c r="BK81"/>
  <c r="BJ81"/>
  <c r="BI81"/>
  <c r="BH81"/>
  <c r="BG81"/>
  <c r="BF81"/>
  <c r="BE81"/>
  <c r="BD81"/>
  <c r="BC81"/>
  <c r="BB81"/>
  <c r="BA81" s="1"/>
  <c r="AZ81" s="1"/>
  <c r="AX81"/>
  <c r="AW81"/>
  <c r="AV81"/>
  <c r="AC81"/>
  <c r="H81"/>
  <c r="G81"/>
  <c r="BT80"/>
  <c r="BS80"/>
  <c r="BR80"/>
  <c r="BQ80"/>
  <c r="BP80"/>
  <c r="BO80"/>
  <c r="BN80"/>
  <c r="BM80"/>
  <c r="BL80" s="1"/>
  <c r="BK80"/>
  <c r="BJ80"/>
  <c r="BI80"/>
  <c r="BH80"/>
  <c r="BG80"/>
  <c r="BF80"/>
  <c r="BE80"/>
  <c r="BD80"/>
  <c r="BC80"/>
  <c r="BB80"/>
  <c r="BA80" s="1"/>
  <c r="AX80"/>
  <c r="AW80"/>
  <c r="AV80"/>
  <c r="AC80"/>
  <c r="H80"/>
  <c r="BT79"/>
  <c r="BS79"/>
  <c r="BR79"/>
  <c r="BQ79"/>
  <c r="BP79"/>
  <c r="BO79"/>
  <c r="BN79"/>
  <c r="BM79"/>
  <c r="BL79"/>
  <c r="BK79"/>
  <c r="BJ79"/>
  <c r="BI79"/>
  <c r="BH79"/>
  <c r="BG79"/>
  <c r="BF79"/>
  <c r="BE79"/>
  <c r="BD79"/>
  <c r="BC79"/>
  <c r="BB79"/>
  <c r="BA79" s="1"/>
  <c r="AX79"/>
  <c r="AW79"/>
  <c r="AV79"/>
  <c r="AC79"/>
  <c r="H79"/>
  <c r="BT78"/>
  <c r="BS78"/>
  <c r="BR78"/>
  <c r="BQ78"/>
  <c r="BP78"/>
  <c r="BO78"/>
  <c r="BN78"/>
  <c r="BM78"/>
  <c r="BL78"/>
  <c r="BK78"/>
  <c r="BJ78"/>
  <c r="BI78"/>
  <c r="BH78"/>
  <c r="BG78"/>
  <c r="BF78"/>
  <c r="BE78"/>
  <c r="BD78"/>
  <c r="BC78"/>
  <c r="BB78"/>
  <c r="BA78" s="1"/>
  <c r="AX78"/>
  <c r="AW78"/>
  <c r="AV78"/>
  <c r="AC78"/>
  <c r="H78"/>
  <c r="BT77"/>
  <c r="BS77"/>
  <c r="BR77"/>
  <c r="BQ77"/>
  <c r="BP77"/>
  <c r="BO77"/>
  <c r="BN77"/>
  <c r="BM77"/>
  <c r="BL77"/>
  <c r="BK77"/>
  <c r="BJ77"/>
  <c r="BI77"/>
  <c r="BH77"/>
  <c r="BG77"/>
  <c r="BF77"/>
  <c r="BE77"/>
  <c r="BD77"/>
  <c r="BC77"/>
  <c r="BB77"/>
  <c r="BA77" s="1"/>
  <c r="AZ77" s="1"/>
  <c r="AX77"/>
  <c r="AW77"/>
  <c r="AV77"/>
  <c r="AC77"/>
  <c r="H77"/>
  <c r="G77"/>
  <c r="BT76"/>
  <c r="BS76"/>
  <c r="BR76"/>
  <c r="BQ76"/>
  <c r="BP76"/>
  <c r="BO76"/>
  <c r="BN76"/>
  <c r="BM76"/>
  <c r="BL76" s="1"/>
  <c r="BK76"/>
  <c r="BJ76"/>
  <c r="BI76"/>
  <c r="BH76"/>
  <c r="BG76"/>
  <c r="BF76"/>
  <c r="BE76"/>
  <c r="BD76"/>
  <c r="BC76"/>
  <c r="BB76"/>
  <c r="BA76" s="1"/>
  <c r="AZ76" s="1"/>
  <c r="AX76"/>
  <c r="AW76"/>
  <c r="AV76"/>
  <c r="AC76"/>
  <c r="H76"/>
  <c r="G76" s="1"/>
  <c r="BT75"/>
  <c r="BS75"/>
  <c r="BR75"/>
  <c r="BQ75"/>
  <c r="BP75"/>
  <c r="BO75"/>
  <c r="BN75"/>
  <c r="BM75"/>
  <c r="BL75" s="1"/>
  <c r="BK75"/>
  <c r="BJ75"/>
  <c r="BI75"/>
  <c r="BH75"/>
  <c r="BG75"/>
  <c r="BF75"/>
  <c r="BE75"/>
  <c r="BD75"/>
  <c r="BC75"/>
  <c r="BB75"/>
  <c r="AX75"/>
  <c r="AW75"/>
  <c r="AV75"/>
  <c r="AC75"/>
  <c r="H75"/>
  <c r="G75" s="1"/>
  <c r="BT74"/>
  <c r="BS74"/>
  <c r="BR74"/>
  <c r="BQ74"/>
  <c r="BP74"/>
  <c r="BO74"/>
  <c r="BN74"/>
  <c r="BM74"/>
  <c r="BK74"/>
  <c r="BJ74"/>
  <c r="BI74"/>
  <c r="BH74"/>
  <c r="BG74"/>
  <c r="BF74"/>
  <c r="BE74"/>
  <c r="BD74"/>
  <c r="BC74"/>
  <c r="BB74"/>
  <c r="BA74"/>
  <c r="AX74"/>
  <c r="AW74"/>
  <c r="AV74"/>
  <c r="AC74"/>
  <c r="H74"/>
  <c r="G74"/>
  <c r="BT73"/>
  <c r="BS73"/>
  <c r="BR73"/>
  <c r="BQ73"/>
  <c r="BP73"/>
  <c r="BO73"/>
  <c r="BN73"/>
  <c r="BM73"/>
  <c r="BL73" s="1"/>
  <c r="BK73"/>
  <c r="BJ73"/>
  <c r="BI73"/>
  <c r="BH73"/>
  <c r="BG73"/>
  <c r="BF73"/>
  <c r="BE73"/>
  <c r="BD73"/>
  <c r="BC73"/>
  <c r="BB73"/>
  <c r="BA73" s="1"/>
  <c r="AX73"/>
  <c r="AW73"/>
  <c r="AV73"/>
  <c r="AC73"/>
  <c r="H73"/>
  <c r="G73" s="1"/>
  <c r="BT72"/>
  <c r="BS72"/>
  <c r="BR72"/>
  <c r="BQ72"/>
  <c r="BP72"/>
  <c r="BO72"/>
  <c r="BN72"/>
  <c r="BM72"/>
  <c r="BL72" s="1"/>
  <c r="BK72"/>
  <c r="BJ72"/>
  <c r="BI72"/>
  <c r="BH72"/>
  <c r="BG72"/>
  <c r="BF72"/>
  <c r="BE72"/>
  <c r="BD72"/>
  <c r="BC72"/>
  <c r="BB72"/>
  <c r="AX72"/>
  <c r="AW72"/>
  <c r="AV72"/>
  <c r="AC72"/>
  <c r="H72"/>
  <c r="G72"/>
  <c r="BT71"/>
  <c r="BS71"/>
  <c r="BR71"/>
  <c r="BQ71"/>
  <c r="BP71"/>
  <c r="BO71"/>
  <c r="BN71"/>
  <c r="BM71"/>
  <c r="BL71" s="1"/>
  <c r="BK71"/>
  <c r="BJ71"/>
  <c r="BI71"/>
  <c r="BH71"/>
  <c r="BG71"/>
  <c r="BF71"/>
  <c r="BE71"/>
  <c r="BD71"/>
  <c r="BC71"/>
  <c r="BB71"/>
  <c r="BA71" s="1"/>
  <c r="AX71"/>
  <c r="AW71"/>
  <c r="AV71"/>
  <c r="AC71"/>
  <c r="H71"/>
  <c r="G71" s="1"/>
  <c r="BT70"/>
  <c r="BS70"/>
  <c r="BR70"/>
  <c r="BQ70"/>
  <c r="BP70"/>
  <c r="BO70"/>
  <c r="BN70"/>
  <c r="BM70"/>
  <c r="BK70"/>
  <c r="BJ70"/>
  <c r="BI70"/>
  <c r="BH70"/>
  <c r="BG70"/>
  <c r="BF70"/>
  <c r="BE70"/>
  <c r="BD70"/>
  <c r="BC70"/>
  <c r="BB70"/>
  <c r="BA70"/>
  <c r="AX70"/>
  <c r="AW70"/>
  <c r="AV70"/>
  <c r="AC70"/>
  <c r="H70"/>
  <c r="G70"/>
  <c r="BT69"/>
  <c r="BS69"/>
  <c r="BR69"/>
  <c r="BQ69"/>
  <c r="BP69"/>
  <c r="BO69"/>
  <c r="BN69"/>
  <c r="BM69"/>
  <c r="BL69" s="1"/>
  <c r="BK69"/>
  <c r="BJ69"/>
  <c r="BI69"/>
  <c r="BH69"/>
  <c r="BG69"/>
  <c r="BF69"/>
  <c r="BE69"/>
  <c r="BD69"/>
  <c r="BC69"/>
  <c r="BB69"/>
  <c r="BA69" s="1"/>
  <c r="AX69"/>
  <c r="AW69"/>
  <c r="AV69"/>
  <c r="AC69"/>
  <c r="H69"/>
  <c r="G69" s="1"/>
  <c r="BT68"/>
  <c r="BS68"/>
  <c r="BR68"/>
  <c r="BQ68"/>
  <c r="BP68"/>
  <c r="BO68"/>
  <c r="BN68"/>
  <c r="BM68"/>
  <c r="BL68" s="1"/>
  <c r="BK68"/>
  <c r="BJ68"/>
  <c r="BI68"/>
  <c r="BH68"/>
  <c r="BG68"/>
  <c r="BF68"/>
  <c r="BE68"/>
  <c r="BD68"/>
  <c r="BC68"/>
  <c r="BB68"/>
  <c r="AX68"/>
  <c r="AW68"/>
  <c r="AV68"/>
  <c r="AC68"/>
  <c r="H68"/>
  <c r="G68"/>
  <c r="BT67"/>
  <c r="BS67"/>
  <c r="BR67"/>
  <c r="BQ67"/>
  <c r="BP67"/>
  <c r="BO67"/>
  <c r="BN67"/>
  <c r="BM67"/>
  <c r="BL67" s="1"/>
  <c r="BK67"/>
  <c r="BJ67"/>
  <c r="BI67"/>
  <c r="BH67"/>
  <c r="BG67"/>
  <c r="BF67"/>
  <c r="BE67"/>
  <c r="BD67"/>
  <c r="BC67"/>
  <c r="BB67"/>
  <c r="BA67" s="1"/>
  <c r="AX67"/>
  <c r="AW67"/>
  <c r="AV67"/>
  <c r="AC67"/>
  <c r="H67"/>
  <c r="G67" s="1"/>
  <c r="BT66"/>
  <c r="BS66"/>
  <c r="BR66"/>
  <c r="BQ66"/>
  <c r="BP66"/>
  <c r="BO66"/>
  <c r="BN66"/>
  <c r="BM66"/>
  <c r="BL66" s="1"/>
  <c r="BK66"/>
  <c r="BJ66"/>
  <c r="BI66"/>
  <c r="BH66"/>
  <c r="BG66"/>
  <c r="BF66"/>
  <c r="BE66"/>
  <c r="BD66"/>
  <c r="BC66"/>
  <c r="BB66"/>
  <c r="AX66"/>
  <c r="AW66"/>
  <c r="AV66"/>
  <c r="AC66"/>
  <c r="H66"/>
  <c r="G66" s="1"/>
  <c r="BT65"/>
  <c r="BS65"/>
  <c r="BR65"/>
  <c r="BQ65"/>
  <c r="BP65"/>
  <c r="BO65"/>
  <c r="BN65"/>
  <c r="BM65"/>
  <c r="BL65" s="1"/>
  <c r="BK65"/>
  <c r="BJ65"/>
  <c r="BI65"/>
  <c r="BH65"/>
  <c r="BG65"/>
  <c r="BF65"/>
  <c r="BE65"/>
  <c r="BD65"/>
  <c r="BC65"/>
  <c r="BB65"/>
  <c r="AX65"/>
  <c r="AW65"/>
  <c r="AV65"/>
  <c r="AC65"/>
  <c r="H65"/>
  <c r="G65"/>
  <c r="BT64"/>
  <c r="BS64"/>
  <c r="BR64"/>
  <c r="BQ64"/>
  <c r="BP64"/>
  <c r="BO64"/>
  <c r="BN64"/>
  <c r="BM64"/>
  <c r="BL64" s="1"/>
  <c r="BK64"/>
  <c r="BJ64"/>
  <c r="BI64"/>
  <c r="BH64"/>
  <c r="BG64"/>
  <c r="BF64"/>
  <c r="BE64"/>
  <c r="BD64"/>
  <c r="BC64"/>
  <c r="BB64"/>
  <c r="BA64" s="1"/>
  <c r="AX64"/>
  <c r="AW64"/>
  <c r="AV64"/>
  <c r="AC64"/>
  <c r="H64"/>
  <c r="G64" s="1"/>
  <c r="BT63"/>
  <c r="BS63"/>
  <c r="BR63"/>
  <c r="BQ63"/>
  <c r="BP63"/>
  <c r="BO63"/>
  <c r="BN63"/>
  <c r="BM63"/>
  <c r="BL63" s="1"/>
  <c r="BK63"/>
  <c r="BJ63"/>
  <c r="BI63"/>
  <c r="BH63"/>
  <c r="BG63"/>
  <c r="BF63"/>
  <c r="BE63"/>
  <c r="BD63"/>
  <c r="BC63"/>
  <c r="BB63"/>
  <c r="AX63"/>
  <c r="AW63"/>
  <c r="AV63"/>
  <c r="AC63"/>
  <c r="H63"/>
  <c r="G63" s="1"/>
  <c r="BT62"/>
  <c r="BS62"/>
  <c r="BR62"/>
  <c r="BQ62"/>
  <c r="BP62"/>
  <c r="BO62"/>
  <c r="BN62"/>
  <c r="BM62"/>
  <c r="BL62" s="1"/>
  <c r="BK62"/>
  <c r="BJ62"/>
  <c r="BI62"/>
  <c r="BH62"/>
  <c r="BG62"/>
  <c r="BF62"/>
  <c r="BE62"/>
  <c r="BD62"/>
  <c r="BC62"/>
  <c r="BB62"/>
  <c r="AX62"/>
  <c r="AW62"/>
  <c r="AV62"/>
  <c r="AC62"/>
  <c r="H62"/>
  <c r="G62"/>
  <c r="BT61"/>
  <c r="BS61"/>
  <c r="BR61"/>
  <c r="BQ61"/>
  <c r="BP61"/>
  <c r="BO61"/>
  <c r="BN61"/>
  <c r="BM61"/>
  <c r="BL61" s="1"/>
  <c r="BK61"/>
  <c r="BJ61"/>
  <c r="BI61"/>
  <c r="BH61"/>
  <c r="BG61"/>
  <c r="BF61"/>
  <c r="BE61"/>
  <c r="BD61"/>
  <c r="BC61"/>
  <c r="BB61"/>
  <c r="BA61" s="1"/>
  <c r="AX61"/>
  <c r="AW61"/>
  <c r="AV61"/>
  <c r="AC61"/>
  <c r="H61"/>
  <c r="G61" s="1"/>
  <c r="BT60"/>
  <c r="BS60"/>
  <c r="BR60"/>
  <c r="BQ60"/>
  <c r="BP60"/>
  <c r="BO60"/>
  <c r="BN60"/>
  <c r="BM60"/>
  <c r="BL60" s="1"/>
  <c r="BK60"/>
  <c r="BJ60"/>
  <c r="BI60"/>
  <c r="BH60"/>
  <c r="BG60"/>
  <c r="BF60"/>
  <c r="BE60"/>
  <c r="BD60"/>
  <c r="BC60"/>
  <c r="BB60"/>
  <c r="AX60"/>
  <c r="AW60"/>
  <c r="AV60"/>
  <c r="AC60"/>
  <c r="H60"/>
  <c r="G60"/>
  <c r="BT59"/>
  <c r="BS59"/>
  <c r="BR59"/>
  <c r="BQ59"/>
  <c r="BP59"/>
  <c r="BO59"/>
  <c r="BN59"/>
  <c r="BM59"/>
  <c r="BL59" s="1"/>
  <c r="BK59"/>
  <c r="BJ59"/>
  <c r="BI59"/>
  <c r="BH59"/>
  <c r="BG59"/>
  <c r="BF59"/>
  <c r="BE59"/>
  <c r="BD59"/>
  <c r="BC59"/>
  <c r="BB59"/>
  <c r="BA59" s="1"/>
  <c r="AX59"/>
  <c r="AW59"/>
  <c r="AV59"/>
  <c r="AC59"/>
  <c r="H59"/>
  <c r="G59" s="1"/>
  <c r="BT58"/>
  <c r="BS58"/>
  <c r="BR58"/>
  <c r="BQ58"/>
  <c r="BP58"/>
  <c r="BO58"/>
  <c r="BN58"/>
  <c r="BM58"/>
  <c r="BK58"/>
  <c r="BJ58"/>
  <c r="BI58"/>
  <c r="BH58"/>
  <c r="BG58"/>
  <c r="BF58"/>
  <c r="BE58"/>
  <c r="BD58"/>
  <c r="BC58"/>
  <c r="BB58"/>
  <c r="BA58"/>
  <c r="AX58"/>
  <c r="AW58"/>
  <c r="AV58"/>
  <c r="AC58"/>
  <c r="H58"/>
  <c r="BT57"/>
  <c r="BS57"/>
  <c r="BR57"/>
  <c r="BQ57"/>
  <c r="BP57"/>
  <c r="BO57"/>
  <c r="BN57"/>
  <c r="BM57"/>
  <c r="BL57"/>
  <c r="BK57"/>
  <c r="BJ57"/>
  <c r="BI57"/>
  <c r="BH57"/>
  <c r="BG57"/>
  <c r="BF57"/>
  <c r="BE57"/>
  <c r="BD57"/>
  <c r="BC57"/>
  <c r="BB57"/>
  <c r="BA57" s="1"/>
  <c r="AZ57" s="1"/>
  <c r="AX57"/>
  <c r="AW57"/>
  <c r="AV57"/>
  <c r="AC57"/>
  <c r="H57"/>
  <c r="G57"/>
  <c r="BT56"/>
  <c r="BS56"/>
  <c r="BR56"/>
  <c r="BQ56"/>
  <c r="BP56"/>
  <c r="BO56"/>
  <c r="BN56"/>
  <c r="BM56"/>
  <c r="BL56" s="1"/>
  <c r="BK56"/>
  <c r="BJ56"/>
  <c r="BI56"/>
  <c r="BH56"/>
  <c r="BG56"/>
  <c r="BF56"/>
  <c r="BE56"/>
  <c r="BD56"/>
  <c r="BC56"/>
  <c r="BB56"/>
  <c r="BA56" s="1"/>
  <c r="AX56"/>
  <c r="AW56"/>
  <c r="AV56"/>
  <c r="AC56"/>
  <c r="H56"/>
  <c r="G56" s="1"/>
  <c r="BT55"/>
  <c r="BS55"/>
  <c r="BR55"/>
  <c r="BQ55"/>
  <c r="BP55"/>
  <c r="BO55"/>
  <c r="BN55"/>
  <c r="BM55"/>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s="1"/>
  <c r="AZ54" s="1"/>
  <c r="AX54"/>
  <c r="AW54"/>
  <c r="AV54"/>
  <c r="AC54"/>
  <c r="H54"/>
  <c r="G54" s="1"/>
  <c r="BT53"/>
  <c r="BS53"/>
  <c r="BR53"/>
  <c r="BQ53"/>
  <c r="BP53"/>
  <c r="BO53"/>
  <c r="BN53"/>
  <c r="BM53"/>
  <c r="BL53" s="1"/>
  <c r="BK53"/>
  <c r="BJ53"/>
  <c r="BI53"/>
  <c r="BH53"/>
  <c r="BG53"/>
  <c r="BF53"/>
  <c r="BE53"/>
  <c r="BD53"/>
  <c r="BC53"/>
  <c r="BB53"/>
  <c r="AX53"/>
  <c r="AW53"/>
  <c r="AV53"/>
  <c r="AC53"/>
  <c r="H53"/>
  <c r="G53" s="1"/>
  <c r="BT52"/>
  <c r="BS52"/>
  <c r="BR52"/>
  <c r="BQ52"/>
  <c r="BP52"/>
  <c r="BO52"/>
  <c r="BN52"/>
  <c r="BM52"/>
  <c r="BK52"/>
  <c r="BJ52"/>
  <c r="BI52"/>
  <c r="BH52"/>
  <c r="BG52"/>
  <c r="BF52"/>
  <c r="BE52"/>
  <c r="BD52"/>
  <c r="BC52"/>
  <c r="BB52"/>
  <c r="BA52"/>
  <c r="AX52"/>
  <c r="AW52"/>
  <c r="AV52"/>
  <c r="AC52"/>
  <c r="H52"/>
  <c r="BT51"/>
  <c r="BS51"/>
  <c r="BR51"/>
  <c r="BQ51"/>
  <c r="BP51"/>
  <c r="BO51"/>
  <c r="BN51"/>
  <c r="BM51"/>
  <c r="BL51"/>
  <c r="BK51"/>
  <c r="BJ51"/>
  <c r="BI51"/>
  <c r="BH51"/>
  <c r="BG51"/>
  <c r="BF51"/>
  <c r="BE51"/>
  <c r="BD51"/>
  <c r="BC51"/>
  <c r="BB51"/>
  <c r="BA51" s="1"/>
  <c r="AX51"/>
  <c r="AW51"/>
  <c r="AV51"/>
  <c r="AC51"/>
  <c r="H51"/>
  <c r="BT50"/>
  <c r="BS50"/>
  <c r="BR50"/>
  <c r="BQ50"/>
  <c r="BP50"/>
  <c r="BO50"/>
  <c r="BN50"/>
  <c r="BM50"/>
  <c r="BL50"/>
  <c r="BK50"/>
  <c r="BJ50"/>
  <c r="BI50"/>
  <c r="BH50"/>
  <c r="BG50"/>
  <c r="BF50"/>
  <c r="BE50"/>
  <c r="BD50"/>
  <c r="BC50"/>
  <c r="BB50"/>
  <c r="BA50" s="1"/>
  <c r="AZ50" s="1"/>
  <c r="AX50"/>
  <c r="AW50"/>
  <c r="AV50"/>
  <c r="AC50"/>
  <c r="H50"/>
  <c r="G50"/>
  <c r="BT49"/>
  <c r="BS49"/>
  <c r="BR49"/>
  <c r="BQ49"/>
  <c r="BP49"/>
  <c r="BO49"/>
  <c r="BN49"/>
  <c r="BM49"/>
  <c r="BL49" s="1"/>
  <c r="BK49"/>
  <c r="BJ49"/>
  <c r="BI49"/>
  <c r="BH49"/>
  <c r="BG49"/>
  <c r="BF49"/>
  <c r="BE49"/>
  <c r="BD49"/>
  <c r="BC49"/>
  <c r="BB49"/>
  <c r="BA49" s="1"/>
  <c r="AZ49" s="1"/>
  <c r="AX49"/>
  <c r="AW49"/>
  <c r="AV49"/>
  <c r="AC49"/>
  <c r="H49"/>
  <c r="G49" s="1"/>
  <c r="BT48"/>
  <c r="BS48"/>
  <c r="BR48"/>
  <c r="BQ48"/>
  <c r="BP48"/>
  <c r="BO48"/>
  <c r="BN48"/>
  <c r="BM48"/>
  <c r="BL48" s="1"/>
  <c r="BK48"/>
  <c r="BJ48"/>
  <c r="BI48"/>
  <c r="BH48"/>
  <c r="BG48"/>
  <c r="BF48"/>
  <c r="BE48"/>
  <c r="BD48"/>
  <c r="BC48"/>
  <c r="BB48"/>
  <c r="AX48"/>
  <c r="AW48"/>
  <c r="AV48"/>
  <c r="AC48"/>
  <c r="H48"/>
  <c r="G48" s="1"/>
  <c r="BT47"/>
  <c r="BS47"/>
  <c r="BR47"/>
  <c r="BQ47"/>
  <c r="BP47"/>
  <c r="BO47"/>
  <c r="BN47"/>
  <c r="BM47"/>
  <c r="BL47" s="1"/>
  <c r="BK47"/>
  <c r="BJ47"/>
  <c r="BI47"/>
  <c r="BH47"/>
  <c r="BG47"/>
  <c r="BF47"/>
  <c r="BE47"/>
  <c r="BD47"/>
  <c r="BC47"/>
  <c r="BB47"/>
  <c r="AX47"/>
  <c r="AW47"/>
  <c r="AV47"/>
  <c r="AC47"/>
  <c r="H47"/>
  <c r="G47" s="1"/>
  <c r="BT46"/>
  <c r="BS46"/>
  <c r="BR46"/>
  <c r="BQ46"/>
  <c r="BP46"/>
  <c r="BO46"/>
  <c r="BN46"/>
  <c r="BM46"/>
  <c r="BL46" s="1"/>
  <c r="BK46"/>
  <c r="BJ46"/>
  <c r="BI46"/>
  <c r="BH46"/>
  <c r="BG46"/>
  <c r="BF46"/>
  <c r="BE46"/>
  <c r="BD46"/>
  <c r="BC46"/>
  <c r="BB46"/>
  <c r="AX46"/>
  <c r="AW46"/>
  <c r="AV46"/>
  <c r="AC46"/>
  <c r="H46"/>
  <c r="G46" s="1"/>
  <c r="BT45"/>
  <c r="BS45"/>
  <c r="BR45"/>
  <c r="BQ45"/>
  <c r="BP45"/>
  <c r="BO45"/>
  <c r="BN45"/>
  <c r="BM45"/>
  <c r="BK45"/>
  <c r="BJ45"/>
  <c r="BI45"/>
  <c r="BH45"/>
  <c r="BG45"/>
  <c r="BF45"/>
  <c r="BE45"/>
  <c r="BD45"/>
  <c r="BC45"/>
  <c r="BB45"/>
  <c r="BA45"/>
  <c r="AX45"/>
  <c r="AW45"/>
  <c r="AV45"/>
  <c r="AC45"/>
  <c r="H45"/>
  <c r="G45"/>
  <c r="BT44"/>
  <c r="BS44"/>
  <c r="BR44"/>
  <c r="BQ44"/>
  <c r="BP44"/>
  <c r="BO44"/>
  <c r="BN44"/>
  <c r="BM44"/>
  <c r="BL44" s="1"/>
  <c r="BK44"/>
  <c r="BJ44"/>
  <c r="BI44"/>
  <c r="BH44"/>
  <c r="BG44"/>
  <c r="BF44"/>
  <c r="BE44"/>
  <c r="BD44"/>
  <c r="BC44"/>
  <c r="BB44"/>
  <c r="BA44" s="1"/>
  <c r="AZ44" s="1"/>
  <c r="AX44"/>
  <c r="AW44"/>
  <c r="AV44"/>
  <c r="AC44"/>
  <c r="H44"/>
  <c r="G44" s="1"/>
  <c r="BT43"/>
  <c r="BS43"/>
  <c r="BR43"/>
  <c r="BQ43"/>
  <c r="BP43"/>
  <c r="BO43"/>
  <c r="BN43"/>
  <c r="BM43"/>
  <c r="BL43" s="1"/>
  <c r="BK43"/>
  <c r="BJ43"/>
  <c r="BI43"/>
  <c r="BH43"/>
  <c r="BG43"/>
  <c r="BF43"/>
  <c r="BE43"/>
  <c r="BD43"/>
  <c r="BC43"/>
  <c r="BB43"/>
  <c r="AX43"/>
  <c r="AW43"/>
  <c r="AV43"/>
  <c r="AC43"/>
  <c r="H43"/>
  <c r="G43" s="1"/>
  <c r="BT42"/>
  <c r="BS42"/>
  <c r="BR42"/>
  <c r="BQ42"/>
  <c r="BP42"/>
  <c r="BO42"/>
  <c r="BN42"/>
  <c r="BM42"/>
  <c r="BL42" s="1"/>
  <c r="BK42"/>
  <c r="BJ42"/>
  <c r="BI42"/>
  <c r="BH42"/>
  <c r="BG42"/>
  <c r="BF42"/>
  <c r="BE42"/>
  <c r="BD42"/>
  <c r="BC42"/>
  <c r="BB42"/>
  <c r="AX42"/>
  <c r="AW42"/>
  <c r="AV42"/>
  <c r="AC42"/>
  <c r="H42"/>
  <c r="G42" s="1"/>
  <c r="BT41"/>
  <c r="BS41"/>
  <c r="BR41"/>
  <c r="BQ41"/>
  <c r="BP41"/>
  <c r="BO41"/>
  <c r="BN41"/>
  <c r="BM41"/>
  <c r="BK41"/>
  <c r="BJ41"/>
  <c r="BI41"/>
  <c r="BH41"/>
  <c r="BG41"/>
  <c r="BF41"/>
  <c r="BE41"/>
  <c r="BD41"/>
  <c r="BC41"/>
  <c r="BB41"/>
  <c r="BA41"/>
  <c r="AX41"/>
  <c r="AW41"/>
  <c r="AV41"/>
  <c r="AC41"/>
  <c r="H41"/>
  <c r="BT40"/>
  <c r="BS40"/>
  <c r="BR40"/>
  <c r="BQ40"/>
  <c r="BP40"/>
  <c r="BO40"/>
  <c r="BN40"/>
  <c r="BM40"/>
  <c r="BL40"/>
  <c r="BK40"/>
  <c r="BJ40"/>
  <c r="BI40"/>
  <c r="BH40"/>
  <c r="BG40"/>
  <c r="BF40"/>
  <c r="BE40"/>
  <c r="BD40"/>
  <c r="BC40"/>
  <c r="BB40"/>
  <c r="BA40" s="1"/>
  <c r="AX40"/>
  <c r="AW40"/>
  <c r="AV40"/>
  <c r="AC40"/>
  <c r="H40"/>
  <c r="BT39"/>
  <c r="BS39"/>
  <c r="BR39"/>
  <c r="BQ39"/>
  <c r="BP39"/>
  <c r="BO39"/>
  <c r="BN39"/>
  <c r="BM39"/>
  <c r="BL39"/>
  <c r="BK39"/>
  <c r="BJ39"/>
  <c r="BI39"/>
  <c r="BH39"/>
  <c r="BG39"/>
  <c r="BF39"/>
  <c r="BE39"/>
  <c r="BD39"/>
  <c r="BC39"/>
  <c r="BB39"/>
  <c r="BA39" s="1"/>
  <c r="AX39"/>
  <c r="AW39"/>
  <c r="AV39"/>
  <c r="AC39"/>
  <c r="H39"/>
  <c r="BT38"/>
  <c r="BS38"/>
  <c r="BR38"/>
  <c r="BQ38"/>
  <c r="BP38"/>
  <c r="BO38"/>
  <c r="BN38"/>
  <c r="BM38"/>
  <c r="BL38"/>
  <c r="BK38"/>
  <c r="BJ38"/>
  <c r="BI38"/>
  <c r="BH38"/>
  <c r="BG38"/>
  <c r="BF38"/>
  <c r="BE38"/>
  <c r="BD38"/>
  <c r="BC38"/>
  <c r="BB38"/>
  <c r="BA38" s="1"/>
  <c r="AZ38" s="1"/>
  <c r="AX38"/>
  <c r="AW38"/>
  <c r="AV38"/>
  <c r="AC38"/>
  <c r="H38"/>
  <c r="G38"/>
  <c r="BT37"/>
  <c r="BS37"/>
  <c r="BR37"/>
  <c r="BQ37"/>
  <c r="BP37"/>
  <c r="BO37"/>
  <c r="BN37"/>
  <c r="BM37"/>
  <c r="BL37" s="1"/>
  <c r="BK37"/>
  <c r="BJ37"/>
  <c r="BI37"/>
  <c r="BH37"/>
  <c r="BG37"/>
  <c r="BF37"/>
  <c r="BE37"/>
  <c r="BD37"/>
  <c r="BC37"/>
  <c r="BB37"/>
  <c r="BA37" s="1"/>
  <c r="AZ37" s="1"/>
  <c r="AX37"/>
  <c r="AW37"/>
  <c r="AV37"/>
  <c r="AC37"/>
  <c r="H37"/>
  <c r="G37" s="1"/>
  <c r="BT36"/>
  <c r="BS36"/>
  <c r="BR36"/>
  <c r="BQ36"/>
  <c r="BP36"/>
  <c r="BO36"/>
  <c r="BN36"/>
  <c r="BM36"/>
  <c r="BL36" s="1"/>
  <c r="BK36"/>
  <c r="BJ36"/>
  <c r="BI36"/>
  <c r="BH36"/>
  <c r="BG36"/>
  <c r="BF36"/>
  <c r="BE36"/>
  <c r="BD36"/>
  <c r="BC36"/>
  <c r="BB36"/>
  <c r="AX36"/>
  <c r="AW36"/>
  <c r="AV36"/>
  <c r="AC36"/>
  <c r="H36"/>
  <c r="G36" s="1"/>
  <c r="BT35"/>
  <c r="BS35"/>
  <c r="BR35"/>
  <c r="BQ35"/>
  <c r="BP35"/>
  <c r="BO35"/>
  <c r="BN35"/>
  <c r="BM35"/>
  <c r="BK35"/>
  <c r="BJ35"/>
  <c r="BI35"/>
  <c r="BH35"/>
  <c r="BG35"/>
  <c r="BF35"/>
  <c r="BE35"/>
  <c r="BD35"/>
  <c r="BC35"/>
  <c r="BB35"/>
  <c r="BA35"/>
  <c r="AX35"/>
  <c r="AW35"/>
  <c r="AV35"/>
  <c r="AC35"/>
  <c r="H35"/>
  <c r="G35"/>
  <c r="BT34"/>
  <c r="BS34"/>
  <c r="BR34"/>
  <c r="BQ34"/>
  <c r="BP34"/>
  <c r="BO34"/>
  <c r="BN34"/>
  <c r="BM34"/>
  <c r="BL34" s="1"/>
  <c r="BK34"/>
  <c r="BJ34"/>
  <c r="BI34"/>
  <c r="BH34"/>
  <c r="BG34"/>
  <c r="BF34"/>
  <c r="BE34"/>
  <c r="BD34"/>
  <c r="BC34"/>
  <c r="BB34"/>
  <c r="BA34" s="1"/>
  <c r="AZ34" s="1"/>
  <c r="AX34"/>
  <c r="AW34"/>
  <c r="AV34"/>
  <c r="AC34"/>
  <c r="H34"/>
  <c r="G34" s="1"/>
  <c r="BT33"/>
  <c r="BS33"/>
  <c r="BR33"/>
  <c r="BQ33"/>
  <c r="BP33"/>
  <c r="BO33"/>
  <c r="BN33"/>
  <c r="BM33"/>
  <c r="BL33" s="1"/>
  <c r="BK33"/>
  <c r="BJ33"/>
  <c r="BI33"/>
  <c r="BH33"/>
  <c r="BG33"/>
  <c r="BF33"/>
  <c r="BE33"/>
  <c r="BD33"/>
  <c r="BC33"/>
  <c r="BB33"/>
  <c r="AX33"/>
  <c r="AW33"/>
  <c r="AV33"/>
  <c r="AC33"/>
  <c r="H33"/>
  <c r="G33" s="1"/>
  <c r="BT32"/>
  <c r="BS32"/>
  <c r="BR32"/>
  <c r="BQ32"/>
  <c r="BP32"/>
  <c r="BO32"/>
  <c r="BN32"/>
  <c r="BM32"/>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s="1"/>
  <c r="AX31"/>
  <c r="AW31"/>
  <c r="AV31"/>
  <c r="AC31"/>
  <c r="H31"/>
  <c r="G31" s="1"/>
  <c r="BT30"/>
  <c r="BS30"/>
  <c r="BR30"/>
  <c r="BQ30"/>
  <c r="BP30"/>
  <c r="BO30"/>
  <c r="BN30"/>
  <c r="BM30"/>
  <c r="BK30"/>
  <c r="BJ30"/>
  <c r="BI30"/>
  <c r="BH30"/>
  <c r="BG30"/>
  <c r="BF30"/>
  <c r="BE30"/>
  <c r="BD30"/>
  <c r="BC30"/>
  <c r="BB30"/>
  <c r="BA30"/>
  <c r="AX30"/>
  <c r="AW30"/>
  <c r="AV30"/>
  <c r="AC30"/>
  <c r="H30"/>
  <c r="BT29"/>
  <c r="BS29"/>
  <c r="BR29"/>
  <c r="BQ29"/>
  <c r="BP29"/>
  <c r="BO29"/>
  <c r="BN29"/>
  <c r="BM29"/>
  <c r="BL29"/>
  <c r="BK29"/>
  <c r="BJ29"/>
  <c r="BI29"/>
  <c r="BH29"/>
  <c r="BG29"/>
  <c r="BF29"/>
  <c r="BE29"/>
  <c r="BD29"/>
  <c r="BC29"/>
  <c r="BB29"/>
  <c r="BA29" s="1"/>
  <c r="AZ29" s="1"/>
  <c r="AX29"/>
  <c r="AW29"/>
  <c r="AV29"/>
  <c r="AC29"/>
  <c r="H29"/>
  <c r="G29"/>
  <c r="BT28"/>
  <c r="BS28"/>
  <c r="BR28"/>
  <c r="BQ28"/>
  <c r="BP28"/>
  <c r="BO28"/>
  <c r="BN28"/>
  <c r="BM28"/>
  <c r="BL28" s="1"/>
  <c r="BK28"/>
  <c r="BJ28"/>
  <c r="BI28"/>
  <c r="BH28"/>
  <c r="BG28"/>
  <c r="BF28"/>
  <c r="BE28"/>
  <c r="BD28"/>
  <c r="BC28"/>
  <c r="BB28"/>
  <c r="BA28" s="1"/>
  <c r="AZ28" s="1"/>
  <c r="AX28"/>
  <c r="AW28"/>
  <c r="AV28"/>
  <c r="AC28"/>
  <c r="H28"/>
  <c r="G28" s="1"/>
  <c r="BT27"/>
  <c r="BS27"/>
  <c r="BR27"/>
  <c r="BQ27"/>
  <c r="BP27"/>
  <c r="BO27"/>
  <c r="BN27"/>
  <c r="BM27"/>
  <c r="BL27" s="1"/>
  <c r="BK27"/>
  <c r="BJ27"/>
  <c r="BI27"/>
  <c r="BH27"/>
  <c r="BG27"/>
  <c r="BF27"/>
  <c r="BE27"/>
  <c r="BD27"/>
  <c r="BC27"/>
  <c r="BB27"/>
  <c r="AX27"/>
  <c r="AW27"/>
  <c r="AV27"/>
  <c r="AC27"/>
  <c r="H27"/>
  <c r="BT26"/>
  <c r="BS26"/>
  <c r="BR26"/>
  <c r="BQ26"/>
  <c r="BP26"/>
  <c r="BO26"/>
  <c r="BN26"/>
  <c r="BM26"/>
  <c r="BL26"/>
  <c r="BK26"/>
  <c r="BJ26"/>
  <c r="BI26"/>
  <c r="BH26"/>
  <c r="BG26"/>
  <c r="BF26"/>
  <c r="BE26"/>
  <c r="BD26"/>
  <c r="BC26"/>
  <c r="BB26"/>
  <c r="BA26" s="1"/>
  <c r="AZ26" s="1"/>
  <c r="AX26"/>
  <c r="AW26"/>
  <c r="AV26"/>
  <c r="AC26"/>
  <c r="H26"/>
  <c r="G26"/>
  <c r="BT25"/>
  <c r="BS25"/>
  <c r="BR25"/>
  <c r="BQ25"/>
  <c r="BP25"/>
  <c r="BO25"/>
  <c r="BN25"/>
  <c r="BM25"/>
  <c r="BL25" s="1"/>
  <c r="BK25"/>
  <c r="BJ25"/>
  <c r="BI25"/>
  <c r="BH25"/>
  <c r="BG25"/>
  <c r="BF25"/>
  <c r="BE25"/>
  <c r="BD25"/>
  <c r="BC25"/>
  <c r="BB25"/>
  <c r="BA25" s="1"/>
  <c r="AX25"/>
  <c r="AW25"/>
  <c r="AV25"/>
  <c r="AC25"/>
  <c r="H25"/>
  <c r="G25" s="1"/>
  <c r="BT24"/>
  <c r="BS24"/>
  <c r="BR24"/>
  <c r="BQ24"/>
  <c r="BP24"/>
  <c r="BO24"/>
  <c r="BN24"/>
  <c r="BM24"/>
  <c r="BL24" s="1"/>
  <c r="BK24"/>
  <c r="BJ24"/>
  <c r="BI24"/>
  <c r="BH24"/>
  <c r="BG24"/>
  <c r="BF24"/>
  <c r="BE24"/>
  <c r="BD24"/>
  <c r="BC24"/>
  <c r="BB24"/>
  <c r="AX24"/>
  <c r="AW24"/>
  <c r="AV24"/>
  <c r="AC24"/>
  <c r="H24"/>
  <c r="G24" s="1"/>
  <c r="BT23"/>
  <c r="BS23"/>
  <c r="BR23"/>
  <c r="BQ23"/>
  <c r="BP23"/>
  <c r="BO23"/>
  <c r="BN23"/>
  <c r="BM23"/>
  <c r="BL23" s="1"/>
  <c r="BK23"/>
  <c r="BJ23"/>
  <c r="BI23"/>
  <c r="BH23"/>
  <c r="BG23"/>
  <c r="BF23"/>
  <c r="BE23"/>
  <c r="BD23"/>
  <c r="BC23"/>
  <c r="BB23"/>
  <c r="AX23"/>
  <c r="AW23"/>
  <c r="AV23"/>
  <c r="AC23"/>
  <c r="H23"/>
  <c r="G23" s="1"/>
  <c r="BT22"/>
  <c r="BS22"/>
  <c r="BR22"/>
  <c r="BQ22"/>
  <c r="BP22"/>
  <c r="BO22"/>
  <c r="BN22"/>
  <c r="BM22"/>
  <c r="BL22" s="1"/>
  <c r="BK22"/>
  <c r="BJ22"/>
  <c r="BI22"/>
  <c r="BH22"/>
  <c r="BG22"/>
  <c r="BF22"/>
  <c r="BE22"/>
  <c r="BD22"/>
  <c r="BC22"/>
  <c r="BB22"/>
  <c r="AX22"/>
  <c r="AW22"/>
  <c r="AV22"/>
  <c r="AC22"/>
  <c r="H22"/>
  <c r="G22" s="1"/>
  <c r="BT21"/>
  <c r="BS21"/>
  <c r="BR21"/>
  <c r="BQ21"/>
  <c r="BP21"/>
  <c r="BO21"/>
  <c r="BN21"/>
  <c r="BM21"/>
  <c r="BK21"/>
  <c r="BJ21"/>
  <c r="BI21"/>
  <c r="BH21"/>
  <c r="BG21"/>
  <c r="BF21"/>
  <c r="BE21"/>
  <c r="BD21"/>
  <c r="BC21"/>
  <c r="BB21"/>
  <c r="BA21"/>
  <c r="AX21"/>
  <c r="AW21"/>
  <c r="AV21"/>
  <c r="AC21"/>
  <c r="H21"/>
  <c r="BT204"/>
  <c r="BS204"/>
  <c r="BR204"/>
  <c r="BQ204"/>
  <c r="BP204"/>
  <c r="BO204"/>
  <c r="BN204"/>
  <c r="BM204"/>
  <c r="BL204"/>
  <c r="BK204"/>
  <c r="BJ204"/>
  <c r="BI204"/>
  <c r="BH204"/>
  <c r="BG204"/>
  <c r="BF204"/>
  <c r="BE204"/>
  <c r="BD204"/>
  <c r="BC204"/>
  <c r="BB204"/>
  <c r="BA204" s="1"/>
  <c r="AZ204" s="1"/>
  <c r="AX204"/>
  <c r="AW204"/>
  <c r="AV204"/>
  <c r="AC204"/>
  <c r="H204"/>
  <c r="G204"/>
  <c r="BT203"/>
  <c r="BS203"/>
  <c r="BR203"/>
  <c r="BQ203"/>
  <c r="BP203"/>
  <c r="BO203"/>
  <c r="BN203"/>
  <c r="BM203"/>
  <c r="BL203" s="1"/>
  <c r="BK203"/>
  <c r="BJ203"/>
  <c r="BI203"/>
  <c r="BH203"/>
  <c r="BG203"/>
  <c r="BF203"/>
  <c r="BE203"/>
  <c r="BD203"/>
  <c r="BC203"/>
  <c r="BB203"/>
  <c r="BA203" s="1"/>
  <c r="AX203"/>
  <c r="AW203"/>
  <c r="AV203"/>
  <c r="AC203"/>
  <c r="H203"/>
  <c r="G203" s="1"/>
  <c r="BT202"/>
  <c r="BS202"/>
  <c r="BR202"/>
  <c r="BQ202"/>
  <c r="BP202"/>
  <c r="BO202"/>
  <c r="BN202"/>
  <c r="BM202"/>
  <c r="BK202"/>
  <c r="BJ202"/>
  <c r="BI202"/>
  <c r="BH202"/>
  <c r="BG202"/>
  <c r="BF202"/>
  <c r="BE202"/>
  <c r="BD202"/>
  <c r="BC202"/>
  <c r="BB202"/>
  <c r="BA202"/>
  <c r="AX202"/>
  <c r="AW202"/>
  <c r="AV202"/>
  <c r="AC202"/>
  <c r="H202"/>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s="1"/>
  <c r="BK200"/>
  <c r="BJ200"/>
  <c r="BI200"/>
  <c r="BH200"/>
  <c r="BG200"/>
  <c r="BF200"/>
  <c r="BE200"/>
  <c r="BD200"/>
  <c r="BC200"/>
  <c r="BB200"/>
  <c r="AX200"/>
  <c r="AW200"/>
  <c r="AV200"/>
  <c r="AC200"/>
  <c r="H200"/>
  <c r="BT199"/>
  <c r="BS199"/>
  <c r="BR199"/>
  <c r="BQ199"/>
  <c r="BP199"/>
  <c r="BO199"/>
  <c r="BN199"/>
  <c r="BM199"/>
  <c r="BL199"/>
  <c r="BK199"/>
  <c r="BJ199"/>
  <c r="BI199"/>
  <c r="BH199"/>
  <c r="BG199"/>
  <c r="BF199"/>
  <c r="BE199"/>
  <c r="BD199"/>
  <c r="BC199"/>
  <c r="BB199"/>
  <c r="BA199" s="1"/>
  <c r="AX199"/>
  <c r="AW199"/>
  <c r="AV199"/>
  <c r="AC199"/>
  <c r="H199"/>
  <c r="BT198"/>
  <c r="BS198"/>
  <c r="BR198"/>
  <c r="BQ198"/>
  <c r="BP198"/>
  <c r="BO198"/>
  <c r="BN198"/>
  <c r="BM198"/>
  <c r="BL198"/>
  <c r="BK198"/>
  <c r="BJ198"/>
  <c r="BI198"/>
  <c r="BH198"/>
  <c r="BG198"/>
  <c r="BF198"/>
  <c r="BE198"/>
  <c r="BD198"/>
  <c r="BC198"/>
  <c r="BB198"/>
  <c r="BA198" s="1"/>
  <c r="AZ198" s="1"/>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s="1"/>
  <c r="BK196"/>
  <c r="BJ196"/>
  <c r="BI196"/>
  <c r="BH196"/>
  <c r="BG196"/>
  <c r="BF196"/>
  <c r="BE196"/>
  <c r="BD196"/>
  <c r="BC196"/>
  <c r="BB196"/>
  <c r="AX196"/>
  <c r="AW196"/>
  <c r="AV196"/>
  <c r="AC196"/>
  <c r="H196"/>
  <c r="BT195"/>
  <c r="BS195"/>
  <c r="BR195"/>
  <c r="BQ195"/>
  <c r="BP195"/>
  <c r="BO195"/>
  <c r="BN195"/>
  <c r="BM195"/>
  <c r="BL195"/>
  <c r="BK195"/>
  <c r="BJ195"/>
  <c r="BI195"/>
  <c r="BH195"/>
  <c r="BG195"/>
  <c r="BF195"/>
  <c r="BE195"/>
  <c r="BD195"/>
  <c r="BC195"/>
  <c r="BB195"/>
  <c r="BA195" s="1"/>
  <c r="AX195"/>
  <c r="AW195"/>
  <c r="AV195"/>
  <c r="AC195"/>
  <c r="H195"/>
  <c r="BT194"/>
  <c r="BS194"/>
  <c r="BR194"/>
  <c r="BQ194"/>
  <c r="BP194"/>
  <c r="BO194"/>
  <c r="BN194"/>
  <c r="BM194"/>
  <c r="BL194"/>
  <c r="BK194"/>
  <c r="BJ194"/>
  <c r="BI194"/>
  <c r="BH194"/>
  <c r="BG194"/>
  <c r="BF194"/>
  <c r="BE194"/>
  <c r="BD194"/>
  <c r="BC194"/>
  <c r="BB194"/>
  <c r="BA194" s="1"/>
  <c r="AZ194" s="1"/>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s="1"/>
  <c r="BK192"/>
  <c r="BJ192"/>
  <c r="BI192"/>
  <c r="BH192"/>
  <c r="BG192"/>
  <c r="BF192"/>
  <c r="BE192"/>
  <c r="BD192"/>
  <c r="BC192"/>
  <c r="BB192"/>
  <c r="AX192"/>
  <c r="AW192"/>
  <c r="AV192"/>
  <c r="AC192"/>
  <c r="H192"/>
  <c r="BT191"/>
  <c r="BS191"/>
  <c r="BR191"/>
  <c r="BQ191"/>
  <c r="BP191"/>
  <c r="BO191"/>
  <c r="BN191"/>
  <c r="BM191"/>
  <c r="BL191"/>
  <c r="BK191"/>
  <c r="BJ191"/>
  <c r="BI191"/>
  <c r="BH191"/>
  <c r="BG191"/>
  <c r="BF191"/>
  <c r="BE191"/>
  <c r="BD191"/>
  <c r="BC191"/>
  <c r="BB191"/>
  <c r="BA191" s="1"/>
  <c r="AX191"/>
  <c r="AW191"/>
  <c r="AV191"/>
  <c r="AC191"/>
  <c r="H191"/>
  <c r="BT190"/>
  <c r="BS190"/>
  <c r="BR190"/>
  <c r="BQ190"/>
  <c r="BP190"/>
  <c r="BO190"/>
  <c r="BN190"/>
  <c r="BM190"/>
  <c r="BL190"/>
  <c r="BK190"/>
  <c r="BJ190"/>
  <c r="BI190"/>
  <c r="BH190"/>
  <c r="BG190"/>
  <c r="BF190"/>
  <c r="BE190"/>
  <c r="BD190"/>
  <c r="BC190"/>
  <c r="BB190"/>
  <c r="BA190" s="1"/>
  <c r="AZ190" s="1"/>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s="1"/>
  <c r="BK188"/>
  <c r="BJ188"/>
  <c r="BI188"/>
  <c r="BH188"/>
  <c r="BG188"/>
  <c r="BF188"/>
  <c r="BE188"/>
  <c r="BD188"/>
  <c r="BC188"/>
  <c r="BB188"/>
  <c r="AX188"/>
  <c r="AW188"/>
  <c r="AV188"/>
  <c r="AC188"/>
  <c r="H188"/>
  <c r="BT187"/>
  <c r="BS187"/>
  <c r="BR187"/>
  <c r="BQ187"/>
  <c r="BP187"/>
  <c r="BO187"/>
  <c r="BN187"/>
  <c r="BM187"/>
  <c r="BL187"/>
  <c r="BK187"/>
  <c r="BJ187"/>
  <c r="BI187"/>
  <c r="BH187"/>
  <c r="BG187"/>
  <c r="BF187"/>
  <c r="BE187"/>
  <c r="BD187"/>
  <c r="BC187"/>
  <c r="BB187"/>
  <c r="BA187" s="1"/>
  <c r="AX187"/>
  <c r="AW187"/>
  <c r="AV187"/>
  <c r="AC187"/>
  <c r="H187"/>
  <c r="BT186"/>
  <c r="BS186"/>
  <c r="BR186"/>
  <c r="BQ186"/>
  <c r="BP186"/>
  <c r="BO186"/>
  <c r="BN186"/>
  <c r="BM186"/>
  <c r="BL186"/>
  <c r="BK186"/>
  <c r="BJ186"/>
  <c r="BI186"/>
  <c r="BH186"/>
  <c r="BG186"/>
  <c r="BF186"/>
  <c r="BE186"/>
  <c r="BD186"/>
  <c r="BC186"/>
  <c r="BB186"/>
  <c r="BA186" s="1"/>
  <c r="AZ186" s="1"/>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s="1"/>
  <c r="BK184"/>
  <c r="BJ184"/>
  <c r="BI184"/>
  <c r="BH184"/>
  <c r="BG184"/>
  <c r="BF184"/>
  <c r="BE184"/>
  <c r="BD184"/>
  <c r="BC184"/>
  <c r="BB184"/>
  <c r="AX184"/>
  <c r="AW184"/>
  <c r="AV184"/>
  <c r="AC184"/>
  <c r="H184"/>
  <c r="BT183"/>
  <c r="BS183"/>
  <c r="BR183"/>
  <c r="BQ183"/>
  <c r="BP183"/>
  <c r="BO183"/>
  <c r="BN183"/>
  <c r="BM183"/>
  <c r="BL183"/>
  <c r="BK183"/>
  <c r="BJ183"/>
  <c r="BI183"/>
  <c r="BH183"/>
  <c r="BG183"/>
  <c r="BF183"/>
  <c r="BE183"/>
  <c r="BD183"/>
  <c r="BC183"/>
  <c r="BB183"/>
  <c r="BA183" s="1"/>
  <c r="AX183"/>
  <c r="AW183"/>
  <c r="AV183"/>
  <c r="AC183"/>
  <c r="H183"/>
  <c r="BT182"/>
  <c r="BS182"/>
  <c r="BR182"/>
  <c r="BQ182"/>
  <c r="BP182"/>
  <c r="BO182"/>
  <c r="BN182"/>
  <c r="BM182"/>
  <c r="BL182"/>
  <c r="BK182"/>
  <c r="BJ182"/>
  <c r="BI182"/>
  <c r="BH182"/>
  <c r="BG182"/>
  <c r="BF182"/>
  <c r="BE182"/>
  <c r="BD182"/>
  <c r="BC182"/>
  <c r="BB182"/>
  <c r="BA182" s="1"/>
  <c r="AZ182" s="1"/>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s="1"/>
  <c r="BK180"/>
  <c r="BJ180"/>
  <c r="BI180"/>
  <c r="BH180"/>
  <c r="BG180"/>
  <c r="BF180"/>
  <c r="BE180"/>
  <c r="BD180"/>
  <c r="BC180"/>
  <c r="BB180"/>
  <c r="BA180" s="1"/>
  <c r="AX180"/>
  <c r="AW180"/>
  <c r="AV180"/>
  <c r="AC180"/>
  <c r="H180"/>
  <c r="BT179"/>
  <c r="BS179"/>
  <c r="BR179"/>
  <c r="BQ179"/>
  <c r="BP179"/>
  <c r="BO179"/>
  <c r="BN179"/>
  <c r="BM179"/>
  <c r="BK179"/>
  <c r="BJ179"/>
  <c r="BI179"/>
  <c r="BH179"/>
  <c r="BG179"/>
  <c r="BF179"/>
  <c r="BE179"/>
  <c r="BD179"/>
  <c r="BC179"/>
  <c r="BB179"/>
  <c r="BA179" s="1"/>
  <c r="AX179"/>
  <c r="AW179"/>
  <c r="AV179"/>
  <c r="AC179"/>
  <c r="H179"/>
  <c r="G179" s="1"/>
  <c r="BT178"/>
  <c r="BS178"/>
  <c r="BR178"/>
  <c r="BQ178"/>
  <c r="BP178"/>
  <c r="BO178"/>
  <c r="BN178"/>
  <c r="BM178"/>
  <c r="BK178"/>
  <c r="BJ178"/>
  <c r="BI178"/>
  <c r="BH178"/>
  <c r="BG178"/>
  <c r="BF178"/>
  <c r="BE178"/>
  <c r="BD178"/>
  <c r="BC178"/>
  <c r="BB178"/>
  <c r="AX178"/>
  <c r="AW178"/>
  <c r="AV178"/>
  <c r="AC178"/>
  <c r="H178"/>
  <c r="G178" s="1"/>
  <c r="BT177"/>
  <c r="BS177"/>
  <c r="BR177"/>
  <c r="BQ177"/>
  <c r="BP177"/>
  <c r="BO177"/>
  <c r="BN177"/>
  <c r="BM177"/>
  <c r="BL177" s="1"/>
  <c r="BK177"/>
  <c r="BJ177"/>
  <c r="BI177"/>
  <c r="BH177"/>
  <c r="BG177"/>
  <c r="BF177"/>
  <c r="BE177"/>
  <c r="BD177"/>
  <c r="BC177"/>
  <c r="BB177"/>
  <c r="AX177"/>
  <c r="AW177"/>
  <c r="AV177"/>
  <c r="AC177"/>
  <c r="H177"/>
  <c r="G177" s="1"/>
  <c r="BT176"/>
  <c r="BS176"/>
  <c r="BR176"/>
  <c r="BQ176"/>
  <c r="BP176"/>
  <c r="BO176"/>
  <c r="BN176"/>
  <c r="BM176"/>
  <c r="BL176" s="1"/>
  <c r="BK176"/>
  <c r="BJ176"/>
  <c r="BI176"/>
  <c r="BH176"/>
  <c r="BG176"/>
  <c r="BF176"/>
  <c r="BE176"/>
  <c r="BD176"/>
  <c r="BC176"/>
  <c r="BB176"/>
  <c r="AX176"/>
  <c r="AW176"/>
  <c r="AV176"/>
  <c r="AC176"/>
  <c r="H176"/>
  <c r="G176" s="1"/>
  <c r="BT175"/>
  <c r="BS175"/>
  <c r="BR175"/>
  <c r="BQ175"/>
  <c r="BP175"/>
  <c r="BO175"/>
  <c r="BN175"/>
  <c r="BM175"/>
  <c r="BK175"/>
  <c r="BJ175"/>
  <c r="BI175"/>
  <c r="BH175"/>
  <c r="BG175"/>
  <c r="BF175"/>
  <c r="BE175"/>
  <c r="BD175"/>
  <c r="BC175"/>
  <c r="BB175"/>
  <c r="BA175"/>
  <c r="AX175"/>
  <c r="AW175"/>
  <c r="AV175"/>
  <c r="AC175"/>
  <c r="H175"/>
  <c r="BT174"/>
  <c r="BS174"/>
  <c r="BR174"/>
  <c r="BQ174"/>
  <c r="BP174"/>
  <c r="BO174"/>
  <c r="BN174"/>
  <c r="BM174"/>
  <c r="BK174"/>
  <c r="BJ174"/>
  <c r="BI174"/>
  <c r="BH174"/>
  <c r="BG174"/>
  <c r="BF174"/>
  <c r="BE174"/>
  <c r="BD174"/>
  <c r="BC174"/>
  <c r="BB174"/>
  <c r="AX174"/>
  <c r="AW174"/>
  <c r="AV174"/>
  <c r="AC174"/>
  <c r="H174"/>
  <c r="G174" s="1"/>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K172"/>
  <c r="BJ172"/>
  <c r="BI172"/>
  <c r="BH172"/>
  <c r="BG172"/>
  <c r="BF172"/>
  <c r="BE172"/>
  <c r="BD172"/>
  <c r="BC172"/>
  <c r="BB172"/>
  <c r="BA172"/>
  <c r="AX172"/>
  <c r="AW172"/>
  <c r="AV172"/>
  <c r="AC172"/>
  <c r="H172"/>
  <c r="BT171"/>
  <c r="BS171"/>
  <c r="BR171"/>
  <c r="BQ171"/>
  <c r="BP171"/>
  <c r="BO171"/>
  <c r="BN171"/>
  <c r="BM171"/>
  <c r="BL171"/>
  <c r="BK171"/>
  <c r="BJ171"/>
  <c r="BI171"/>
  <c r="BH171"/>
  <c r="BG171"/>
  <c r="BF171"/>
  <c r="BE171"/>
  <c r="BD171"/>
  <c r="BC171"/>
  <c r="BB171"/>
  <c r="BA171" s="1"/>
  <c r="AZ171" s="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AX169"/>
  <c r="AW169"/>
  <c r="AV169"/>
  <c r="AC169"/>
  <c r="H169"/>
  <c r="BT168"/>
  <c r="BS168"/>
  <c r="BR168"/>
  <c r="BQ168"/>
  <c r="BP168"/>
  <c r="BO168"/>
  <c r="BN168"/>
  <c r="BM168"/>
  <c r="BL168"/>
  <c r="BK168"/>
  <c r="BJ168"/>
  <c r="BI168"/>
  <c r="BH168"/>
  <c r="BG168"/>
  <c r="BF168"/>
  <c r="BE168"/>
  <c r="BD168"/>
  <c r="BC168"/>
  <c r="BB168"/>
  <c r="BA168" s="1"/>
  <c r="AZ168" s="1"/>
  <c r="AX168"/>
  <c r="AW168"/>
  <c r="AV168"/>
  <c r="AC168"/>
  <c r="H168"/>
  <c r="G168"/>
  <c r="BT167"/>
  <c r="BS167"/>
  <c r="BR167"/>
  <c r="BQ167"/>
  <c r="BP167"/>
  <c r="BO167"/>
  <c r="BN167"/>
  <c r="BM167"/>
  <c r="BL167" s="1"/>
  <c r="BK167"/>
  <c r="BJ167"/>
  <c r="BI167"/>
  <c r="BH167"/>
  <c r="BG167"/>
  <c r="BF167"/>
  <c r="BE167"/>
  <c r="BD167"/>
  <c r="BC167"/>
  <c r="BB167"/>
  <c r="BA167" s="1"/>
  <c r="AX167"/>
  <c r="AW167"/>
  <c r="AV167"/>
  <c r="AC167"/>
  <c r="H167"/>
  <c r="BT166"/>
  <c r="BS166"/>
  <c r="BR166"/>
  <c r="BQ166"/>
  <c r="BP166"/>
  <c r="BO166"/>
  <c r="BN166"/>
  <c r="BM166"/>
  <c r="BK166"/>
  <c r="BJ166"/>
  <c r="BI166"/>
  <c r="BH166"/>
  <c r="BG166"/>
  <c r="BF166"/>
  <c r="BE166"/>
  <c r="BD166"/>
  <c r="BC166"/>
  <c r="BB166"/>
  <c r="BA166" s="1"/>
  <c r="AX166"/>
  <c r="AW166"/>
  <c r="AV166"/>
  <c r="AC166"/>
  <c r="H166"/>
  <c r="G166" s="1"/>
  <c r="BT165"/>
  <c r="BS165"/>
  <c r="BR165"/>
  <c r="BQ165"/>
  <c r="BP165"/>
  <c r="BO165"/>
  <c r="BN165"/>
  <c r="BM165"/>
  <c r="BK165"/>
  <c r="BJ165"/>
  <c r="BI165"/>
  <c r="BH165"/>
  <c r="BG165"/>
  <c r="BF165"/>
  <c r="BE165"/>
  <c r="BD165"/>
  <c r="BC165"/>
  <c r="BB165"/>
  <c r="AX165"/>
  <c r="AW165"/>
  <c r="AV165"/>
  <c r="AC165"/>
  <c r="H165"/>
  <c r="G165" s="1"/>
  <c r="BT164"/>
  <c r="BS164"/>
  <c r="BR164"/>
  <c r="BQ164"/>
  <c r="BP164"/>
  <c r="BO164"/>
  <c r="BN164"/>
  <c r="BM164"/>
  <c r="BL164" s="1"/>
  <c r="BK164"/>
  <c r="BJ164"/>
  <c r="BI164"/>
  <c r="BH164"/>
  <c r="BG164"/>
  <c r="BF164"/>
  <c r="BE164"/>
  <c r="BD164"/>
  <c r="BC164"/>
  <c r="BB164"/>
  <c r="AX164"/>
  <c r="AW164"/>
  <c r="AV164"/>
  <c r="AC164"/>
  <c r="H164"/>
  <c r="G164" s="1"/>
  <c r="BT163"/>
  <c r="BS163"/>
  <c r="BR163"/>
  <c r="BQ163"/>
  <c r="BP163"/>
  <c r="BO163"/>
  <c r="BN163"/>
  <c r="BM163"/>
  <c r="BL163" s="1"/>
  <c r="BK163"/>
  <c r="BJ163"/>
  <c r="BI163"/>
  <c r="BH163"/>
  <c r="BG163"/>
  <c r="BF163"/>
  <c r="BE163"/>
  <c r="BD163"/>
  <c r="BC163"/>
  <c r="BB163"/>
  <c r="AX163"/>
  <c r="AW163"/>
  <c r="AV163"/>
  <c r="AC163"/>
  <c r="H163"/>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K161"/>
  <c r="BJ161"/>
  <c r="BI161"/>
  <c r="BH161"/>
  <c r="BG161"/>
  <c r="BF161"/>
  <c r="BE161"/>
  <c r="BD161"/>
  <c r="BC161"/>
  <c r="BB161"/>
  <c r="AX161"/>
  <c r="AW161"/>
  <c r="AV161"/>
  <c r="AC161"/>
  <c r="H161"/>
  <c r="G161" s="1"/>
  <c r="BT160"/>
  <c r="BS160"/>
  <c r="BR160"/>
  <c r="BQ160"/>
  <c r="BP160"/>
  <c r="BO160"/>
  <c r="BN160"/>
  <c r="BM160"/>
  <c r="BL160" s="1"/>
  <c r="BK160"/>
  <c r="BJ160"/>
  <c r="BI160"/>
  <c r="BH160"/>
  <c r="BG160"/>
  <c r="BF160"/>
  <c r="BE160"/>
  <c r="BD160"/>
  <c r="BC160"/>
  <c r="BB160"/>
  <c r="AX160"/>
  <c r="AW160"/>
  <c r="AV160"/>
  <c r="AC160"/>
  <c r="H160"/>
  <c r="G160" s="1"/>
  <c r="BT159"/>
  <c r="BS159"/>
  <c r="BR159"/>
  <c r="BQ159"/>
  <c r="BP159"/>
  <c r="BO159"/>
  <c r="BN159"/>
  <c r="BM159"/>
  <c r="BK159"/>
  <c r="BJ159"/>
  <c r="BI159"/>
  <c r="BH159"/>
  <c r="BG159"/>
  <c r="BF159"/>
  <c r="BE159"/>
  <c r="BD159"/>
  <c r="BC159"/>
  <c r="BB159"/>
  <c r="BA159"/>
  <c r="AX159"/>
  <c r="AW159"/>
  <c r="AV159"/>
  <c r="AC159"/>
  <c r="H159"/>
  <c r="BT158"/>
  <c r="BS158"/>
  <c r="BR158"/>
  <c r="BQ158"/>
  <c r="BP158"/>
  <c r="BO158"/>
  <c r="BN158"/>
  <c r="BM158"/>
  <c r="BK158"/>
  <c r="BJ158"/>
  <c r="BI158"/>
  <c r="BH158"/>
  <c r="BG158"/>
  <c r="BF158"/>
  <c r="BE158"/>
  <c r="BD158"/>
  <c r="BC158"/>
  <c r="BB158"/>
  <c r="AX158"/>
  <c r="AW158"/>
  <c r="AV158"/>
  <c r="AC158"/>
  <c r="H158"/>
  <c r="G158" s="1"/>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K156"/>
  <c r="BJ156"/>
  <c r="BI156"/>
  <c r="BH156"/>
  <c r="BG156"/>
  <c r="BF156"/>
  <c r="BE156"/>
  <c r="BD156"/>
  <c r="BC156"/>
  <c r="BB156"/>
  <c r="BA156"/>
  <c r="AX156"/>
  <c r="AW156"/>
  <c r="AV156"/>
  <c r="AC156"/>
  <c r="H156"/>
  <c r="BT155"/>
  <c r="BS155"/>
  <c r="BR155"/>
  <c r="BQ155"/>
  <c r="BP155"/>
  <c r="BO155"/>
  <c r="BN155"/>
  <c r="BM155"/>
  <c r="BL155"/>
  <c r="BK155"/>
  <c r="BJ155"/>
  <c r="BI155"/>
  <c r="BH155"/>
  <c r="BG155"/>
  <c r="BF155"/>
  <c r="BE155"/>
  <c r="BD155"/>
  <c r="BC155"/>
  <c r="BB155"/>
  <c r="BA155" s="1"/>
  <c r="AZ155" s="1"/>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AX153"/>
  <c r="AW153"/>
  <c r="AV153"/>
  <c r="AC153"/>
  <c r="H153"/>
  <c r="BT152"/>
  <c r="BS152"/>
  <c r="BR152"/>
  <c r="BQ152"/>
  <c r="BP152"/>
  <c r="BO152"/>
  <c r="BN152"/>
  <c r="BM152"/>
  <c r="BL152"/>
  <c r="BK152"/>
  <c r="BJ152"/>
  <c r="BI152"/>
  <c r="BH152"/>
  <c r="BG152"/>
  <c r="BF152"/>
  <c r="BE152"/>
  <c r="BD152"/>
  <c r="BC152"/>
  <c r="BB152"/>
  <c r="BA152" s="1"/>
  <c r="AX152"/>
  <c r="AW152"/>
  <c r="AV152"/>
  <c r="AC152"/>
  <c r="H152"/>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s="1"/>
  <c r="BK150"/>
  <c r="BJ150"/>
  <c r="BI150"/>
  <c r="BH150"/>
  <c r="BG150"/>
  <c r="BF150"/>
  <c r="BE150"/>
  <c r="BD150"/>
  <c r="BC150"/>
  <c r="BB150"/>
  <c r="AX150"/>
  <c r="AW150"/>
  <c r="AV150"/>
  <c r="AC150"/>
  <c r="H150"/>
  <c r="BT149"/>
  <c r="BS149"/>
  <c r="BR149"/>
  <c r="BQ149"/>
  <c r="BP149"/>
  <c r="BO149"/>
  <c r="BN149"/>
  <c r="BM149"/>
  <c r="BL149"/>
  <c r="BK149"/>
  <c r="BJ149"/>
  <c r="BI149"/>
  <c r="BH149"/>
  <c r="BG149"/>
  <c r="BF149"/>
  <c r="BE149"/>
  <c r="BD149"/>
  <c r="BC149"/>
  <c r="BB149"/>
  <c r="BA149" s="1"/>
  <c r="AZ149" s="1"/>
  <c r="AX149"/>
  <c r="AW149"/>
  <c r="AV149"/>
  <c r="AC149"/>
  <c r="H149"/>
  <c r="G149"/>
  <c r="BT148"/>
  <c r="BS148"/>
  <c r="BR148"/>
  <c r="BQ148"/>
  <c r="BP148"/>
  <c r="BO148"/>
  <c r="BN148"/>
  <c r="BM148"/>
  <c r="BL148" s="1"/>
  <c r="BK148"/>
  <c r="BJ148"/>
  <c r="BI148"/>
  <c r="BH148"/>
  <c r="BG148"/>
  <c r="BF148"/>
  <c r="BE148"/>
  <c r="BD148"/>
  <c r="BC148"/>
  <c r="BB148"/>
  <c r="BA148" s="1"/>
  <c r="AX148"/>
  <c r="AW148"/>
  <c r="AV148"/>
  <c r="AC148"/>
  <c r="H148"/>
  <c r="BT147"/>
  <c r="BS147"/>
  <c r="BR147"/>
  <c r="BQ147"/>
  <c r="BP147"/>
  <c r="BO147"/>
  <c r="BN147"/>
  <c r="BM147"/>
  <c r="BK147"/>
  <c r="BJ147"/>
  <c r="BI147"/>
  <c r="BH147"/>
  <c r="BG147"/>
  <c r="BF147"/>
  <c r="BE147"/>
  <c r="BD147"/>
  <c r="BC147"/>
  <c r="BB147"/>
  <c r="BA147" s="1"/>
  <c r="AX147"/>
  <c r="AW147"/>
  <c r="AV147"/>
  <c r="AC147"/>
  <c r="H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s="1"/>
  <c r="BK145"/>
  <c r="BJ145"/>
  <c r="BI145"/>
  <c r="BH145"/>
  <c r="BG145"/>
  <c r="BF145"/>
  <c r="BE145"/>
  <c r="BD145"/>
  <c r="BC145"/>
  <c r="BB145"/>
  <c r="BA145" s="1"/>
  <c r="AX145"/>
  <c r="AW145"/>
  <c r="AV145"/>
  <c r="AC145"/>
  <c r="H145"/>
  <c r="G145" s="1"/>
  <c r="BT144"/>
  <c r="BS144"/>
  <c r="BR144"/>
  <c r="BQ144"/>
  <c r="BP144"/>
  <c r="BO144"/>
  <c r="BN144"/>
  <c r="BM144"/>
  <c r="BL144" s="1"/>
  <c r="BK144"/>
  <c r="BJ144"/>
  <c r="BI144"/>
  <c r="BH144"/>
  <c r="BG144"/>
  <c r="BF144"/>
  <c r="BE144"/>
  <c r="BD144"/>
  <c r="BC144"/>
  <c r="BB144"/>
  <c r="AX144"/>
  <c r="AW144"/>
  <c r="AV144"/>
  <c r="AC144"/>
  <c r="H144"/>
  <c r="BT143"/>
  <c r="BS143"/>
  <c r="BR143"/>
  <c r="BQ143"/>
  <c r="BP143"/>
  <c r="BO143"/>
  <c r="BN143"/>
  <c r="BM143"/>
  <c r="BK143"/>
  <c r="BJ143"/>
  <c r="BI143"/>
  <c r="BH143"/>
  <c r="BG143"/>
  <c r="BF143"/>
  <c r="BE143"/>
  <c r="BD143"/>
  <c r="BC143"/>
  <c r="BB143"/>
  <c r="BA143" s="1"/>
  <c r="AX143"/>
  <c r="AW143"/>
  <c r="AV143"/>
  <c r="AC143"/>
  <c r="H143"/>
  <c r="G143" s="1"/>
  <c r="BT142"/>
  <c r="BS142"/>
  <c r="BR142"/>
  <c r="BQ142"/>
  <c r="BP142"/>
  <c r="BO142"/>
  <c r="BN142"/>
  <c r="BM142"/>
  <c r="BK142"/>
  <c r="BJ142"/>
  <c r="BI142"/>
  <c r="BH142"/>
  <c r="BG142"/>
  <c r="BF142"/>
  <c r="BE142"/>
  <c r="BD142"/>
  <c r="BC142"/>
  <c r="BB142"/>
  <c r="AX142"/>
  <c r="AW142"/>
  <c r="AV142"/>
  <c r="AC142"/>
  <c r="H142"/>
  <c r="G142" s="1"/>
  <c r="BT141"/>
  <c r="BS141"/>
  <c r="BR141"/>
  <c r="BQ141"/>
  <c r="BP141"/>
  <c r="BO141"/>
  <c r="BN141"/>
  <c r="BM141"/>
  <c r="BL141" s="1"/>
  <c r="BK141"/>
  <c r="BJ141"/>
  <c r="BI141"/>
  <c r="BH141"/>
  <c r="BG141"/>
  <c r="BF141"/>
  <c r="BE141"/>
  <c r="BD141"/>
  <c r="BC141"/>
  <c r="BB141"/>
  <c r="AX141"/>
  <c r="AW141"/>
  <c r="AV141"/>
  <c r="AC141"/>
  <c r="H141"/>
  <c r="G141" s="1"/>
  <c r="BT140"/>
  <c r="BS140"/>
  <c r="BR140"/>
  <c r="BQ140"/>
  <c r="BP140"/>
  <c r="BO140"/>
  <c r="BN140"/>
  <c r="BM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s="1"/>
  <c r="BK138"/>
  <c r="BJ138"/>
  <c r="BI138"/>
  <c r="BH138"/>
  <c r="BG138"/>
  <c r="BF138"/>
  <c r="BE138"/>
  <c r="BD138"/>
  <c r="BC138"/>
  <c r="BB138"/>
  <c r="AX138"/>
  <c r="AW138"/>
  <c r="AV138"/>
  <c r="AC138"/>
  <c r="H138"/>
  <c r="BT137"/>
  <c r="BS137"/>
  <c r="BR137"/>
  <c r="BQ137"/>
  <c r="BP137"/>
  <c r="BO137"/>
  <c r="BN137"/>
  <c r="BM137"/>
  <c r="BL137"/>
  <c r="BK137"/>
  <c r="BJ137"/>
  <c r="BI137"/>
  <c r="BH137"/>
  <c r="BG137"/>
  <c r="BF137"/>
  <c r="BE137"/>
  <c r="BD137"/>
  <c r="BC137"/>
  <c r="BB137"/>
  <c r="BA137" s="1"/>
  <c r="AX137"/>
  <c r="AW137"/>
  <c r="AV137"/>
  <c r="AC137"/>
  <c r="H137"/>
  <c r="BT136"/>
  <c r="BS136"/>
  <c r="BR136"/>
  <c r="BQ136"/>
  <c r="BP136"/>
  <c r="BO136"/>
  <c r="BN136"/>
  <c r="BM136"/>
  <c r="BL136"/>
  <c r="BK136"/>
  <c r="BJ136"/>
  <c r="BI136"/>
  <c r="BH136"/>
  <c r="BG136"/>
  <c r="BF136"/>
  <c r="BE136"/>
  <c r="BD136"/>
  <c r="BC136"/>
  <c r="BB136"/>
  <c r="BA136" s="1"/>
  <c r="AZ136" s="1"/>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s="1"/>
  <c r="BK134"/>
  <c r="BJ134"/>
  <c r="BI134"/>
  <c r="BH134"/>
  <c r="BG134"/>
  <c r="BF134"/>
  <c r="BE134"/>
  <c r="BD134"/>
  <c r="BC134"/>
  <c r="BB134"/>
  <c r="AX134"/>
  <c r="AW134"/>
  <c r="AV134"/>
  <c r="AC134"/>
  <c r="H134"/>
  <c r="BT133"/>
  <c r="BS133"/>
  <c r="BR133"/>
  <c r="BQ133"/>
  <c r="BP133"/>
  <c r="BO133"/>
  <c r="BN133"/>
  <c r="BM133"/>
  <c r="BL133"/>
  <c r="BK133"/>
  <c r="BJ133"/>
  <c r="BI133"/>
  <c r="BH133"/>
  <c r="BG133"/>
  <c r="BF133"/>
  <c r="BE133"/>
  <c r="BD133"/>
  <c r="BC133"/>
  <c r="BB133"/>
  <c r="BA133" s="1"/>
  <c r="AZ133" s="1"/>
  <c r="AX133"/>
  <c r="AW133"/>
  <c r="AV133"/>
  <c r="AC133"/>
  <c r="H133"/>
  <c r="G133"/>
  <c r="BT132"/>
  <c r="BS132"/>
  <c r="BR132"/>
  <c r="BQ132"/>
  <c r="BP132"/>
  <c r="BO132"/>
  <c r="BN132"/>
  <c r="BM132"/>
  <c r="BL132" s="1"/>
  <c r="BK132"/>
  <c r="BJ132"/>
  <c r="BI132"/>
  <c r="BH132"/>
  <c r="BG132"/>
  <c r="BF132"/>
  <c r="BE132"/>
  <c r="BD132"/>
  <c r="BC132"/>
  <c r="BB132"/>
  <c r="BA132" s="1"/>
  <c r="AX132"/>
  <c r="AW132"/>
  <c r="AV132"/>
  <c r="AC132"/>
  <c r="H132"/>
  <c r="BT131"/>
  <c r="BS131"/>
  <c r="BR131"/>
  <c r="BQ131"/>
  <c r="BP131"/>
  <c r="BO131"/>
  <c r="BN131"/>
  <c r="BM131"/>
  <c r="BK131"/>
  <c r="BJ131"/>
  <c r="BI131"/>
  <c r="BH131"/>
  <c r="BG131"/>
  <c r="BF131"/>
  <c r="BE131"/>
  <c r="BD131"/>
  <c r="BC131"/>
  <c r="BB131"/>
  <c r="BA131" s="1"/>
  <c r="AX131"/>
  <c r="AW131"/>
  <c r="AV131"/>
  <c r="AC131"/>
  <c r="H13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s="1"/>
  <c r="BK129"/>
  <c r="BJ129"/>
  <c r="BI129"/>
  <c r="BH129"/>
  <c r="BG129"/>
  <c r="BF129"/>
  <c r="BE129"/>
  <c r="BD129"/>
  <c r="BC129"/>
  <c r="BB129"/>
  <c r="BA129" s="1"/>
  <c r="AX129"/>
  <c r="AW129"/>
  <c r="AV129"/>
  <c r="AC129"/>
  <c r="H129"/>
  <c r="G129" s="1"/>
  <c r="BT128"/>
  <c r="BS128"/>
  <c r="BR128"/>
  <c r="BQ128"/>
  <c r="BP128"/>
  <c r="BO128"/>
  <c r="BN128"/>
  <c r="BM128"/>
  <c r="BL128" s="1"/>
  <c r="BK128"/>
  <c r="BJ128"/>
  <c r="BI128"/>
  <c r="BH128"/>
  <c r="BG128"/>
  <c r="BF128"/>
  <c r="BE128"/>
  <c r="BD128"/>
  <c r="BC128"/>
  <c r="BB128"/>
  <c r="AX128"/>
  <c r="AW128"/>
  <c r="AV128"/>
  <c r="AC128"/>
  <c r="H128"/>
  <c r="BT127"/>
  <c r="BS127"/>
  <c r="BR127"/>
  <c r="BQ127"/>
  <c r="BP127"/>
  <c r="BO127"/>
  <c r="BN127"/>
  <c r="BM127"/>
  <c r="BK127"/>
  <c r="BJ127"/>
  <c r="BI127"/>
  <c r="BH127"/>
  <c r="BG127"/>
  <c r="BF127"/>
  <c r="BE127"/>
  <c r="BD127"/>
  <c r="BC127"/>
  <c r="BB127"/>
  <c r="BA127" s="1"/>
  <c r="AX127"/>
  <c r="AW127"/>
  <c r="AV127"/>
  <c r="AC127"/>
  <c r="H127"/>
  <c r="G127" s="1"/>
  <c r="BT126"/>
  <c r="BS126"/>
  <c r="BR126"/>
  <c r="BQ126"/>
  <c r="BP126"/>
  <c r="BO126"/>
  <c r="BN126"/>
  <c r="BM126"/>
  <c r="BK126"/>
  <c r="BJ126"/>
  <c r="BI126"/>
  <c r="BH126"/>
  <c r="BG126"/>
  <c r="BF126"/>
  <c r="BE126"/>
  <c r="BD126"/>
  <c r="BC126"/>
  <c r="BB126"/>
  <c r="AX126"/>
  <c r="AW126"/>
  <c r="AV126"/>
  <c r="AC126"/>
  <c r="H126"/>
  <c r="G126" s="1"/>
  <c r="BT125"/>
  <c r="BS125"/>
  <c r="BR125"/>
  <c r="BQ125"/>
  <c r="BP125"/>
  <c r="BO125"/>
  <c r="BN125"/>
  <c r="BM125"/>
  <c r="BL125" s="1"/>
  <c r="BK125"/>
  <c r="BJ125"/>
  <c r="BI125"/>
  <c r="BH125"/>
  <c r="BG125"/>
  <c r="BF125"/>
  <c r="BE125"/>
  <c r="BD125"/>
  <c r="BC125"/>
  <c r="BB125"/>
  <c r="AX125"/>
  <c r="AW125"/>
  <c r="AV125"/>
  <c r="AC125"/>
  <c r="H125"/>
  <c r="G125" s="1"/>
  <c r="BT124"/>
  <c r="BS124"/>
  <c r="BR124"/>
  <c r="BQ124"/>
  <c r="BP124"/>
  <c r="BO124"/>
  <c r="BN124"/>
  <c r="BM124"/>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s="1"/>
  <c r="BK122"/>
  <c r="BJ122"/>
  <c r="BI122"/>
  <c r="BH122"/>
  <c r="BG122"/>
  <c r="BF122"/>
  <c r="BE122"/>
  <c r="BD122"/>
  <c r="BC122"/>
  <c r="BB122"/>
  <c r="AX122"/>
  <c r="AW122"/>
  <c r="AV122"/>
  <c r="AC122"/>
  <c r="H122"/>
  <c r="BT121"/>
  <c r="BS121"/>
  <c r="BR121"/>
  <c r="BQ121"/>
  <c r="BP121"/>
  <c r="BO121"/>
  <c r="BN121"/>
  <c r="BM121"/>
  <c r="BL121"/>
  <c r="BK121"/>
  <c r="BJ121"/>
  <c r="BI121"/>
  <c r="BH121"/>
  <c r="BG121"/>
  <c r="BF121"/>
  <c r="BE121"/>
  <c r="BD121"/>
  <c r="BC121"/>
  <c r="BB121"/>
  <c r="BA121" s="1"/>
  <c r="AX121"/>
  <c r="AW121"/>
  <c r="AV121"/>
  <c r="AC121"/>
  <c r="H121"/>
  <c r="BT120"/>
  <c r="BS120"/>
  <c r="BR120"/>
  <c r="BQ120"/>
  <c r="BP120"/>
  <c r="BO120"/>
  <c r="BN120"/>
  <c r="BM120"/>
  <c r="BL120"/>
  <c r="BK120"/>
  <c r="BJ120"/>
  <c r="BI120"/>
  <c r="BH120"/>
  <c r="BG120"/>
  <c r="BF120"/>
  <c r="BE120"/>
  <c r="BD120"/>
  <c r="BC120"/>
  <c r="BB120"/>
  <c r="BA120" s="1"/>
  <c r="AZ120" s="1"/>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s="1"/>
  <c r="BK118"/>
  <c r="BJ118"/>
  <c r="BI118"/>
  <c r="BH118"/>
  <c r="BG118"/>
  <c r="BF118"/>
  <c r="BE118"/>
  <c r="BD118"/>
  <c r="BC118"/>
  <c r="BB118"/>
  <c r="AX118"/>
  <c r="AW118"/>
  <c r="AV118"/>
  <c r="AC118"/>
  <c r="H118"/>
  <c r="BT117"/>
  <c r="BS117"/>
  <c r="BR117"/>
  <c r="BQ117"/>
  <c r="BP117"/>
  <c r="BO117"/>
  <c r="BN117"/>
  <c r="BM117"/>
  <c r="BK117"/>
  <c r="BJ117"/>
  <c r="BI117"/>
  <c r="BH117"/>
  <c r="BG117"/>
  <c r="BF117"/>
  <c r="BE117"/>
  <c r="BD117"/>
  <c r="BC117"/>
  <c r="BB117"/>
  <c r="BA117"/>
  <c r="AX117"/>
  <c r="AW117"/>
  <c r="AV117"/>
  <c r="AC117"/>
  <c r="H117"/>
  <c r="BT116"/>
  <c r="BS116"/>
  <c r="BR116"/>
  <c r="BQ116"/>
  <c r="BP116"/>
  <c r="BO116"/>
  <c r="BN116"/>
  <c r="BM116"/>
  <c r="BL116"/>
  <c r="BK116"/>
  <c r="BJ116"/>
  <c r="BI116"/>
  <c r="BH116"/>
  <c r="BG116"/>
  <c r="BF116"/>
  <c r="BE116"/>
  <c r="BD116"/>
  <c r="BC116"/>
  <c r="BB116"/>
  <c r="BA116" s="1"/>
  <c r="AZ116" s="1"/>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s="1"/>
  <c r="BK114"/>
  <c r="BJ114"/>
  <c r="BI114"/>
  <c r="BH114"/>
  <c r="BG114"/>
  <c r="BF114"/>
  <c r="BE114"/>
  <c r="BD114"/>
  <c r="BC114"/>
  <c r="BB114"/>
  <c r="AX114"/>
  <c r="AW114"/>
  <c r="AV114"/>
  <c r="AC114"/>
  <c r="H114"/>
  <c r="BT113"/>
  <c r="BS113"/>
  <c r="BR113"/>
  <c r="BQ113"/>
  <c r="BP113"/>
  <c r="BO113"/>
  <c r="BN113"/>
  <c r="BM113"/>
  <c r="BL113"/>
  <c r="BK113"/>
  <c r="BJ113"/>
  <c r="BI113"/>
  <c r="BH113"/>
  <c r="BG113"/>
  <c r="BF113"/>
  <c r="BE113"/>
  <c r="BD113"/>
  <c r="BC113"/>
  <c r="BB113"/>
  <c r="BA113" s="1"/>
  <c r="AZ113" s="1"/>
  <c r="AX113"/>
  <c r="AW113"/>
  <c r="AV113"/>
  <c r="AC113"/>
  <c r="H113"/>
  <c r="G113"/>
  <c r="BT296"/>
  <c r="BS296"/>
  <c r="BR296"/>
  <c r="BQ296"/>
  <c r="BP296"/>
  <c r="BO296"/>
  <c r="BN296"/>
  <c r="BM296"/>
  <c r="BL296" s="1"/>
  <c r="BK296"/>
  <c r="BJ296"/>
  <c r="BI296"/>
  <c r="BH296"/>
  <c r="BG296"/>
  <c r="BF296"/>
  <c r="BE296"/>
  <c r="BD296"/>
  <c r="BC296"/>
  <c r="BB296"/>
  <c r="BA296" s="1"/>
  <c r="AX296"/>
  <c r="AW296"/>
  <c r="AV296"/>
  <c r="AC296"/>
  <c r="H296"/>
  <c r="G296" s="1"/>
  <c r="BT295"/>
  <c r="BS295"/>
  <c r="BR295"/>
  <c r="BQ295"/>
  <c r="BP295"/>
  <c r="BO295"/>
  <c r="BN295"/>
  <c r="BM295"/>
  <c r="BL295" s="1"/>
  <c r="BK295"/>
  <c r="BJ295"/>
  <c r="BI295"/>
  <c r="BH295"/>
  <c r="BG295"/>
  <c r="BF295"/>
  <c r="BE295"/>
  <c r="BD295"/>
  <c r="BC295"/>
  <c r="BB295"/>
  <c r="AX295"/>
  <c r="AW295"/>
  <c r="AV295"/>
  <c r="AC295"/>
  <c r="H295"/>
  <c r="G295" s="1"/>
  <c r="BT294"/>
  <c r="BS294"/>
  <c r="BR294"/>
  <c r="BQ294"/>
  <c r="BP294"/>
  <c r="BO294"/>
  <c r="BN294"/>
  <c r="BM294"/>
  <c r="BL294" s="1"/>
  <c r="BK294"/>
  <c r="BJ294"/>
  <c r="BI294"/>
  <c r="BH294"/>
  <c r="BG294"/>
  <c r="BF294"/>
  <c r="BE294"/>
  <c r="BD294"/>
  <c r="BC294"/>
  <c r="BB294"/>
  <c r="AX294"/>
  <c r="AW294"/>
  <c r="AV294"/>
  <c r="AC294"/>
  <c r="H294"/>
  <c r="G294" s="1"/>
  <c r="BT293"/>
  <c r="BS293"/>
  <c r="BR293"/>
  <c r="BQ293"/>
  <c r="BP293"/>
  <c r="BO293"/>
  <c r="BN293"/>
  <c r="BM293"/>
  <c r="BK293"/>
  <c r="BJ293"/>
  <c r="BI293"/>
  <c r="BH293"/>
  <c r="BG293"/>
  <c r="BF293"/>
  <c r="BE293"/>
  <c r="BD293"/>
  <c r="BC293"/>
  <c r="BB293"/>
  <c r="BA293"/>
  <c r="AX293"/>
  <c r="AW293"/>
  <c r="AV293"/>
  <c r="AC293"/>
  <c r="H293"/>
  <c r="BT292"/>
  <c r="BS292"/>
  <c r="BR292"/>
  <c r="BQ292"/>
  <c r="BP292"/>
  <c r="BO292"/>
  <c r="BN292"/>
  <c r="BM292"/>
  <c r="BL292"/>
  <c r="BK292"/>
  <c r="BJ292"/>
  <c r="BI292"/>
  <c r="BH292"/>
  <c r="BG292"/>
  <c r="BF292"/>
  <c r="BE292"/>
  <c r="BD292"/>
  <c r="BC292"/>
  <c r="BB292"/>
  <c r="BA292" s="1"/>
  <c r="AX292"/>
  <c r="AW292"/>
  <c r="AV292"/>
  <c r="AC292"/>
  <c r="H292"/>
  <c r="BT291"/>
  <c r="BS291"/>
  <c r="BR291"/>
  <c r="BQ291"/>
  <c r="BP291"/>
  <c r="BO291"/>
  <c r="BN291"/>
  <c r="BM291"/>
  <c r="BL291"/>
  <c r="BK291"/>
  <c r="BJ291"/>
  <c r="BI291"/>
  <c r="BH291"/>
  <c r="BG291"/>
  <c r="BF291"/>
  <c r="BE291"/>
  <c r="BD291"/>
  <c r="BC291"/>
  <c r="BB291"/>
  <c r="BA291" s="1"/>
  <c r="AZ291" s="1"/>
  <c r="AX291"/>
  <c r="AW291"/>
  <c r="AV291"/>
  <c r="AC291"/>
  <c r="H291"/>
  <c r="G291"/>
  <c r="BT290"/>
  <c r="BS290"/>
  <c r="BR290"/>
  <c r="BQ290"/>
  <c r="BP290"/>
  <c r="BO290"/>
  <c r="BN290"/>
  <c r="BM290"/>
  <c r="BL290" s="1"/>
  <c r="BK290"/>
  <c r="BJ290"/>
  <c r="BI290"/>
  <c r="BH290"/>
  <c r="BG290"/>
  <c r="BF290"/>
  <c r="BE290"/>
  <c r="BD290"/>
  <c r="BC290"/>
  <c r="BB290"/>
  <c r="BA290" s="1"/>
  <c r="AX290"/>
  <c r="AW290"/>
  <c r="AV290"/>
  <c r="AC290"/>
  <c r="H290"/>
  <c r="G290" s="1"/>
  <c r="BT289"/>
  <c r="BS289"/>
  <c r="BR289"/>
  <c r="BQ289"/>
  <c r="BP289"/>
  <c r="BO289"/>
  <c r="BN289"/>
  <c r="BM289"/>
  <c r="BK289"/>
  <c r="BJ289"/>
  <c r="BI289"/>
  <c r="BH289"/>
  <c r="BG289"/>
  <c r="BF289"/>
  <c r="BE289"/>
  <c r="BD289"/>
  <c r="BC289"/>
  <c r="BB289"/>
  <c r="BA289"/>
  <c r="AX289"/>
  <c r="AW289"/>
  <c r="AV289"/>
  <c r="AC289"/>
  <c r="H289"/>
  <c r="G289"/>
  <c r="BT288"/>
  <c r="BS288"/>
  <c r="BR288"/>
  <c r="BQ288"/>
  <c r="BP288"/>
  <c r="BO288"/>
  <c r="BN288"/>
  <c r="BM288"/>
  <c r="BL288" s="1"/>
  <c r="BK288"/>
  <c r="BJ288"/>
  <c r="BI288"/>
  <c r="BH288"/>
  <c r="BG288"/>
  <c r="BF288"/>
  <c r="BE288"/>
  <c r="BD288"/>
  <c r="BC288"/>
  <c r="BB288"/>
  <c r="BA288" s="1"/>
  <c r="AX288"/>
  <c r="AW288"/>
  <c r="AV288"/>
  <c r="AC288"/>
  <c r="H288"/>
  <c r="G288" s="1"/>
  <c r="BT287"/>
  <c r="BS287"/>
  <c r="BR287"/>
  <c r="BQ287"/>
  <c r="BP287"/>
  <c r="BO287"/>
  <c r="BN287"/>
  <c r="BM287"/>
  <c r="BL287" s="1"/>
  <c r="BK287"/>
  <c r="BJ287"/>
  <c r="BI287"/>
  <c r="BH287"/>
  <c r="BG287"/>
  <c r="BF287"/>
  <c r="BE287"/>
  <c r="BD287"/>
  <c r="BC287"/>
  <c r="BB287"/>
  <c r="AX287"/>
  <c r="AW287"/>
  <c r="AV287"/>
  <c r="AC287"/>
  <c r="H287"/>
  <c r="G287" s="1"/>
  <c r="BT286"/>
  <c r="BS286"/>
  <c r="BR286"/>
  <c r="BQ286"/>
  <c r="BP286"/>
  <c r="BO286"/>
  <c r="BN286"/>
  <c r="BM286"/>
  <c r="BK286"/>
  <c r="BJ286"/>
  <c r="BI286"/>
  <c r="BH286"/>
  <c r="BG286"/>
  <c r="BF286"/>
  <c r="BE286"/>
  <c r="BD286"/>
  <c r="BC286"/>
  <c r="BB286"/>
  <c r="BA286"/>
  <c r="AX286"/>
  <c r="AW286"/>
  <c r="AV286"/>
  <c r="AC286"/>
  <c r="H286"/>
  <c r="G286"/>
  <c r="BT285"/>
  <c r="BS285"/>
  <c r="BR285"/>
  <c r="BQ285"/>
  <c r="BP285"/>
  <c r="BO285"/>
  <c r="BN285"/>
  <c r="BM285"/>
  <c r="BL285" s="1"/>
  <c r="BK285"/>
  <c r="BJ285"/>
  <c r="BI285"/>
  <c r="BH285"/>
  <c r="BG285"/>
  <c r="BF285"/>
  <c r="BE285"/>
  <c r="BD285"/>
  <c r="BC285"/>
  <c r="BB285"/>
  <c r="BA285" s="1"/>
  <c r="AZ285" s="1"/>
  <c r="AX285"/>
  <c r="AW285"/>
  <c r="AV285"/>
  <c r="AC285"/>
  <c r="H285"/>
  <c r="G285" s="1"/>
  <c r="BT284"/>
  <c r="BS284"/>
  <c r="BR284"/>
  <c r="BQ284"/>
  <c r="BP284"/>
  <c r="BO284"/>
  <c r="BN284"/>
  <c r="BM284"/>
  <c r="BL284" s="1"/>
  <c r="BK284"/>
  <c r="BJ284"/>
  <c r="BI284"/>
  <c r="BH284"/>
  <c r="BG284"/>
  <c r="BF284"/>
  <c r="BE284"/>
  <c r="BD284"/>
  <c r="BC284"/>
  <c r="BB284"/>
  <c r="AX284"/>
  <c r="AW284"/>
  <c r="AV284"/>
  <c r="AC284"/>
  <c r="H284"/>
  <c r="G284" s="1"/>
  <c r="BT283"/>
  <c r="BS283"/>
  <c r="BR283"/>
  <c r="BQ283"/>
  <c r="BP283"/>
  <c r="BO283"/>
  <c r="BN283"/>
  <c r="BM283"/>
  <c r="BL283" s="1"/>
  <c r="BK283"/>
  <c r="BJ283"/>
  <c r="BI283"/>
  <c r="BH283"/>
  <c r="BG283"/>
  <c r="BF283"/>
  <c r="BE283"/>
  <c r="BD283"/>
  <c r="BC283"/>
  <c r="BB283"/>
  <c r="AX283"/>
  <c r="AW283"/>
  <c r="AV283"/>
  <c r="AC283"/>
  <c r="H283"/>
  <c r="G283" s="1"/>
  <c r="BT282"/>
  <c r="BS282"/>
  <c r="BR282"/>
  <c r="BQ282"/>
  <c r="BP282"/>
  <c r="BO282"/>
  <c r="BN282"/>
  <c r="BM282"/>
  <c r="BK282"/>
  <c r="BJ282"/>
  <c r="BI282"/>
  <c r="BH282"/>
  <c r="BG282"/>
  <c r="BF282"/>
  <c r="BE282"/>
  <c r="BD282"/>
  <c r="BC282"/>
  <c r="BB282"/>
  <c r="BA282"/>
  <c r="AX282"/>
  <c r="AW282"/>
  <c r="AV282"/>
  <c r="AC282"/>
  <c r="H282"/>
  <c r="G282"/>
  <c r="BT281"/>
  <c r="BS281"/>
  <c r="BR281"/>
  <c r="BQ281"/>
  <c r="BP281"/>
  <c r="BO281"/>
  <c r="BN281"/>
  <c r="BM281"/>
  <c r="BL281" s="1"/>
  <c r="BK281"/>
  <c r="BJ281"/>
  <c r="BI281"/>
  <c r="BH281"/>
  <c r="BG281"/>
  <c r="BF281"/>
  <c r="BE281"/>
  <c r="BD281"/>
  <c r="BC281"/>
  <c r="BB281"/>
  <c r="BA281" s="1"/>
  <c r="AX281"/>
  <c r="AW281"/>
  <c r="AV281"/>
  <c r="AC281"/>
  <c r="H281"/>
  <c r="G281" s="1"/>
  <c r="BT280"/>
  <c r="BS280"/>
  <c r="BR280"/>
  <c r="BQ280"/>
  <c r="BP280"/>
  <c r="BO280"/>
  <c r="BN280"/>
  <c r="BM280"/>
  <c r="BK280"/>
  <c r="BJ280"/>
  <c r="BI280"/>
  <c r="BH280"/>
  <c r="BG280"/>
  <c r="BF280"/>
  <c r="BE280"/>
  <c r="BD280"/>
  <c r="BC280"/>
  <c r="BB280"/>
  <c r="BA280"/>
  <c r="AX280"/>
  <c r="AW280"/>
  <c r="AV280"/>
  <c r="AC280"/>
  <c r="H280"/>
  <c r="BT279"/>
  <c r="BS279"/>
  <c r="BR279"/>
  <c r="BQ279"/>
  <c r="BP279"/>
  <c r="BO279"/>
  <c r="BN279"/>
  <c r="BM279"/>
  <c r="BL279"/>
  <c r="BK279"/>
  <c r="BJ279"/>
  <c r="BI279"/>
  <c r="BH279"/>
  <c r="BG279"/>
  <c r="BF279"/>
  <c r="BE279"/>
  <c r="BD279"/>
  <c r="BC279"/>
  <c r="BB279"/>
  <c r="BA279" s="1"/>
  <c r="AZ279" s="1"/>
  <c r="AX279"/>
  <c r="AW279"/>
  <c r="AV279"/>
  <c r="AC279"/>
  <c r="H279"/>
  <c r="G279"/>
  <c r="BT278"/>
  <c r="BS278"/>
  <c r="BR278"/>
  <c r="BQ278"/>
  <c r="BP278"/>
  <c r="BO278"/>
  <c r="BN278"/>
  <c r="BM278"/>
  <c r="BL278" s="1"/>
  <c r="BK278"/>
  <c r="BJ278"/>
  <c r="BI278"/>
  <c r="BH278"/>
  <c r="BG278"/>
  <c r="BF278"/>
  <c r="BE278"/>
  <c r="BD278"/>
  <c r="BC278"/>
  <c r="BB278"/>
  <c r="BA278" s="1"/>
  <c r="AX278"/>
  <c r="AW278"/>
  <c r="AV278"/>
  <c r="AC278"/>
  <c r="H278"/>
  <c r="G278" s="1"/>
  <c r="BT277"/>
  <c r="BS277"/>
  <c r="BR277"/>
  <c r="BQ277"/>
  <c r="BP277"/>
  <c r="BO277"/>
  <c r="BN277"/>
  <c r="BM277"/>
  <c r="BK277"/>
  <c r="BJ277"/>
  <c r="BI277"/>
  <c r="BH277"/>
  <c r="BG277"/>
  <c r="BF277"/>
  <c r="BE277"/>
  <c r="BD277"/>
  <c r="BC277"/>
  <c r="BB277"/>
  <c r="BA277"/>
  <c r="AX277"/>
  <c r="AW277"/>
  <c r="AV277"/>
  <c r="AC277"/>
  <c r="H277"/>
  <c r="BT276"/>
  <c r="BS276"/>
  <c r="BR276"/>
  <c r="BQ276"/>
  <c r="BP276"/>
  <c r="BO276"/>
  <c r="BN276"/>
  <c r="BM276"/>
  <c r="BL276"/>
  <c r="BK276"/>
  <c r="BJ276"/>
  <c r="BI276"/>
  <c r="BH276"/>
  <c r="BG276"/>
  <c r="BF276"/>
  <c r="BE276"/>
  <c r="BD276"/>
  <c r="BC276"/>
  <c r="BB276"/>
  <c r="BA276" s="1"/>
  <c r="AX276"/>
  <c r="AW276"/>
  <c r="AV276"/>
  <c r="AC276"/>
  <c r="H276"/>
  <c r="BT275"/>
  <c r="BS275"/>
  <c r="BR275"/>
  <c r="BQ275"/>
  <c r="BP275"/>
  <c r="BO275"/>
  <c r="BN275"/>
  <c r="BM275"/>
  <c r="BL275"/>
  <c r="BK275"/>
  <c r="BJ275"/>
  <c r="BI275"/>
  <c r="BH275"/>
  <c r="BG275"/>
  <c r="BF275"/>
  <c r="BE275"/>
  <c r="BD275"/>
  <c r="BC275"/>
  <c r="BB275"/>
  <c r="BA275" s="1"/>
  <c r="AZ275" s="1"/>
  <c r="AX275"/>
  <c r="AW275"/>
  <c r="AV275"/>
  <c r="AC275"/>
  <c r="H275"/>
  <c r="G275"/>
  <c r="BT274"/>
  <c r="BS274"/>
  <c r="BR274"/>
  <c r="BQ274"/>
  <c r="BP274"/>
  <c r="BO274"/>
  <c r="BN274"/>
  <c r="BM274"/>
  <c r="BL274" s="1"/>
  <c r="BK274"/>
  <c r="BJ274"/>
  <c r="BI274"/>
  <c r="BH274"/>
  <c r="BG274"/>
  <c r="BF274"/>
  <c r="BE274"/>
  <c r="BD274"/>
  <c r="BC274"/>
  <c r="BB274"/>
  <c r="BA274" s="1"/>
  <c r="AX274"/>
  <c r="AW274"/>
  <c r="AV274"/>
  <c r="AC274"/>
  <c r="H274"/>
  <c r="G274" s="1"/>
  <c r="BT273"/>
  <c r="BS273"/>
  <c r="BR273"/>
  <c r="BQ273"/>
  <c r="BP273"/>
  <c r="BO273"/>
  <c r="BN273"/>
  <c r="BM273"/>
  <c r="BK273"/>
  <c r="BJ273"/>
  <c r="BI273"/>
  <c r="BH273"/>
  <c r="BG273"/>
  <c r="BF273"/>
  <c r="BE273"/>
  <c r="BD273"/>
  <c r="BC273"/>
  <c r="BB273"/>
  <c r="BA273"/>
  <c r="AX273"/>
  <c r="AW273"/>
  <c r="AV273"/>
  <c r="AC273"/>
  <c r="H273"/>
  <c r="G273"/>
  <c r="BT272"/>
  <c r="BS272"/>
  <c r="BR272"/>
  <c r="BQ272"/>
  <c r="BP272"/>
  <c r="BO272"/>
  <c r="BN272"/>
  <c r="BM272"/>
  <c r="BL272" s="1"/>
  <c r="BK272"/>
  <c r="BJ272"/>
  <c r="BI272"/>
  <c r="BH272"/>
  <c r="BG272"/>
  <c r="BF272"/>
  <c r="BE272"/>
  <c r="BD272"/>
  <c r="BC272"/>
  <c r="BB272"/>
  <c r="BA272" s="1"/>
  <c r="AX272"/>
  <c r="AW272"/>
  <c r="AV272"/>
  <c r="AC272"/>
  <c r="H272"/>
  <c r="G272" s="1"/>
  <c r="BT271"/>
  <c r="BS271"/>
  <c r="BR271"/>
  <c r="BQ271"/>
  <c r="BP271"/>
  <c r="BO271"/>
  <c r="BN271"/>
  <c r="BM271"/>
  <c r="BL271" s="1"/>
  <c r="BK271"/>
  <c r="BJ271"/>
  <c r="BI271"/>
  <c r="BH271"/>
  <c r="BG271"/>
  <c r="BF271"/>
  <c r="BE271"/>
  <c r="BD271"/>
  <c r="BC271"/>
  <c r="BB271"/>
  <c r="AX271"/>
  <c r="AW271"/>
  <c r="AV271"/>
  <c r="AC271"/>
  <c r="H271"/>
  <c r="G271" s="1"/>
  <c r="BT270"/>
  <c r="BS270"/>
  <c r="BR270"/>
  <c r="BQ270"/>
  <c r="BP270"/>
  <c r="BO270"/>
  <c r="BN270"/>
  <c r="BM270"/>
  <c r="BK270"/>
  <c r="BJ270"/>
  <c r="BI270"/>
  <c r="BH270"/>
  <c r="BG270"/>
  <c r="BF270"/>
  <c r="BE270"/>
  <c r="BD270"/>
  <c r="BC270"/>
  <c r="BB270"/>
  <c r="BA270"/>
  <c r="AX270"/>
  <c r="AW270"/>
  <c r="AV270"/>
  <c r="AC270"/>
  <c r="H270"/>
  <c r="G270"/>
  <c r="BT269"/>
  <c r="BS269"/>
  <c r="BR269"/>
  <c r="BQ269"/>
  <c r="BP269"/>
  <c r="BO269"/>
  <c r="BN269"/>
  <c r="BM269"/>
  <c r="BL269" s="1"/>
  <c r="BK269"/>
  <c r="BJ269"/>
  <c r="BI269"/>
  <c r="BH269"/>
  <c r="BG269"/>
  <c r="BF269"/>
  <c r="BE269"/>
  <c r="BD269"/>
  <c r="BC269"/>
  <c r="BB269"/>
  <c r="BA269" s="1"/>
  <c r="AZ269" s="1"/>
  <c r="AX269"/>
  <c r="AW269"/>
  <c r="AV269"/>
  <c r="AC269"/>
  <c r="H269"/>
  <c r="G269" s="1"/>
  <c r="BT268"/>
  <c r="BS268"/>
  <c r="BR268"/>
  <c r="BQ268"/>
  <c r="BP268"/>
  <c r="BO268"/>
  <c r="BN268"/>
  <c r="BM268"/>
  <c r="BL268" s="1"/>
  <c r="BK268"/>
  <c r="BJ268"/>
  <c r="BI268"/>
  <c r="BH268"/>
  <c r="BG268"/>
  <c r="BF268"/>
  <c r="BE268"/>
  <c r="BD268"/>
  <c r="BC268"/>
  <c r="BB268"/>
  <c r="AX268"/>
  <c r="AW268"/>
  <c r="AV268"/>
  <c r="AC268"/>
  <c r="H268"/>
  <c r="G268" s="1"/>
  <c r="BT267"/>
  <c r="BS267"/>
  <c r="BR267"/>
  <c r="BQ267"/>
  <c r="BP267"/>
  <c r="BO267"/>
  <c r="BN267"/>
  <c r="BM267"/>
  <c r="BL267" s="1"/>
  <c r="BK267"/>
  <c r="BJ267"/>
  <c r="BI267"/>
  <c r="BH267"/>
  <c r="BG267"/>
  <c r="BF267"/>
  <c r="BE267"/>
  <c r="BD267"/>
  <c r="BC267"/>
  <c r="BB267"/>
  <c r="AX267"/>
  <c r="AW267"/>
  <c r="AV267"/>
  <c r="AC267"/>
  <c r="H267"/>
  <c r="G267" s="1"/>
  <c r="BT266"/>
  <c r="BS266"/>
  <c r="BR266"/>
  <c r="BQ266"/>
  <c r="BP266"/>
  <c r="BO266"/>
  <c r="BN266"/>
  <c r="BM266"/>
  <c r="BK266"/>
  <c r="BJ266"/>
  <c r="BI266"/>
  <c r="BH266"/>
  <c r="BG266"/>
  <c r="BF266"/>
  <c r="BE266"/>
  <c r="BD266"/>
  <c r="BC266"/>
  <c r="BB266"/>
  <c r="BA266"/>
  <c r="AX266"/>
  <c r="AW266"/>
  <c r="AV266"/>
  <c r="AC266"/>
  <c r="H266"/>
  <c r="BT265"/>
  <c r="BS265"/>
  <c r="BR265"/>
  <c r="BQ265"/>
  <c r="BP265"/>
  <c r="BO265"/>
  <c r="BN265"/>
  <c r="BM265"/>
  <c r="BL265"/>
  <c r="BK265"/>
  <c r="BJ265"/>
  <c r="BI265"/>
  <c r="BH265"/>
  <c r="BG265"/>
  <c r="BF265"/>
  <c r="BE265"/>
  <c r="BD265"/>
  <c r="BC265"/>
  <c r="BB265"/>
  <c r="BA265" s="1"/>
  <c r="AX265"/>
  <c r="AW265"/>
  <c r="AV265"/>
  <c r="AC265"/>
  <c r="H265"/>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s="1"/>
  <c r="AX263"/>
  <c r="AW263"/>
  <c r="AV263"/>
  <c r="AC263"/>
  <c r="H263"/>
  <c r="G263" s="1"/>
  <c r="BT262"/>
  <c r="BS262"/>
  <c r="BR262"/>
  <c r="BQ262"/>
  <c r="BP262"/>
  <c r="BO262"/>
  <c r="BN262"/>
  <c r="BM262"/>
  <c r="BK262"/>
  <c r="BJ262"/>
  <c r="BI262"/>
  <c r="BH262"/>
  <c r="BG262"/>
  <c r="BF262"/>
  <c r="BE262"/>
  <c r="BD262"/>
  <c r="BC262"/>
  <c r="BB262"/>
  <c r="BA262"/>
  <c r="AX262"/>
  <c r="AW262"/>
  <c r="AV262"/>
  <c r="AC262"/>
  <c r="H262"/>
  <c r="BT261"/>
  <c r="BS261"/>
  <c r="BR261"/>
  <c r="BQ261"/>
  <c r="BP261"/>
  <c r="BO261"/>
  <c r="BN261"/>
  <c r="BM261"/>
  <c r="BL261"/>
  <c r="BK261"/>
  <c r="BJ261"/>
  <c r="BI261"/>
  <c r="BH261"/>
  <c r="BG261"/>
  <c r="BF261"/>
  <c r="BE261"/>
  <c r="BD261"/>
  <c r="BC261"/>
  <c r="BB261"/>
  <c r="BA261" s="1"/>
  <c r="AX261"/>
  <c r="AW261"/>
  <c r="AV261"/>
  <c r="AC261"/>
  <c r="H261"/>
  <c r="BT260"/>
  <c r="BS260"/>
  <c r="BR260"/>
  <c r="BQ260"/>
  <c r="BP260"/>
  <c r="BO260"/>
  <c r="BN260"/>
  <c r="BM260"/>
  <c r="BL260"/>
  <c r="BK260"/>
  <c r="BJ260"/>
  <c r="BI260"/>
  <c r="BH260"/>
  <c r="BG260"/>
  <c r="BF260"/>
  <c r="BE260"/>
  <c r="BD260"/>
  <c r="BC260"/>
  <c r="BB260"/>
  <c r="BA260" s="1"/>
  <c r="AX260"/>
  <c r="AW260"/>
  <c r="AV260"/>
  <c r="AC260"/>
  <c r="H260"/>
  <c r="BT259"/>
  <c r="BS259"/>
  <c r="BR259"/>
  <c r="BQ259"/>
  <c r="BP259"/>
  <c r="BO259"/>
  <c r="BN259"/>
  <c r="BM259"/>
  <c r="BL259"/>
  <c r="BK259"/>
  <c r="BJ259"/>
  <c r="BI259"/>
  <c r="BH259"/>
  <c r="BG259"/>
  <c r="BF259"/>
  <c r="BE259"/>
  <c r="BD259"/>
  <c r="BC259"/>
  <c r="BB259"/>
  <c r="BA259" s="1"/>
  <c r="AZ259" s="1"/>
  <c r="AX259"/>
  <c r="AW259"/>
  <c r="AV259"/>
  <c r="AC259"/>
  <c r="H259"/>
  <c r="G259"/>
  <c r="BT258"/>
  <c r="BS258"/>
  <c r="BR258"/>
  <c r="BQ258"/>
  <c r="BP258"/>
  <c r="BO258"/>
  <c r="BN258"/>
  <c r="BM258"/>
  <c r="BL258" s="1"/>
  <c r="BK258"/>
  <c r="BJ258"/>
  <c r="BI258"/>
  <c r="BH258"/>
  <c r="BG258"/>
  <c r="BF258"/>
  <c r="BE258"/>
  <c r="BD258"/>
  <c r="BC258"/>
  <c r="BB258"/>
  <c r="BA258" s="1"/>
  <c r="AX258"/>
  <c r="AW258"/>
  <c r="AV258"/>
  <c r="AC258"/>
  <c r="H258"/>
  <c r="G258" s="1"/>
  <c r="BT257"/>
  <c r="BS257"/>
  <c r="BR257"/>
  <c r="BQ257"/>
  <c r="BP257"/>
  <c r="BO257"/>
  <c r="BN257"/>
  <c r="BM257"/>
  <c r="BL257" s="1"/>
  <c r="BK257"/>
  <c r="BJ257"/>
  <c r="BI257"/>
  <c r="BH257"/>
  <c r="BG257"/>
  <c r="BF257"/>
  <c r="BE257"/>
  <c r="BD257"/>
  <c r="BC257"/>
  <c r="BB257"/>
  <c r="AX257"/>
  <c r="AW257"/>
  <c r="AV257"/>
  <c r="AC257"/>
  <c r="H257"/>
  <c r="G257" s="1"/>
  <c r="BT256"/>
  <c r="BS256"/>
  <c r="BR256"/>
  <c r="BQ256"/>
  <c r="BP256"/>
  <c r="BO256"/>
  <c r="BN256"/>
  <c r="BM256"/>
  <c r="BL256" s="1"/>
  <c r="BK256"/>
  <c r="BJ256"/>
  <c r="BI256"/>
  <c r="BH256"/>
  <c r="BG256"/>
  <c r="BF256"/>
  <c r="BE256"/>
  <c r="BD256"/>
  <c r="BC256"/>
  <c r="BB256"/>
  <c r="AX256"/>
  <c r="AW256"/>
  <c r="AV256"/>
  <c r="AC256"/>
  <c r="H256"/>
  <c r="G256" s="1"/>
  <c r="BT255"/>
  <c r="BS255"/>
  <c r="BR255"/>
  <c r="BQ255"/>
  <c r="BP255"/>
  <c r="BO255"/>
  <c r="BN255"/>
  <c r="BM255"/>
  <c r="BK255"/>
  <c r="BJ255"/>
  <c r="BI255"/>
  <c r="BH255"/>
  <c r="BG255"/>
  <c r="BF255"/>
  <c r="BE255"/>
  <c r="BD255"/>
  <c r="BC255"/>
  <c r="BB255"/>
  <c r="BA255"/>
  <c r="AX255"/>
  <c r="AW255"/>
  <c r="AV255"/>
  <c r="AC255"/>
  <c r="H255"/>
  <c r="G255"/>
  <c r="BT254"/>
  <c r="BS254"/>
  <c r="BR254"/>
  <c r="BQ254"/>
  <c r="BP254"/>
  <c r="BO254"/>
  <c r="BN254"/>
  <c r="BM254"/>
  <c r="BL254" s="1"/>
  <c r="BK254"/>
  <c r="BJ254"/>
  <c r="BI254"/>
  <c r="BH254"/>
  <c r="BG254"/>
  <c r="BF254"/>
  <c r="BE254"/>
  <c r="BD254"/>
  <c r="BC254"/>
  <c r="BB254"/>
  <c r="BA254" s="1"/>
  <c r="AX254"/>
  <c r="AW254"/>
  <c r="AV254"/>
  <c r="AC254"/>
  <c r="H254"/>
  <c r="G254" s="1"/>
  <c r="BT253"/>
  <c r="BS253"/>
  <c r="BR253"/>
  <c r="BQ253"/>
  <c r="BP253"/>
  <c r="BO253"/>
  <c r="BN253"/>
  <c r="BM253"/>
  <c r="BL253" s="1"/>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C252"/>
  <c r="BB252"/>
  <c r="BA252" s="1"/>
  <c r="AX252"/>
  <c r="AW252"/>
  <c r="AV252"/>
  <c r="AC252"/>
  <c r="H252"/>
  <c r="BT251"/>
  <c r="BS251"/>
  <c r="BR251"/>
  <c r="BQ251"/>
  <c r="BP251"/>
  <c r="BO251"/>
  <c r="BN251"/>
  <c r="BM251"/>
  <c r="BL251"/>
  <c r="BK251"/>
  <c r="BJ251"/>
  <c r="BI251"/>
  <c r="BH251"/>
  <c r="BG251"/>
  <c r="BF251"/>
  <c r="BE251"/>
  <c r="BD251"/>
  <c r="BC251"/>
  <c r="BB251"/>
  <c r="BA251" s="1"/>
  <c r="AZ251" s="1"/>
  <c r="AX251"/>
  <c r="AW251"/>
  <c r="AV251"/>
  <c r="AC251"/>
  <c r="H251"/>
  <c r="G251"/>
  <c r="BT250"/>
  <c r="BS250"/>
  <c r="BR250"/>
  <c r="BQ250"/>
  <c r="BP250"/>
  <c r="BO250"/>
  <c r="BN250"/>
  <c r="BM250"/>
  <c r="BL250" s="1"/>
  <c r="BK250"/>
  <c r="BJ250"/>
  <c r="BI250"/>
  <c r="BH250"/>
  <c r="BG250"/>
  <c r="BF250"/>
  <c r="BE250"/>
  <c r="BD250"/>
  <c r="BC250"/>
  <c r="BB250"/>
  <c r="BA250" s="1"/>
  <c r="AX250"/>
  <c r="AW250"/>
  <c r="AV250"/>
  <c r="AC250"/>
  <c r="H250"/>
  <c r="G250" s="1"/>
  <c r="BT249"/>
  <c r="BS249"/>
  <c r="BR249"/>
  <c r="BQ249"/>
  <c r="BP249"/>
  <c r="BO249"/>
  <c r="BN249"/>
  <c r="BM249"/>
  <c r="BL249" s="1"/>
  <c r="BK249"/>
  <c r="BJ249"/>
  <c r="BI249"/>
  <c r="BH249"/>
  <c r="BG249"/>
  <c r="BF249"/>
  <c r="BE249"/>
  <c r="BD249"/>
  <c r="BC249"/>
  <c r="BB249"/>
  <c r="AX249"/>
  <c r="AW249"/>
  <c r="AV249"/>
  <c r="AC249"/>
  <c r="H249"/>
  <c r="G249" s="1"/>
  <c r="BT248"/>
  <c r="BS248"/>
  <c r="BR248"/>
  <c r="BQ248"/>
  <c r="BP248"/>
  <c r="BO248"/>
  <c r="BN248"/>
  <c r="BM248"/>
  <c r="BL248" s="1"/>
  <c r="BK248"/>
  <c r="BJ248"/>
  <c r="BI248"/>
  <c r="BH248"/>
  <c r="BG248"/>
  <c r="BF248"/>
  <c r="BE248"/>
  <c r="BD248"/>
  <c r="BC248"/>
  <c r="BB248"/>
  <c r="AX248"/>
  <c r="AW248"/>
  <c r="AV248"/>
  <c r="AC248"/>
  <c r="H248"/>
  <c r="G248" s="1"/>
  <c r="BT247"/>
  <c r="BS247"/>
  <c r="BR247"/>
  <c r="BQ247"/>
  <c r="BP247"/>
  <c r="BO247"/>
  <c r="BN247"/>
  <c r="BM247"/>
  <c r="BK247"/>
  <c r="BJ247"/>
  <c r="BI247"/>
  <c r="BH247"/>
  <c r="BG247"/>
  <c r="BF247"/>
  <c r="BE247"/>
  <c r="BD247"/>
  <c r="BC247"/>
  <c r="BB247"/>
  <c r="BA247"/>
  <c r="AX247"/>
  <c r="AW247"/>
  <c r="AV247"/>
  <c r="AC247"/>
  <c r="H247"/>
  <c r="G247"/>
  <c r="BT246"/>
  <c r="BS246"/>
  <c r="BR246"/>
  <c r="BQ246"/>
  <c r="BP246"/>
  <c r="BO246"/>
  <c r="BN246"/>
  <c r="BM246"/>
  <c r="BL246" s="1"/>
  <c r="BK246"/>
  <c r="BJ246"/>
  <c r="BI246"/>
  <c r="BH246"/>
  <c r="BG246"/>
  <c r="BF246"/>
  <c r="BE246"/>
  <c r="BD246"/>
  <c r="BC246"/>
  <c r="BB246"/>
  <c r="BA246" s="1"/>
  <c r="AZ246" s="1"/>
  <c r="AX246"/>
  <c r="AW246"/>
  <c r="AV246"/>
  <c r="AC246"/>
  <c r="H246"/>
  <c r="G246" s="1"/>
  <c r="BT245"/>
  <c r="BS245"/>
  <c r="BR245"/>
  <c r="BQ245"/>
  <c r="BP245"/>
  <c r="BO245"/>
  <c r="BN245"/>
  <c r="BM245"/>
  <c r="BL245" s="1"/>
  <c r="BK245"/>
  <c r="BJ245"/>
  <c r="BI245"/>
  <c r="BH245"/>
  <c r="BG245"/>
  <c r="BF245"/>
  <c r="BE245"/>
  <c r="BD245"/>
  <c r="BC245"/>
  <c r="BB245"/>
  <c r="AX245"/>
  <c r="AW245"/>
  <c r="AV245"/>
  <c r="AC245"/>
  <c r="H245"/>
  <c r="G245" s="1"/>
  <c r="BT244"/>
  <c r="BS244"/>
  <c r="BR244"/>
  <c r="BQ244"/>
  <c r="BP244"/>
  <c r="BO244"/>
  <c r="BN244"/>
  <c r="BM244"/>
  <c r="BL244" s="1"/>
  <c r="BK244"/>
  <c r="BJ244"/>
  <c r="BI244"/>
  <c r="BH244"/>
  <c r="BG244"/>
  <c r="BF244"/>
  <c r="BE244"/>
  <c r="BD244"/>
  <c r="BC244"/>
  <c r="BB244"/>
  <c r="AX244"/>
  <c r="AW244"/>
  <c r="AV244"/>
  <c r="AC244"/>
  <c r="H244"/>
  <c r="G244" s="1"/>
  <c r="BT243"/>
  <c r="BS243"/>
  <c r="BR243"/>
  <c r="BQ243"/>
  <c r="BP243"/>
  <c r="BO243"/>
  <c r="BN243"/>
  <c r="BM243"/>
  <c r="BL243" s="1"/>
  <c r="BK243"/>
  <c r="BJ243"/>
  <c r="BI243"/>
  <c r="BH243"/>
  <c r="BG243"/>
  <c r="BF243"/>
  <c r="BE243"/>
  <c r="BD243"/>
  <c r="BC243"/>
  <c r="BB243"/>
  <c r="AX243"/>
  <c r="AW243"/>
  <c r="AV243"/>
  <c r="AC243"/>
  <c r="H243"/>
  <c r="G243" s="1"/>
  <c r="BT242"/>
  <c r="BS242"/>
  <c r="BR242"/>
  <c r="BQ242"/>
  <c r="BP242"/>
  <c r="BO242"/>
  <c r="BN242"/>
  <c r="BM242"/>
  <c r="BK242"/>
  <c r="BJ242"/>
  <c r="BI242"/>
  <c r="BH242"/>
  <c r="BG242"/>
  <c r="BF242"/>
  <c r="BE242"/>
  <c r="BD242"/>
  <c r="BC242"/>
  <c r="BB242"/>
  <c r="BA242"/>
  <c r="AX242"/>
  <c r="AW242"/>
  <c r="AV242"/>
  <c r="AC242"/>
  <c r="H242"/>
  <c r="BT241"/>
  <c r="BS241"/>
  <c r="BR241"/>
  <c r="BQ241"/>
  <c r="BP241"/>
  <c r="BO241"/>
  <c r="BN241"/>
  <c r="BM241"/>
  <c r="BL241"/>
  <c r="BK241"/>
  <c r="BJ241"/>
  <c r="BI241"/>
  <c r="BH241"/>
  <c r="BG241"/>
  <c r="BF241"/>
  <c r="BE241"/>
  <c r="BD241"/>
  <c r="BC241"/>
  <c r="BB241"/>
  <c r="BA241" s="1"/>
  <c r="AX241"/>
  <c r="AW241"/>
  <c r="AV241"/>
  <c r="AC241"/>
  <c r="H241"/>
  <c r="BT240"/>
  <c r="BS240"/>
  <c r="BR240"/>
  <c r="BQ240"/>
  <c r="BP240"/>
  <c r="BO240"/>
  <c r="BN240"/>
  <c r="BM240"/>
  <c r="BL240"/>
  <c r="BK240"/>
  <c r="BJ240"/>
  <c r="BI240"/>
  <c r="BH240"/>
  <c r="BG240"/>
  <c r="BF240"/>
  <c r="BE240"/>
  <c r="BD240"/>
  <c r="BC240"/>
  <c r="BB240"/>
  <c r="BA240" s="1"/>
  <c r="AZ240" s="1"/>
  <c r="AX240"/>
  <c r="AW240"/>
  <c r="AV240"/>
  <c r="AC240"/>
  <c r="H240"/>
  <c r="G240"/>
  <c r="BT239"/>
  <c r="BS239"/>
  <c r="BR239"/>
  <c r="BQ239"/>
  <c r="BP239"/>
  <c r="BO239"/>
  <c r="BN239"/>
  <c r="BM239"/>
  <c r="BL239" s="1"/>
  <c r="BK239"/>
  <c r="BJ239"/>
  <c r="BI239"/>
  <c r="BH239"/>
  <c r="BG239"/>
  <c r="BF239"/>
  <c r="BE239"/>
  <c r="BD239"/>
  <c r="BC239"/>
  <c r="BB239"/>
  <c r="BA239" s="1"/>
  <c r="AX239"/>
  <c r="AW239"/>
  <c r="AV239"/>
  <c r="AC239"/>
  <c r="H239"/>
  <c r="G239" s="1"/>
  <c r="BT238"/>
  <c r="BS238"/>
  <c r="BR238"/>
  <c r="BQ238"/>
  <c r="BP238"/>
  <c r="BO238"/>
  <c r="BN238"/>
  <c r="BM238"/>
  <c r="BK238"/>
  <c r="BJ238"/>
  <c r="BI238"/>
  <c r="BH238"/>
  <c r="BG238"/>
  <c r="BF238"/>
  <c r="BE238"/>
  <c r="BD238"/>
  <c r="BC238"/>
  <c r="BB238"/>
  <c r="BA238"/>
  <c r="AX238"/>
  <c r="AW238"/>
  <c r="AV238"/>
  <c r="AC238"/>
  <c r="H238"/>
  <c r="BT237"/>
  <c r="BS237"/>
  <c r="BR237"/>
  <c r="BQ237"/>
  <c r="BP237"/>
  <c r="BO237"/>
  <c r="BN237"/>
  <c r="BM237"/>
  <c r="BL237"/>
  <c r="BK237"/>
  <c r="BJ237"/>
  <c r="BI237"/>
  <c r="BH237"/>
  <c r="BG237"/>
  <c r="BF237"/>
  <c r="BE237"/>
  <c r="BD237"/>
  <c r="BC237"/>
  <c r="BB237"/>
  <c r="BA237" s="1"/>
  <c r="AX237"/>
  <c r="AW237"/>
  <c r="AV237"/>
  <c r="AC237"/>
  <c r="H237"/>
  <c r="BT236"/>
  <c r="BS236"/>
  <c r="BR236"/>
  <c r="BQ236"/>
  <c r="BP236"/>
  <c r="BO236"/>
  <c r="BN236"/>
  <c r="BM236"/>
  <c r="BL236"/>
  <c r="BK236"/>
  <c r="BJ236"/>
  <c r="BI236"/>
  <c r="BH236"/>
  <c r="BG236"/>
  <c r="BF236"/>
  <c r="BE236"/>
  <c r="BD236"/>
  <c r="BC236"/>
  <c r="BB236"/>
  <c r="BA236" s="1"/>
  <c r="AX236"/>
  <c r="AW236"/>
  <c r="AV236"/>
  <c r="AC236"/>
  <c r="H236"/>
  <c r="BT235"/>
  <c r="BS235"/>
  <c r="BR235"/>
  <c r="BQ235"/>
  <c r="BP235"/>
  <c r="BO235"/>
  <c r="BN235"/>
  <c r="BM235"/>
  <c r="BL235"/>
  <c r="BK235"/>
  <c r="BJ235"/>
  <c r="BI235"/>
  <c r="BH235"/>
  <c r="BG235"/>
  <c r="BF235"/>
  <c r="BE235"/>
  <c r="BD235"/>
  <c r="BC235"/>
  <c r="BB235"/>
  <c r="BA235" s="1"/>
  <c r="AZ235" s="1"/>
  <c r="AX235"/>
  <c r="AW235"/>
  <c r="AV235"/>
  <c r="AC235"/>
  <c r="H235"/>
  <c r="G235"/>
  <c r="BT234"/>
  <c r="BS234"/>
  <c r="BR234"/>
  <c r="BQ234"/>
  <c r="BP234"/>
  <c r="BO234"/>
  <c r="BN234"/>
  <c r="BM234"/>
  <c r="BL234" s="1"/>
  <c r="BK234"/>
  <c r="BJ234"/>
  <c r="BI234"/>
  <c r="BH234"/>
  <c r="BG234"/>
  <c r="BF234"/>
  <c r="BE234"/>
  <c r="BD234"/>
  <c r="BC234"/>
  <c r="BB234"/>
  <c r="BA234" s="1"/>
  <c r="AX234"/>
  <c r="AW234"/>
  <c r="AV234"/>
  <c r="AC234"/>
  <c r="H234"/>
  <c r="G234" s="1"/>
  <c r="BT233"/>
  <c r="BS233"/>
  <c r="BR233"/>
  <c r="BQ233"/>
  <c r="BP233"/>
  <c r="BO233"/>
  <c r="BN233"/>
  <c r="BM233"/>
  <c r="BL233" s="1"/>
  <c r="BK233"/>
  <c r="BJ233"/>
  <c r="BI233"/>
  <c r="BH233"/>
  <c r="BG233"/>
  <c r="BF233"/>
  <c r="BE233"/>
  <c r="BD233"/>
  <c r="BC233"/>
  <c r="BB233"/>
  <c r="AX233"/>
  <c r="AW233"/>
  <c r="AV233"/>
  <c r="AC233"/>
  <c r="H233"/>
  <c r="G233" s="1"/>
  <c r="BT232"/>
  <c r="BS232"/>
  <c r="BR232"/>
  <c r="BQ232"/>
  <c r="BP232"/>
  <c r="BO232"/>
  <c r="BN232"/>
  <c r="BM232"/>
  <c r="BL232" s="1"/>
  <c r="BK232"/>
  <c r="BJ232"/>
  <c r="BI232"/>
  <c r="BH232"/>
  <c r="BG232"/>
  <c r="BF232"/>
  <c r="BE232"/>
  <c r="BD232"/>
  <c r="BC232"/>
  <c r="BB232"/>
  <c r="AX232"/>
  <c r="AW232"/>
  <c r="AV232"/>
  <c r="AC232"/>
  <c r="H232"/>
  <c r="G232" s="1"/>
  <c r="BT231"/>
  <c r="BS231"/>
  <c r="BR231"/>
  <c r="BQ231"/>
  <c r="BP231"/>
  <c r="BO231"/>
  <c r="BN231"/>
  <c r="BM231"/>
  <c r="BK231"/>
  <c r="BJ231"/>
  <c r="BI231"/>
  <c r="BH231"/>
  <c r="BG231"/>
  <c r="BF231"/>
  <c r="BE231"/>
  <c r="BD231"/>
  <c r="BC231"/>
  <c r="BB231"/>
  <c r="BA231"/>
  <c r="AX231"/>
  <c r="AW231"/>
  <c r="AV231"/>
  <c r="AC231"/>
  <c r="H231"/>
  <c r="G231"/>
  <c r="BT230"/>
  <c r="BS230"/>
  <c r="BR230"/>
  <c r="BQ230"/>
  <c r="BP230"/>
  <c r="BO230"/>
  <c r="BN230"/>
  <c r="BM230"/>
  <c r="BL230" s="1"/>
  <c r="BK230"/>
  <c r="BJ230"/>
  <c r="BI230"/>
  <c r="BH230"/>
  <c r="BG230"/>
  <c r="BF230"/>
  <c r="BE230"/>
  <c r="BD230"/>
  <c r="BC230"/>
  <c r="BB230"/>
  <c r="BA230" s="1"/>
  <c r="AZ230" s="1"/>
  <c r="AX230"/>
  <c r="AW230"/>
  <c r="AV230"/>
  <c r="AC230"/>
  <c r="H230"/>
  <c r="G230" s="1"/>
  <c r="BT229"/>
  <c r="BS229"/>
  <c r="BR229"/>
  <c r="BQ229"/>
  <c r="BP229"/>
  <c r="BO229"/>
  <c r="BN229"/>
  <c r="BM229"/>
  <c r="BL229" s="1"/>
  <c r="BK229"/>
  <c r="BJ229"/>
  <c r="BI229"/>
  <c r="BH229"/>
  <c r="BG229"/>
  <c r="BF229"/>
  <c r="BE229"/>
  <c r="BD229"/>
  <c r="BC229"/>
  <c r="BB229"/>
  <c r="AX229"/>
  <c r="AW229"/>
  <c r="AV229"/>
  <c r="AC229"/>
  <c r="H229"/>
  <c r="G229" s="1"/>
  <c r="BT228"/>
  <c r="BS228"/>
  <c r="BR228"/>
  <c r="BQ228"/>
  <c r="BP228"/>
  <c r="BO228"/>
  <c r="BN228"/>
  <c r="BM228"/>
  <c r="BL228" s="1"/>
  <c r="BK228"/>
  <c r="BJ228"/>
  <c r="BI228"/>
  <c r="BH228"/>
  <c r="BG228"/>
  <c r="BF228"/>
  <c r="BE228"/>
  <c r="BD228"/>
  <c r="BC228"/>
  <c r="BB228"/>
  <c r="AX228"/>
  <c r="AW228"/>
  <c r="AV228"/>
  <c r="AC228"/>
  <c r="H228"/>
  <c r="G228" s="1"/>
  <c r="BT227"/>
  <c r="BS227"/>
  <c r="BR227"/>
  <c r="BQ227"/>
  <c r="BP227"/>
  <c r="BO227"/>
  <c r="BN227"/>
  <c r="BM227"/>
  <c r="BL227" s="1"/>
  <c r="BK227"/>
  <c r="BJ227"/>
  <c r="BI227"/>
  <c r="BH227"/>
  <c r="BG227"/>
  <c r="BF227"/>
  <c r="BE227"/>
  <c r="BD227"/>
  <c r="BC227"/>
  <c r="BB227"/>
  <c r="AX227"/>
  <c r="AW227"/>
  <c r="AV227"/>
  <c r="AC227"/>
  <c r="H227"/>
  <c r="G227" s="1"/>
  <c r="BT226"/>
  <c r="BS226"/>
  <c r="BR226"/>
  <c r="BQ226"/>
  <c r="BP226"/>
  <c r="BO226"/>
  <c r="BN226"/>
  <c r="BM226"/>
  <c r="BK226"/>
  <c r="BJ226"/>
  <c r="BI226"/>
  <c r="BH226"/>
  <c r="BG226"/>
  <c r="BF226"/>
  <c r="BE226"/>
  <c r="BD226"/>
  <c r="BC226"/>
  <c r="BB226"/>
  <c r="BA226"/>
  <c r="AX226"/>
  <c r="AW226"/>
  <c r="AV226"/>
  <c r="AC226"/>
  <c r="H226"/>
  <c r="BT225"/>
  <c r="BS225"/>
  <c r="BR225"/>
  <c r="BQ225"/>
  <c r="BP225"/>
  <c r="BO225"/>
  <c r="BN225"/>
  <c r="BM225"/>
  <c r="BL225"/>
  <c r="BK225"/>
  <c r="BJ225"/>
  <c r="BI225"/>
  <c r="BH225"/>
  <c r="BG225"/>
  <c r="BF225"/>
  <c r="BE225"/>
  <c r="BD225"/>
  <c r="BC225"/>
  <c r="BB225"/>
  <c r="BA225" s="1"/>
  <c r="AX225"/>
  <c r="AW225"/>
  <c r="AV225"/>
  <c r="AC225"/>
  <c r="H225"/>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s="1"/>
  <c r="AX223"/>
  <c r="AW223"/>
  <c r="AV223"/>
  <c r="AC223"/>
  <c r="H223"/>
  <c r="G223" s="1"/>
  <c r="BT222"/>
  <c r="BS222"/>
  <c r="BR222"/>
  <c r="BQ222"/>
  <c r="BP222"/>
  <c r="BO222"/>
  <c r="BN222"/>
  <c r="BM222"/>
  <c r="BK222"/>
  <c r="BJ222"/>
  <c r="BI222"/>
  <c r="BH222"/>
  <c r="BG222"/>
  <c r="BF222"/>
  <c r="BE222"/>
  <c r="BD222"/>
  <c r="BC222"/>
  <c r="BB222"/>
  <c r="BA222"/>
  <c r="AX222"/>
  <c r="AW222"/>
  <c r="AV222"/>
  <c r="AC222"/>
  <c r="H222"/>
  <c r="BT221"/>
  <c r="BS221"/>
  <c r="BR221"/>
  <c r="BQ221"/>
  <c r="BP221"/>
  <c r="BO221"/>
  <c r="BN221"/>
  <c r="BM221"/>
  <c r="BL221"/>
  <c r="BK221"/>
  <c r="BJ221"/>
  <c r="BI221"/>
  <c r="BH221"/>
  <c r="BG221"/>
  <c r="BF221"/>
  <c r="BE221"/>
  <c r="BD221"/>
  <c r="BC221"/>
  <c r="BB221"/>
  <c r="BA221" s="1"/>
  <c r="AX221"/>
  <c r="AW221"/>
  <c r="AV221"/>
  <c r="AC221"/>
  <c r="H221"/>
  <c r="BT220"/>
  <c r="BS220"/>
  <c r="BR220"/>
  <c r="BQ220"/>
  <c r="BP220"/>
  <c r="BO220"/>
  <c r="BN220"/>
  <c r="BM220"/>
  <c r="BL220"/>
  <c r="BK220"/>
  <c r="BJ220"/>
  <c r="BI220"/>
  <c r="BH220"/>
  <c r="BG220"/>
  <c r="BF220"/>
  <c r="BE220"/>
  <c r="BD220"/>
  <c r="BC220"/>
  <c r="BB220"/>
  <c r="BA220" s="1"/>
  <c r="AX220"/>
  <c r="AW220"/>
  <c r="AV220"/>
  <c r="AC220"/>
  <c r="H220"/>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s="1"/>
  <c r="AX218"/>
  <c r="AW218"/>
  <c r="AV218"/>
  <c r="AC218"/>
  <c r="H218"/>
  <c r="G218" s="1"/>
  <c r="BT217"/>
  <c r="BS217"/>
  <c r="BR217"/>
  <c r="BQ217"/>
  <c r="BP217"/>
  <c r="BO217"/>
  <c r="BN217"/>
  <c r="BM217"/>
  <c r="BL217" s="1"/>
  <c r="BK217"/>
  <c r="BJ217"/>
  <c r="BI217"/>
  <c r="BH217"/>
  <c r="BG217"/>
  <c r="BF217"/>
  <c r="BE217"/>
  <c r="BD217"/>
  <c r="BC217"/>
  <c r="BB217"/>
  <c r="AX217"/>
  <c r="AW217"/>
  <c r="AV217"/>
  <c r="AC217"/>
  <c r="H217"/>
  <c r="G217" s="1"/>
  <c r="BT216"/>
  <c r="BS216"/>
  <c r="BR216"/>
  <c r="BQ216"/>
  <c r="BP216"/>
  <c r="BO216"/>
  <c r="BN216"/>
  <c r="BM216"/>
  <c r="BL216" s="1"/>
  <c r="BK216"/>
  <c r="BJ216"/>
  <c r="BI216"/>
  <c r="BH216"/>
  <c r="BG216"/>
  <c r="BF216"/>
  <c r="BE216"/>
  <c r="BD216"/>
  <c r="BC216"/>
  <c r="BB216"/>
  <c r="AX216"/>
  <c r="AW216"/>
  <c r="AV216"/>
  <c r="AC216"/>
  <c r="H216"/>
  <c r="G216" s="1"/>
  <c r="BT215"/>
  <c r="BS215"/>
  <c r="BR215"/>
  <c r="BQ215"/>
  <c r="BP215"/>
  <c r="BO215"/>
  <c r="BN215"/>
  <c r="BM215"/>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s="1"/>
  <c r="AX214"/>
  <c r="AW214"/>
  <c r="AV214"/>
  <c r="AC214"/>
  <c r="H214"/>
  <c r="G214" s="1"/>
  <c r="BT213"/>
  <c r="BS213"/>
  <c r="BR213"/>
  <c r="BQ213"/>
  <c r="BP213"/>
  <c r="BO213"/>
  <c r="BN213"/>
  <c r="BM213"/>
  <c r="BL213" s="1"/>
  <c r="BK213"/>
  <c r="BJ213"/>
  <c r="BI213"/>
  <c r="BH213"/>
  <c r="BG213"/>
  <c r="BF213"/>
  <c r="BE213"/>
  <c r="BD213"/>
  <c r="BC213"/>
  <c r="BB213"/>
  <c r="AX213"/>
  <c r="AW213"/>
  <c r="AV213"/>
  <c r="AC213"/>
  <c r="H213"/>
  <c r="G213" s="1"/>
  <c r="BT212"/>
  <c r="BS212"/>
  <c r="BR212"/>
  <c r="BQ212"/>
  <c r="BP212"/>
  <c r="BO212"/>
  <c r="BN212"/>
  <c r="BM212"/>
  <c r="BL212" s="1"/>
  <c r="BK212"/>
  <c r="BJ212"/>
  <c r="BI212"/>
  <c r="BH212"/>
  <c r="BG212"/>
  <c r="BF212"/>
  <c r="BE212"/>
  <c r="BD212"/>
  <c r="BC212"/>
  <c r="BB212"/>
  <c r="AX212"/>
  <c r="AW212"/>
  <c r="AV212"/>
  <c r="AC212"/>
  <c r="H212"/>
  <c r="G212" s="1"/>
  <c r="BT211"/>
  <c r="BS211"/>
  <c r="BR211"/>
  <c r="BQ211"/>
  <c r="BP211"/>
  <c r="BO211"/>
  <c r="BN211"/>
  <c r="BM211"/>
  <c r="BL211" s="1"/>
  <c r="BK211"/>
  <c r="BJ211"/>
  <c r="BI211"/>
  <c r="BH211"/>
  <c r="BG211"/>
  <c r="BF211"/>
  <c r="BE211"/>
  <c r="BD211"/>
  <c r="BC211"/>
  <c r="BB211"/>
  <c r="AX211"/>
  <c r="AW211"/>
  <c r="AV211"/>
  <c r="AC211"/>
  <c r="H211"/>
  <c r="G211" s="1"/>
  <c r="BT210"/>
  <c r="BS210"/>
  <c r="BR210"/>
  <c r="BQ210"/>
  <c r="BP210"/>
  <c r="BO210"/>
  <c r="BN210"/>
  <c r="BM210"/>
  <c r="BK210"/>
  <c r="BJ210"/>
  <c r="BI210"/>
  <c r="BH210"/>
  <c r="BG210"/>
  <c r="BF210"/>
  <c r="BE210"/>
  <c r="BD210"/>
  <c r="BC210"/>
  <c r="BB210"/>
  <c r="BA210"/>
  <c r="AX210"/>
  <c r="AW210"/>
  <c r="AV210"/>
  <c r="AC210"/>
  <c r="H210"/>
  <c r="BT209"/>
  <c r="BS209"/>
  <c r="BR209"/>
  <c r="BQ209"/>
  <c r="BP209"/>
  <c r="BO209"/>
  <c r="BN209"/>
  <c r="BM209"/>
  <c r="BL209"/>
  <c r="BK209"/>
  <c r="BJ209"/>
  <c r="BI209"/>
  <c r="BH209"/>
  <c r="BG209"/>
  <c r="BF209"/>
  <c r="BE209"/>
  <c r="BD209"/>
  <c r="BC209"/>
  <c r="BB209"/>
  <c r="BA209" s="1"/>
  <c r="AX209"/>
  <c r="AW209"/>
  <c r="AV209"/>
  <c r="AC209"/>
  <c r="H209"/>
  <c r="BT208"/>
  <c r="BS208"/>
  <c r="BR208"/>
  <c r="BQ208"/>
  <c r="BP208"/>
  <c r="BO208"/>
  <c r="BN208"/>
  <c r="BM208"/>
  <c r="BL208"/>
  <c r="BK208"/>
  <c r="BJ208"/>
  <c r="BI208"/>
  <c r="BH208"/>
  <c r="BG208"/>
  <c r="BF208"/>
  <c r="BE208"/>
  <c r="BD208"/>
  <c r="BC208"/>
  <c r="BB208"/>
  <c r="BA208" s="1"/>
  <c r="AZ208" s="1"/>
  <c r="AX208"/>
  <c r="AW208"/>
  <c r="AV208"/>
  <c r="AC208"/>
  <c r="H208"/>
  <c r="G208"/>
  <c r="BT207"/>
  <c r="BS207"/>
  <c r="BR207"/>
  <c r="BQ207"/>
  <c r="BP207"/>
  <c r="BO207"/>
  <c r="BN207"/>
  <c r="BM207"/>
  <c r="BL207" s="1"/>
  <c r="BK207"/>
  <c r="BJ207"/>
  <c r="BI207"/>
  <c r="BH207"/>
  <c r="BG207"/>
  <c r="BF207"/>
  <c r="BE207"/>
  <c r="BD207"/>
  <c r="BC207"/>
  <c r="BB207"/>
  <c r="BA207" s="1"/>
  <c r="AX207"/>
  <c r="AW207"/>
  <c r="AV207"/>
  <c r="AC207"/>
  <c r="H207"/>
  <c r="G207" s="1"/>
  <c r="BT206"/>
  <c r="BS206"/>
  <c r="BR206"/>
  <c r="BQ206"/>
  <c r="BP206"/>
  <c r="BO206"/>
  <c r="BN206"/>
  <c r="BM206"/>
  <c r="BK206"/>
  <c r="BJ206"/>
  <c r="BI206"/>
  <c r="BH206"/>
  <c r="BG206"/>
  <c r="BF206"/>
  <c r="BE206"/>
  <c r="BD206"/>
  <c r="BC206"/>
  <c r="BB206"/>
  <c r="BA206"/>
  <c r="AX206"/>
  <c r="AW206"/>
  <c r="AV206"/>
  <c r="AC206"/>
  <c r="H206"/>
  <c r="BT205"/>
  <c r="BS205"/>
  <c r="BR205"/>
  <c r="BQ205"/>
  <c r="BP205"/>
  <c r="BO205"/>
  <c r="BN205"/>
  <c r="BM205"/>
  <c r="BL205"/>
  <c r="BK205"/>
  <c r="BJ205"/>
  <c r="BI205"/>
  <c r="BH205"/>
  <c r="BG205"/>
  <c r="BF205"/>
  <c r="BE205"/>
  <c r="BD205"/>
  <c r="BC205"/>
  <c r="BB205"/>
  <c r="BA205" s="1"/>
  <c r="AX205"/>
  <c r="AW205"/>
  <c r="AV205"/>
  <c r="AC205"/>
  <c r="H205"/>
  <c r="BT388"/>
  <c r="BS388"/>
  <c r="BR388"/>
  <c r="BQ388"/>
  <c r="BP388"/>
  <c r="BO388"/>
  <c r="BN388"/>
  <c r="BM388"/>
  <c r="BL388"/>
  <c r="BK388"/>
  <c r="BJ388"/>
  <c r="BI388"/>
  <c r="BH388"/>
  <c r="BG388"/>
  <c r="BF388"/>
  <c r="BE388"/>
  <c r="BD388"/>
  <c r="BC388"/>
  <c r="BB388"/>
  <c r="BA388" s="1"/>
  <c r="AX388"/>
  <c r="AW388"/>
  <c r="AV388"/>
  <c r="AC388"/>
  <c r="H388"/>
  <c r="BT387"/>
  <c r="BS387"/>
  <c r="BR387"/>
  <c r="BQ387"/>
  <c r="BP387"/>
  <c r="BO387"/>
  <c r="BN387"/>
  <c r="BM387"/>
  <c r="BL387"/>
  <c r="BK387"/>
  <c r="BJ387"/>
  <c r="BI387"/>
  <c r="BH387"/>
  <c r="BG387"/>
  <c r="BF387"/>
  <c r="BE387"/>
  <c r="BD387"/>
  <c r="BC387"/>
  <c r="BB387"/>
  <c r="BA387" s="1"/>
  <c r="AZ387" s="1"/>
  <c r="AX387"/>
  <c r="AW387"/>
  <c r="AV387"/>
  <c r="AC387"/>
  <c r="H387"/>
  <c r="G387"/>
  <c r="BT386"/>
  <c r="BS386"/>
  <c r="BR386"/>
  <c r="BQ386"/>
  <c r="BP386"/>
  <c r="BO386"/>
  <c r="BN386"/>
  <c r="BM386"/>
  <c r="BL386" s="1"/>
  <c r="BK386"/>
  <c r="BJ386"/>
  <c r="BI386"/>
  <c r="BH386"/>
  <c r="BG386"/>
  <c r="BF386"/>
  <c r="BE386"/>
  <c r="BD386"/>
  <c r="BC386"/>
  <c r="BB386"/>
  <c r="BA386" s="1"/>
  <c r="AX386"/>
  <c r="AW386"/>
  <c r="AV386"/>
  <c r="AC386"/>
  <c r="H386"/>
  <c r="G386" s="1"/>
  <c r="BT385"/>
  <c r="BS385"/>
  <c r="BR385"/>
  <c r="BQ385"/>
  <c r="BP385"/>
  <c r="BO385"/>
  <c r="BN385"/>
  <c r="BM385"/>
  <c r="BL385" s="1"/>
  <c r="BK385"/>
  <c r="BJ385"/>
  <c r="BI385"/>
  <c r="BH385"/>
  <c r="BG385"/>
  <c r="BF385"/>
  <c r="BE385"/>
  <c r="BD385"/>
  <c r="BC385"/>
  <c r="BB385"/>
  <c r="AX385"/>
  <c r="AW385"/>
  <c r="AV385"/>
  <c r="AC385"/>
  <c r="H385"/>
  <c r="BT384"/>
  <c r="BS384"/>
  <c r="BR384"/>
  <c r="BQ384"/>
  <c r="BP384"/>
  <c r="BO384"/>
  <c r="BN384"/>
  <c r="BM384"/>
  <c r="BL384" s="1"/>
  <c r="BK384"/>
  <c r="BJ384"/>
  <c r="BI384"/>
  <c r="BH384"/>
  <c r="BG384"/>
  <c r="BF384"/>
  <c r="BE384"/>
  <c r="BD384"/>
  <c r="BC384"/>
  <c r="BB384"/>
  <c r="BA384" s="1"/>
  <c r="AX384"/>
  <c r="AW384"/>
  <c r="AV384"/>
  <c r="AC384"/>
  <c r="H384"/>
  <c r="BT383"/>
  <c r="BS383"/>
  <c r="BR383"/>
  <c r="BQ383"/>
  <c r="BP383"/>
  <c r="BO383"/>
  <c r="BN383"/>
  <c r="BM383"/>
  <c r="BK383"/>
  <c r="BJ383"/>
  <c r="BI383"/>
  <c r="BH383"/>
  <c r="BG383"/>
  <c r="BF383"/>
  <c r="BE383"/>
  <c r="BD383"/>
  <c r="BC383"/>
  <c r="BB383"/>
  <c r="BA383" s="1"/>
  <c r="AX383"/>
  <c r="AW383"/>
  <c r="AV383"/>
  <c r="AC383"/>
  <c r="H383"/>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L380" s="1"/>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s="1"/>
  <c r="BT369"/>
  <c r="BS369"/>
  <c r="BR369"/>
  <c r="BQ369"/>
  <c r="BP369"/>
  <c r="BO369"/>
  <c r="BN369"/>
  <c r="BM369"/>
  <c r="BL369" s="1"/>
  <c r="BK369"/>
  <c r="BJ369"/>
  <c r="BI369"/>
  <c r="BH369"/>
  <c r="BG369"/>
  <c r="BF369"/>
  <c r="BE369"/>
  <c r="BD369"/>
  <c r="BC369"/>
  <c r="BB369"/>
  <c r="AX369"/>
  <c r="AW369"/>
  <c r="AV369"/>
  <c r="AC369"/>
  <c r="H369"/>
  <c r="BT368"/>
  <c r="BS368"/>
  <c r="BR368"/>
  <c r="BQ368"/>
  <c r="BP368"/>
  <c r="BO368"/>
  <c r="BN368"/>
  <c r="BM368"/>
  <c r="BL368" s="1"/>
  <c r="BK368"/>
  <c r="BJ368"/>
  <c r="BI368"/>
  <c r="BH368"/>
  <c r="BG368"/>
  <c r="BF368"/>
  <c r="BE368"/>
  <c r="BD368"/>
  <c r="BC368"/>
  <c r="BB368"/>
  <c r="BA368" s="1"/>
  <c r="AX368"/>
  <c r="AW368"/>
  <c r="AV368"/>
  <c r="AC368"/>
  <c r="H368"/>
  <c r="BT367"/>
  <c r="BS367"/>
  <c r="BR367"/>
  <c r="BQ367"/>
  <c r="BP367"/>
  <c r="BO367"/>
  <c r="BN367"/>
  <c r="BM367"/>
  <c r="BK367"/>
  <c r="BJ367"/>
  <c r="BI367"/>
  <c r="BH367"/>
  <c r="BG367"/>
  <c r="BF367"/>
  <c r="BE367"/>
  <c r="BD367"/>
  <c r="BC367"/>
  <c r="BB367"/>
  <c r="BA367" s="1"/>
  <c r="AX367"/>
  <c r="AW367"/>
  <c r="AV367"/>
  <c r="AC367"/>
  <c r="H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L364" s="1"/>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H352"/>
  <c r="G352" s="1"/>
  <c r="BT351"/>
  <c r="BS351"/>
  <c r="BR351"/>
  <c r="BQ351"/>
  <c r="BP351"/>
  <c r="BO351"/>
  <c r="BN351"/>
  <c r="BM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s="1"/>
  <c r="AZ350" s="1"/>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s="1"/>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G341" s="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s="1"/>
  <c r="BK335"/>
  <c r="BJ335"/>
  <c r="BI335"/>
  <c r="BH335"/>
  <c r="BG335"/>
  <c r="BF335"/>
  <c r="BE335"/>
  <c r="BD335"/>
  <c r="BC335"/>
  <c r="BB335"/>
  <c r="BA335" s="1"/>
  <c r="AX335"/>
  <c r="AW335"/>
  <c r="AV335"/>
  <c r="AC335"/>
  <c r="H335"/>
  <c r="BT334"/>
  <c r="BS334"/>
  <c r="BR334"/>
  <c r="BQ334"/>
  <c r="BP334"/>
  <c r="BO334"/>
  <c r="BN334"/>
  <c r="BM334"/>
  <c r="BL334" s="1"/>
  <c r="BK334"/>
  <c r="BJ334"/>
  <c r="BI334"/>
  <c r="BH334"/>
  <c r="BG334"/>
  <c r="BF334"/>
  <c r="BE334"/>
  <c r="BD334"/>
  <c r="BC334"/>
  <c r="BB334"/>
  <c r="AX334"/>
  <c r="AW334"/>
  <c r="AV334"/>
  <c r="AC334"/>
  <c r="H334"/>
  <c r="BT333"/>
  <c r="BS333"/>
  <c r="BR333"/>
  <c r="BQ333"/>
  <c r="BP333"/>
  <c r="BO333"/>
  <c r="BN333"/>
  <c r="BM333"/>
  <c r="BK333"/>
  <c r="BJ333"/>
  <c r="BI333"/>
  <c r="BH333"/>
  <c r="BG333"/>
  <c r="BF333"/>
  <c r="BE333"/>
  <c r="BD333"/>
  <c r="BC333"/>
  <c r="BB333"/>
  <c r="BA333" s="1"/>
  <c r="AX333"/>
  <c r="AW333"/>
  <c r="AV333"/>
  <c r="AC333"/>
  <c r="H333"/>
  <c r="G333" s="1"/>
  <c r="BT332"/>
  <c r="BS332"/>
  <c r="BR332"/>
  <c r="BQ332"/>
  <c r="BP332"/>
  <c r="BO332"/>
  <c r="BN332"/>
  <c r="BM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s="1"/>
  <c r="AX325"/>
  <c r="AW325"/>
  <c r="AV325"/>
  <c r="AC325"/>
  <c r="H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AX320"/>
  <c r="AW320"/>
  <c r="AV320"/>
  <c r="AC320"/>
  <c r="H320"/>
  <c r="G320" s="1"/>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s="1"/>
  <c r="AZ318" s="1"/>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s="1"/>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AX315"/>
  <c r="AW315"/>
  <c r="AV315"/>
  <c r="AC315"/>
  <c r="H315"/>
  <c r="G315" s="1"/>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s="1"/>
  <c r="AX313"/>
  <c r="AW313"/>
  <c r="AV313"/>
  <c r="AC313"/>
  <c r="H313"/>
  <c r="G313" s="1"/>
  <c r="BT312"/>
  <c r="BS312"/>
  <c r="BR312"/>
  <c r="BQ312"/>
  <c r="BP312"/>
  <c r="BO312"/>
  <c r="BN312"/>
  <c r="BM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s="1"/>
  <c r="AX311"/>
  <c r="AW311"/>
  <c r="AV311"/>
  <c r="AC311"/>
  <c r="H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s="1"/>
  <c r="BT306"/>
  <c r="BS306"/>
  <c r="BR306"/>
  <c r="BQ306"/>
  <c r="BP306"/>
  <c r="BO306"/>
  <c r="BN306"/>
  <c r="BM306"/>
  <c r="BL306" s="1"/>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s="1"/>
  <c r="AZ480" s="1"/>
  <c r="AX480"/>
  <c r="AW480"/>
  <c r="AV480"/>
  <c r="AC480"/>
  <c r="H480"/>
  <c r="G480"/>
  <c r="BT479"/>
  <c r="BS479"/>
  <c r="BR479"/>
  <c r="BQ479"/>
  <c r="BP479"/>
  <c r="BO479"/>
  <c r="BN479"/>
  <c r="BM479"/>
  <c r="BL479" s="1"/>
  <c r="BK479"/>
  <c r="BJ479"/>
  <c r="BI479"/>
  <c r="BH479"/>
  <c r="BG479"/>
  <c r="BF479"/>
  <c r="BE479"/>
  <c r="BD479"/>
  <c r="BC479"/>
  <c r="BB479"/>
  <c r="BA479" s="1"/>
  <c r="AX479"/>
  <c r="AW479"/>
  <c r="AV479"/>
  <c r="AC479"/>
  <c r="H479"/>
  <c r="G479" s="1"/>
  <c r="BT478"/>
  <c r="BS478"/>
  <c r="BR478"/>
  <c r="BQ478"/>
  <c r="BP478"/>
  <c r="BO478"/>
  <c r="BN478"/>
  <c r="BM478"/>
  <c r="BK478"/>
  <c r="BJ478"/>
  <c r="BI478"/>
  <c r="BH478"/>
  <c r="BG478"/>
  <c r="BF478"/>
  <c r="BE478"/>
  <c r="BD478"/>
  <c r="BC478"/>
  <c r="BB478"/>
  <c r="BA478"/>
  <c r="AX478"/>
  <c r="AW478"/>
  <c r="AV478"/>
  <c r="AC478"/>
  <c r="H478"/>
  <c r="BT477"/>
  <c r="BS477"/>
  <c r="BR477"/>
  <c r="BQ477"/>
  <c r="BP477"/>
  <c r="BO477"/>
  <c r="BN477"/>
  <c r="BM477"/>
  <c r="BL477"/>
  <c r="BK477"/>
  <c r="BJ477"/>
  <c r="BI477"/>
  <c r="BH477"/>
  <c r="BG477"/>
  <c r="BF477"/>
  <c r="BE477"/>
  <c r="BD477"/>
  <c r="BC477"/>
  <c r="BB477"/>
  <c r="BA477" s="1"/>
  <c r="AX477"/>
  <c r="AW477"/>
  <c r="AV477"/>
  <c r="AC477"/>
  <c r="H477"/>
  <c r="BT476"/>
  <c r="BS476"/>
  <c r="BR476"/>
  <c r="BQ476"/>
  <c r="BP476"/>
  <c r="BO476"/>
  <c r="BN476"/>
  <c r="BM476"/>
  <c r="BL476"/>
  <c r="BK476"/>
  <c r="BJ476"/>
  <c r="BI476"/>
  <c r="BH476"/>
  <c r="BG476"/>
  <c r="BF476"/>
  <c r="BE476"/>
  <c r="BD476"/>
  <c r="BC476"/>
  <c r="BB476"/>
  <c r="BA476" s="1"/>
  <c r="AZ476" s="1"/>
  <c r="AX476"/>
  <c r="AW476"/>
  <c r="AV476"/>
  <c r="AC476"/>
  <c r="H476"/>
  <c r="G476"/>
  <c r="BT475"/>
  <c r="BS475"/>
  <c r="BR475"/>
  <c r="BQ475"/>
  <c r="BP475"/>
  <c r="BO475"/>
  <c r="BN475"/>
  <c r="BM475"/>
  <c r="BL475" s="1"/>
  <c r="BK475"/>
  <c r="BJ475"/>
  <c r="BI475"/>
  <c r="BH475"/>
  <c r="BG475"/>
  <c r="BF475"/>
  <c r="BE475"/>
  <c r="BD475"/>
  <c r="BC475"/>
  <c r="BB475"/>
  <c r="BA475" s="1"/>
  <c r="AX475"/>
  <c r="AW475"/>
  <c r="AV475"/>
  <c r="AC475"/>
  <c r="H475"/>
  <c r="G475" s="1"/>
  <c r="BT474"/>
  <c r="BS474"/>
  <c r="BR474"/>
  <c r="BQ474"/>
  <c r="BP474"/>
  <c r="BO474"/>
  <c r="BN474"/>
  <c r="BM474"/>
  <c r="BK474"/>
  <c r="BJ474"/>
  <c r="BI474"/>
  <c r="BH474"/>
  <c r="BG474"/>
  <c r="BF474"/>
  <c r="BE474"/>
  <c r="BD474"/>
  <c r="BC474"/>
  <c r="BB474"/>
  <c r="BA474"/>
  <c r="AX474"/>
  <c r="AW474"/>
  <c r="AV474"/>
  <c r="AC474"/>
  <c r="H474"/>
  <c r="G474"/>
  <c r="BT473"/>
  <c r="BS473"/>
  <c r="BR473"/>
  <c r="BQ473"/>
  <c r="BP473"/>
  <c r="BO473"/>
  <c r="BN473"/>
  <c r="BM473"/>
  <c r="BL473" s="1"/>
  <c r="BK473"/>
  <c r="BJ473"/>
  <c r="BI473"/>
  <c r="BH473"/>
  <c r="BG473"/>
  <c r="BF473"/>
  <c r="BE473"/>
  <c r="BD473"/>
  <c r="BC473"/>
  <c r="BB473"/>
  <c r="BA473" s="1"/>
  <c r="AX473"/>
  <c r="AW473"/>
  <c r="AV473"/>
  <c r="AC473"/>
  <c r="H473"/>
  <c r="G473" s="1"/>
  <c r="BT472"/>
  <c r="BS472"/>
  <c r="BR472"/>
  <c r="BQ472"/>
  <c r="BP472"/>
  <c r="BO472"/>
  <c r="BN472"/>
  <c r="BM472"/>
  <c r="BL472" s="1"/>
  <c r="BK472"/>
  <c r="BJ472"/>
  <c r="BI472"/>
  <c r="BH472"/>
  <c r="BG472"/>
  <c r="BF472"/>
  <c r="BE472"/>
  <c r="BD472"/>
  <c r="BC472"/>
  <c r="BB472"/>
  <c r="AX472"/>
  <c r="AW472"/>
  <c r="AV472"/>
  <c r="AC472"/>
  <c r="H472"/>
  <c r="G472" s="1"/>
  <c r="BT471"/>
  <c r="BS471"/>
  <c r="BR471"/>
  <c r="BQ471"/>
  <c r="BP471"/>
  <c r="BO471"/>
  <c r="BN471"/>
  <c r="BM471"/>
  <c r="BK471"/>
  <c r="BJ471"/>
  <c r="BI471"/>
  <c r="BH471"/>
  <c r="BG471"/>
  <c r="BF471"/>
  <c r="BE471"/>
  <c r="BD471"/>
  <c r="BC471"/>
  <c r="BB471"/>
  <c r="BA471"/>
  <c r="AX471"/>
  <c r="AW471"/>
  <c r="AV471"/>
  <c r="AC471"/>
  <c r="H471"/>
  <c r="G471"/>
  <c r="BT470"/>
  <c r="BS470"/>
  <c r="BR470"/>
  <c r="BQ470"/>
  <c r="BP470"/>
  <c r="BO470"/>
  <c r="BN470"/>
  <c r="BM470"/>
  <c r="BL470" s="1"/>
  <c r="BK470"/>
  <c r="BJ470"/>
  <c r="BI470"/>
  <c r="BH470"/>
  <c r="BG470"/>
  <c r="BF470"/>
  <c r="BE470"/>
  <c r="BD470"/>
  <c r="BC470"/>
  <c r="BB470"/>
  <c r="BA470" s="1"/>
  <c r="AX470"/>
  <c r="AW470"/>
  <c r="AV470"/>
  <c r="AC470"/>
  <c r="H470"/>
  <c r="G470" s="1"/>
  <c r="BT469"/>
  <c r="BS469"/>
  <c r="BR469"/>
  <c r="BQ469"/>
  <c r="BP469"/>
  <c r="BO469"/>
  <c r="BN469"/>
  <c r="BM469"/>
  <c r="BL469" s="1"/>
  <c r="BK469"/>
  <c r="BJ469"/>
  <c r="BI469"/>
  <c r="BH469"/>
  <c r="BG469"/>
  <c r="BF469"/>
  <c r="BE469"/>
  <c r="BD469"/>
  <c r="BC469"/>
  <c r="BB469"/>
  <c r="AX469"/>
  <c r="AW469"/>
  <c r="AV469"/>
  <c r="AC469"/>
  <c r="H469"/>
  <c r="G469" s="1"/>
  <c r="BT468"/>
  <c r="BS468"/>
  <c r="BR468"/>
  <c r="BQ468"/>
  <c r="BP468"/>
  <c r="BO468"/>
  <c r="BN468"/>
  <c r="BM468"/>
  <c r="BL468" s="1"/>
  <c r="BK468"/>
  <c r="BJ468"/>
  <c r="BI468"/>
  <c r="BH468"/>
  <c r="BG468"/>
  <c r="BF468"/>
  <c r="BE468"/>
  <c r="BD468"/>
  <c r="BC468"/>
  <c r="BB468"/>
  <c r="AX468"/>
  <c r="AW468"/>
  <c r="AV468"/>
  <c r="AC468"/>
  <c r="H468"/>
  <c r="G468" s="1"/>
  <c r="BT467"/>
  <c r="BS467"/>
  <c r="BR467"/>
  <c r="BQ467"/>
  <c r="BP467"/>
  <c r="BO467"/>
  <c r="BN467"/>
  <c r="BM467"/>
  <c r="BK467"/>
  <c r="BJ467"/>
  <c r="BI467"/>
  <c r="BH467"/>
  <c r="BG467"/>
  <c r="BF467"/>
  <c r="BE467"/>
  <c r="BD467"/>
  <c r="BC467"/>
  <c r="BB467"/>
  <c r="BA467"/>
  <c r="AX467"/>
  <c r="AW467"/>
  <c r="AV467"/>
  <c r="AC467"/>
  <c r="H467"/>
  <c r="G467"/>
  <c r="BT466"/>
  <c r="BS466"/>
  <c r="BR466"/>
  <c r="BQ466"/>
  <c r="BP466"/>
  <c r="BO466"/>
  <c r="BN466"/>
  <c r="BM466"/>
  <c r="BL466" s="1"/>
  <c r="BK466"/>
  <c r="BJ466"/>
  <c r="BI466"/>
  <c r="BH466"/>
  <c r="BG466"/>
  <c r="BF466"/>
  <c r="BE466"/>
  <c r="BD466"/>
  <c r="BC466"/>
  <c r="BB466"/>
  <c r="BA466" s="1"/>
  <c r="AX466"/>
  <c r="AW466"/>
  <c r="AV466"/>
  <c r="AC466"/>
  <c r="H466"/>
  <c r="G466" s="1"/>
  <c r="BT465"/>
  <c r="BS465"/>
  <c r="BR465"/>
  <c r="BQ465"/>
  <c r="BP465"/>
  <c r="BO465"/>
  <c r="BN465"/>
  <c r="BM465"/>
  <c r="BK465"/>
  <c r="BJ465"/>
  <c r="BI465"/>
  <c r="BH465"/>
  <c r="BG465"/>
  <c r="BF465"/>
  <c r="BE465"/>
  <c r="BD465"/>
  <c r="BC465"/>
  <c r="BB465"/>
  <c r="BA465"/>
  <c r="AX465"/>
  <c r="AW465"/>
  <c r="AV465"/>
  <c r="AC465"/>
  <c r="H465"/>
  <c r="BT464"/>
  <c r="BS464"/>
  <c r="BR464"/>
  <c r="BQ464"/>
  <c r="BP464"/>
  <c r="BO464"/>
  <c r="BN464"/>
  <c r="BM464"/>
  <c r="BL464"/>
  <c r="BK464"/>
  <c r="BJ464"/>
  <c r="BI464"/>
  <c r="BH464"/>
  <c r="BG464"/>
  <c r="BF464"/>
  <c r="BE464"/>
  <c r="BD464"/>
  <c r="BC464"/>
  <c r="BB464"/>
  <c r="BA464" s="1"/>
  <c r="AZ464" s="1"/>
  <c r="AX464"/>
  <c r="AW464"/>
  <c r="AV464"/>
  <c r="AC464"/>
  <c r="H464"/>
  <c r="G464"/>
  <c r="BT463"/>
  <c r="BS463"/>
  <c r="BR463"/>
  <c r="BQ463"/>
  <c r="BP463"/>
  <c r="BO463"/>
  <c r="BN463"/>
  <c r="BM463"/>
  <c r="BL463" s="1"/>
  <c r="BK463"/>
  <c r="BJ463"/>
  <c r="BI463"/>
  <c r="BH463"/>
  <c r="BG463"/>
  <c r="BF463"/>
  <c r="BE463"/>
  <c r="BD463"/>
  <c r="BC463"/>
  <c r="BB463"/>
  <c r="BA463" s="1"/>
  <c r="AX463"/>
  <c r="AW463"/>
  <c r="AV463"/>
  <c r="AC463"/>
  <c r="H463"/>
  <c r="G463" s="1"/>
  <c r="BT462"/>
  <c r="BS462"/>
  <c r="BR462"/>
  <c r="BQ462"/>
  <c r="BP462"/>
  <c r="BO462"/>
  <c r="BN462"/>
  <c r="BM462"/>
  <c r="BK462"/>
  <c r="BJ462"/>
  <c r="BI462"/>
  <c r="BH462"/>
  <c r="BG462"/>
  <c r="BF462"/>
  <c r="BE462"/>
  <c r="BD462"/>
  <c r="BC462"/>
  <c r="BB462"/>
  <c r="BA462"/>
  <c r="AX462"/>
  <c r="AW462"/>
  <c r="AV462"/>
  <c r="AC462"/>
  <c r="H462"/>
  <c r="BT461"/>
  <c r="BS461"/>
  <c r="BR461"/>
  <c r="BQ461"/>
  <c r="BP461"/>
  <c r="BO461"/>
  <c r="BN461"/>
  <c r="BM461"/>
  <c r="BL461"/>
  <c r="BK461"/>
  <c r="BJ461"/>
  <c r="BI461"/>
  <c r="BH461"/>
  <c r="BG461"/>
  <c r="BF461"/>
  <c r="BE461"/>
  <c r="BD461"/>
  <c r="BC461"/>
  <c r="BB461"/>
  <c r="BA461" s="1"/>
  <c r="AX461"/>
  <c r="AW461"/>
  <c r="AV461"/>
  <c r="AC461"/>
  <c r="H46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BK459"/>
  <c r="BJ459"/>
  <c r="BI459"/>
  <c r="BH459"/>
  <c r="BG459"/>
  <c r="BF459"/>
  <c r="BE459"/>
  <c r="BD459"/>
  <c r="BC459"/>
  <c r="BB459"/>
  <c r="BA459" s="1"/>
  <c r="AX459"/>
  <c r="AW459"/>
  <c r="AV459"/>
  <c r="AC459"/>
  <c r="H459"/>
  <c r="G459" s="1"/>
  <c r="BT458"/>
  <c r="BS458"/>
  <c r="BR458"/>
  <c r="BQ458"/>
  <c r="BP458"/>
  <c r="BO458"/>
  <c r="BN458"/>
  <c r="BM458"/>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s="1"/>
  <c r="AX457"/>
  <c r="AW457"/>
  <c r="AV457"/>
  <c r="AC457"/>
  <c r="H457"/>
  <c r="G457" s="1"/>
  <c r="BT456"/>
  <c r="BS456"/>
  <c r="BR456"/>
  <c r="BQ456"/>
  <c r="BP456"/>
  <c r="BO456"/>
  <c r="BN456"/>
  <c r="BM456"/>
  <c r="BL456" s="1"/>
  <c r="BK456"/>
  <c r="BJ456"/>
  <c r="BI456"/>
  <c r="BH456"/>
  <c r="BG456"/>
  <c r="BF456"/>
  <c r="BE456"/>
  <c r="BD456"/>
  <c r="BC456"/>
  <c r="BB456"/>
  <c r="AX456"/>
  <c r="AW456"/>
  <c r="AV456"/>
  <c r="AC456"/>
  <c r="H456"/>
  <c r="G456" s="1"/>
  <c r="BT455"/>
  <c r="BS455"/>
  <c r="BR455"/>
  <c r="BQ455"/>
  <c r="BP455"/>
  <c r="BO455"/>
  <c r="BN455"/>
  <c r="BM455"/>
  <c r="BL455" s="1"/>
  <c r="BK455"/>
  <c r="BJ455"/>
  <c r="BI455"/>
  <c r="BH455"/>
  <c r="BG455"/>
  <c r="BF455"/>
  <c r="BE455"/>
  <c r="BD455"/>
  <c r="BC455"/>
  <c r="BB455"/>
  <c r="AX455"/>
  <c r="AW455"/>
  <c r="AV455"/>
  <c r="AC455"/>
  <c r="H455"/>
  <c r="G455" s="1"/>
  <c r="BT454"/>
  <c r="BS454"/>
  <c r="BR454"/>
  <c r="BQ454"/>
  <c r="BP454"/>
  <c r="BO454"/>
  <c r="BN454"/>
  <c r="BM454"/>
  <c r="BL454" s="1"/>
  <c r="BK454"/>
  <c r="BJ454"/>
  <c r="BI454"/>
  <c r="BH454"/>
  <c r="BG454"/>
  <c r="BF454"/>
  <c r="BE454"/>
  <c r="BD454"/>
  <c r="BC454"/>
  <c r="BB454"/>
  <c r="AX454"/>
  <c r="AW454"/>
  <c r="AV454"/>
  <c r="AC454"/>
  <c r="H454"/>
  <c r="G454" s="1"/>
  <c r="BT453"/>
  <c r="BS453"/>
  <c r="BR453"/>
  <c r="BQ453"/>
  <c r="BP453"/>
  <c r="BO453"/>
  <c r="BN453"/>
  <c r="BM453"/>
  <c r="BL453" s="1"/>
  <c r="BK453"/>
  <c r="BJ453"/>
  <c r="BI453"/>
  <c r="BH453"/>
  <c r="BG453"/>
  <c r="BF453"/>
  <c r="BE453"/>
  <c r="BD453"/>
  <c r="BC453"/>
  <c r="BB453"/>
  <c r="AX453"/>
  <c r="AW453"/>
  <c r="AV453"/>
  <c r="AC453"/>
  <c r="H453"/>
  <c r="G453" s="1"/>
  <c r="BT452"/>
  <c r="BS452"/>
  <c r="BR452"/>
  <c r="BQ452"/>
  <c r="BP452"/>
  <c r="BO452"/>
  <c r="BN452"/>
  <c r="BM452"/>
  <c r="BK452"/>
  <c r="BJ452"/>
  <c r="BI452"/>
  <c r="BH452"/>
  <c r="BG452"/>
  <c r="BF452"/>
  <c r="BE452"/>
  <c r="BD452"/>
  <c r="BC452"/>
  <c r="BB452"/>
  <c r="BA452"/>
  <c r="AX452"/>
  <c r="AW452"/>
  <c r="AV452"/>
  <c r="AC452"/>
  <c r="H452"/>
  <c r="G452"/>
  <c r="BT451"/>
  <c r="BS451"/>
  <c r="BR451"/>
  <c r="BQ451"/>
  <c r="BP451"/>
  <c r="BO451"/>
  <c r="BN451"/>
  <c r="BM451"/>
  <c r="BL451" s="1"/>
  <c r="BK451"/>
  <c r="BJ451"/>
  <c r="BI451"/>
  <c r="BH451"/>
  <c r="BG451"/>
  <c r="BF451"/>
  <c r="BE451"/>
  <c r="BD451"/>
  <c r="BC451"/>
  <c r="BB451"/>
  <c r="BA451" s="1"/>
  <c r="AZ451" s="1"/>
  <c r="AX451"/>
  <c r="AW451"/>
  <c r="AV451"/>
  <c r="AC451"/>
  <c r="H451"/>
  <c r="G451" s="1"/>
  <c r="BT450"/>
  <c r="BS450"/>
  <c r="BR450"/>
  <c r="BQ450"/>
  <c r="BP450"/>
  <c r="BO450"/>
  <c r="BN450"/>
  <c r="BM450"/>
  <c r="BL450" s="1"/>
  <c r="BK450"/>
  <c r="BJ450"/>
  <c r="BI450"/>
  <c r="BH450"/>
  <c r="BG450"/>
  <c r="BF450"/>
  <c r="BE450"/>
  <c r="BD450"/>
  <c r="BC450"/>
  <c r="BB450"/>
  <c r="AX450"/>
  <c r="AW450"/>
  <c r="AV450"/>
  <c r="AC450"/>
  <c r="H450"/>
  <c r="G450" s="1"/>
  <c r="BT449"/>
  <c r="BS449"/>
  <c r="BR449"/>
  <c r="BQ449"/>
  <c r="BP449"/>
  <c r="BO449"/>
  <c r="BN449"/>
  <c r="BM449"/>
  <c r="BL449" s="1"/>
  <c r="BK449"/>
  <c r="BJ449"/>
  <c r="BI449"/>
  <c r="BH449"/>
  <c r="BG449"/>
  <c r="BF449"/>
  <c r="BE449"/>
  <c r="BD449"/>
  <c r="BC449"/>
  <c r="BB449"/>
  <c r="AX449"/>
  <c r="AW449"/>
  <c r="AV449"/>
  <c r="AC449"/>
  <c r="H449"/>
  <c r="G449" s="1"/>
  <c r="BT448"/>
  <c r="BS448"/>
  <c r="BR448"/>
  <c r="BQ448"/>
  <c r="BP448"/>
  <c r="BO448"/>
  <c r="BN448"/>
  <c r="BM448"/>
  <c r="BL448" s="1"/>
  <c r="BK448"/>
  <c r="BJ448"/>
  <c r="BI448"/>
  <c r="BH448"/>
  <c r="BG448"/>
  <c r="BF448"/>
  <c r="BE448"/>
  <c r="BD448"/>
  <c r="BC448"/>
  <c r="BB448"/>
  <c r="AX448"/>
  <c r="AW448"/>
  <c r="AV448"/>
  <c r="AC448"/>
  <c r="H448"/>
  <c r="G448" s="1"/>
  <c r="BT447"/>
  <c r="BS447"/>
  <c r="BR447"/>
  <c r="BQ447"/>
  <c r="BP447"/>
  <c r="BO447"/>
  <c r="BN447"/>
  <c r="BM447"/>
  <c r="BK447"/>
  <c r="BJ447"/>
  <c r="BI447"/>
  <c r="BH447"/>
  <c r="BG447"/>
  <c r="BF447"/>
  <c r="BE447"/>
  <c r="BD447"/>
  <c r="BC447"/>
  <c r="BB447"/>
  <c r="BA447"/>
  <c r="AX447"/>
  <c r="AW447"/>
  <c r="AV447"/>
  <c r="AC447"/>
  <c r="H447"/>
  <c r="BT446"/>
  <c r="BS446"/>
  <c r="BR446"/>
  <c r="BQ446"/>
  <c r="BP446"/>
  <c r="BO446"/>
  <c r="BN446"/>
  <c r="BM446"/>
  <c r="BL446"/>
  <c r="BK446"/>
  <c r="BJ446"/>
  <c r="BI446"/>
  <c r="BH446"/>
  <c r="BG446"/>
  <c r="BF446"/>
  <c r="BE446"/>
  <c r="BD446"/>
  <c r="BC446"/>
  <c r="BB446"/>
  <c r="BA446" s="1"/>
  <c r="AX446"/>
  <c r="AW446"/>
  <c r="AV446"/>
  <c r="AC446"/>
  <c r="H446"/>
  <c r="BT445"/>
  <c r="BS445"/>
  <c r="BR445"/>
  <c r="BQ445"/>
  <c r="BP445"/>
  <c r="BO445"/>
  <c r="BN445"/>
  <c r="BM445"/>
  <c r="BL445"/>
  <c r="BK445"/>
  <c r="BJ445"/>
  <c r="BI445"/>
  <c r="BH445"/>
  <c r="BG445"/>
  <c r="BF445"/>
  <c r="BE445"/>
  <c r="BD445"/>
  <c r="BC445"/>
  <c r="BB445"/>
  <c r="BA445" s="1"/>
  <c r="AZ445" s="1"/>
  <c r="AX445"/>
  <c r="AW445"/>
  <c r="AV445"/>
  <c r="AC445"/>
  <c r="H445"/>
  <c r="G445"/>
  <c r="BT444"/>
  <c r="BS444"/>
  <c r="BR444"/>
  <c r="BQ444"/>
  <c r="BP444"/>
  <c r="BO444"/>
  <c r="BN444"/>
  <c r="BM444"/>
  <c r="BL444" s="1"/>
  <c r="BK444"/>
  <c r="BJ444"/>
  <c r="BI444"/>
  <c r="BH444"/>
  <c r="BG444"/>
  <c r="BF444"/>
  <c r="BE444"/>
  <c r="BD444"/>
  <c r="BC444"/>
  <c r="BB444"/>
  <c r="BA444" s="1"/>
  <c r="AX444"/>
  <c r="AW444"/>
  <c r="AV444"/>
  <c r="AC444"/>
  <c r="H444"/>
  <c r="G444" s="1"/>
  <c r="BT443"/>
  <c r="BS443"/>
  <c r="BR443"/>
  <c r="BQ443"/>
  <c r="BP443"/>
  <c r="BO443"/>
  <c r="BN443"/>
  <c r="BM443"/>
  <c r="BK443"/>
  <c r="BJ443"/>
  <c r="BI443"/>
  <c r="BH443"/>
  <c r="BG443"/>
  <c r="BF443"/>
  <c r="BE443"/>
  <c r="BD443"/>
  <c r="BC443"/>
  <c r="BB443"/>
  <c r="BA443"/>
  <c r="AX443"/>
  <c r="AW443"/>
  <c r="AV443"/>
  <c r="AC443"/>
  <c r="H443"/>
  <c r="BT442"/>
  <c r="BS442"/>
  <c r="BR442"/>
  <c r="BQ442"/>
  <c r="BP442"/>
  <c r="BO442"/>
  <c r="BN442"/>
  <c r="BM442"/>
  <c r="BL442"/>
  <c r="BK442"/>
  <c r="BJ442"/>
  <c r="BI442"/>
  <c r="BH442"/>
  <c r="BG442"/>
  <c r="BF442"/>
  <c r="BE442"/>
  <c r="BD442"/>
  <c r="BC442"/>
  <c r="BB442"/>
  <c r="BA442" s="1"/>
  <c r="AX442"/>
  <c r="AW442"/>
  <c r="AV442"/>
  <c r="AC442"/>
  <c r="H442"/>
  <c r="BT441"/>
  <c r="BS441"/>
  <c r="BR441"/>
  <c r="BQ441"/>
  <c r="BP441"/>
  <c r="BO441"/>
  <c r="BN441"/>
  <c r="BM441"/>
  <c r="BL441"/>
  <c r="BK441"/>
  <c r="BJ441"/>
  <c r="BI441"/>
  <c r="BH441"/>
  <c r="BG441"/>
  <c r="BF441"/>
  <c r="BE441"/>
  <c r="BD441"/>
  <c r="BC441"/>
  <c r="BB441"/>
  <c r="BA441" s="1"/>
  <c r="AX441"/>
  <c r="AW441"/>
  <c r="AV441"/>
  <c r="AC441"/>
  <c r="H441"/>
  <c r="BT440"/>
  <c r="BS440"/>
  <c r="BR440"/>
  <c r="BQ440"/>
  <c r="BP440"/>
  <c r="BO440"/>
  <c r="BN440"/>
  <c r="BM440"/>
  <c r="BL440"/>
  <c r="BK440"/>
  <c r="BJ440"/>
  <c r="BI440"/>
  <c r="BH440"/>
  <c r="BG440"/>
  <c r="BF440"/>
  <c r="BE440"/>
  <c r="BD440"/>
  <c r="BC440"/>
  <c r="BB440"/>
  <c r="BA440" s="1"/>
  <c r="AZ440" s="1"/>
  <c r="AX440"/>
  <c r="AW440"/>
  <c r="AV440"/>
  <c r="AC440"/>
  <c r="H440"/>
  <c r="G440"/>
  <c r="BT439"/>
  <c r="BS439"/>
  <c r="BR439"/>
  <c r="BQ439"/>
  <c r="BP439"/>
  <c r="BO439"/>
  <c r="BN439"/>
  <c r="BM439"/>
  <c r="BL439" s="1"/>
  <c r="BK439"/>
  <c r="BJ439"/>
  <c r="BI439"/>
  <c r="BH439"/>
  <c r="BG439"/>
  <c r="BF439"/>
  <c r="BE439"/>
  <c r="BD439"/>
  <c r="BC439"/>
  <c r="BB439"/>
  <c r="BA439" s="1"/>
  <c r="AZ439" s="1"/>
  <c r="AX439"/>
  <c r="AW439"/>
  <c r="AV439"/>
  <c r="AC439"/>
  <c r="H439"/>
  <c r="G439" s="1"/>
  <c r="BT438"/>
  <c r="BS438"/>
  <c r="BR438"/>
  <c r="BQ438"/>
  <c r="BP438"/>
  <c r="BO438"/>
  <c r="BN438"/>
  <c r="BM438"/>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s="1"/>
  <c r="AX437"/>
  <c r="AW437"/>
  <c r="AV437"/>
  <c r="AC437"/>
  <c r="H437"/>
  <c r="G437" s="1"/>
  <c r="BT436"/>
  <c r="BS436"/>
  <c r="BR436"/>
  <c r="BQ436"/>
  <c r="BP436"/>
  <c r="BO436"/>
  <c r="BN436"/>
  <c r="BM436"/>
  <c r="BL436" s="1"/>
  <c r="BK436"/>
  <c r="BJ436"/>
  <c r="BI436"/>
  <c r="BH436"/>
  <c r="BG436"/>
  <c r="BF436"/>
  <c r="BE436"/>
  <c r="BD436"/>
  <c r="BC436"/>
  <c r="BB436"/>
  <c r="AX436"/>
  <c r="AW436"/>
  <c r="AV436"/>
  <c r="AC436"/>
  <c r="H436"/>
  <c r="G436" s="1"/>
  <c r="BT435"/>
  <c r="BS435"/>
  <c r="BR435"/>
  <c r="BQ435"/>
  <c r="BP435"/>
  <c r="BO435"/>
  <c r="BN435"/>
  <c r="BM435"/>
  <c r="BL435" s="1"/>
  <c r="BK435"/>
  <c r="BJ435"/>
  <c r="BI435"/>
  <c r="BH435"/>
  <c r="BG435"/>
  <c r="BF435"/>
  <c r="BE435"/>
  <c r="BD435"/>
  <c r="BC435"/>
  <c r="BB435"/>
  <c r="AX435"/>
  <c r="AW435"/>
  <c r="AV435"/>
  <c r="AC435"/>
  <c r="H435"/>
  <c r="G435" s="1"/>
  <c r="BT434"/>
  <c r="BS434"/>
  <c r="BR434"/>
  <c r="BQ434"/>
  <c r="BP434"/>
  <c r="BO434"/>
  <c r="BN434"/>
  <c r="BM434"/>
  <c r="BK434"/>
  <c r="BJ434"/>
  <c r="BI434"/>
  <c r="BH434"/>
  <c r="BG434"/>
  <c r="BF434"/>
  <c r="BE434"/>
  <c r="BD434"/>
  <c r="BC434"/>
  <c r="BB434"/>
  <c r="BA434"/>
  <c r="AX434"/>
  <c r="AW434"/>
  <c r="AV434"/>
  <c r="AC434"/>
  <c r="H434"/>
  <c r="G434"/>
  <c r="BT433"/>
  <c r="BS433"/>
  <c r="BR433"/>
  <c r="BQ433"/>
  <c r="BP433"/>
  <c r="BO433"/>
  <c r="BN433"/>
  <c r="BM433"/>
  <c r="BL433" s="1"/>
  <c r="BK433"/>
  <c r="BJ433"/>
  <c r="BI433"/>
  <c r="BH433"/>
  <c r="BG433"/>
  <c r="BF433"/>
  <c r="BE433"/>
  <c r="BD433"/>
  <c r="BC433"/>
  <c r="BB433"/>
  <c r="BA433" s="1"/>
  <c r="AZ433" s="1"/>
  <c r="AX433"/>
  <c r="AW433"/>
  <c r="AV433"/>
  <c r="AC433"/>
  <c r="H433"/>
  <c r="G433" s="1"/>
  <c r="BT432"/>
  <c r="BS432"/>
  <c r="BR432"/>
  <c r="BQ432"/>
  <c r="BP432"/>
  <c r="BO432"/>
  <c r="BN432"/>
  <c r="BM432"/>
  <c r="BK432"/>
  <c r="BJ432"/>
  <c r="BI432"/>
  <c r="BH432"/>
  <c r="BG432"/>
  <c r="BF432"/>
  <c r="BE432"/>
  <c r="BD432"/>
  <c r="BC432"/>
  <c r="BB432"/>
  <c r="BA432"/>
  <c r="AX432"/>
  <c r="AW432"/>
  <c r="AV432"/>
  <c r="AC432"/>
  <c r="H432"/>
  <c r="BT431"/>
  <c r="BS431"/>
  <c r="BR431"/>
  <c r="BQ431"/>
  <c r="BP431"/>
  <c r="BO431"/>
  <c r="BN431"/>
  <c r="BM431"/>
  <c r="BL431"/>
  <c r="BK431"/>
  <c r="BJ431"/>
  <c r="BI431"/>
  <c r="BH431"/>
  <c r="BG431"/>
  <c r="BF431"/>
  <c r="BE431"/>
  <c r="BD431"/>
  <c r="BC431"/>
  <c r="BB431"/>
  <c r="BA431" s="1"/>
  <c r="AX431"/>
  <c r="AW431"/>
  <c r="AV431"/>
  <c r="AC431"/>
  <c r="H431"/>
  <c r="BT430"/>
  <c r="BS430"/>
  <c r="BR430"/>
  <c r="BQ430"/>
  <c r="BP430"/>
  <c r="BO430"/>
  <c r="BN430"/>
  <c r="BM430"/>
  <c r="BL430"/>
  <c r="BK430"/>
  <c r="BJ430"/>
  <c r="BI430"/>
  <c r="BH430"/>
  <c r="BG430"/>
  <c r="BF430"/>
  <c r="BE430"/>
  <c r="BD430"/>
  <c r="BC430"/>
  <c r="BB430"/>
  <c r="BA430" s="1"/>
  <c r="AX430"/>
  <c r="AW430"/>
  <c r="AV430"/>
  <c r="AC430"/>
  <c r="H430"/>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s="1"/>
  <c r="AZ428" s="1"/>
  <c r="AX428"/>
  <c r="AW428"/>
  <c r="AV428"/>
  <c r="AC428"/>
  <c r="H428"/>
  <c r="G428" s="1"/>
  <c r="BT427"/>
  <c r="BS427"/>
  <c r="BR427"/>
  <c r="BQ427"/>
  <c r="BP427"/>
  <c r="BO427"/>
  <c r="BN427"/>
  <c r="BM427"/>
  <c r="BK427"/>
  <c r="BJ427"/>
  <c r="BI427"/>
  <c r="BH427"/>
  <c r="BG427"/>
  <c r="BF427"/>
  <c r="BE427"/>
  <c r="BD427"/>
  <c r="BC427"/>
  <c r="BB427"/>
  <c r="BA427"/>
  <c r="AX427"/>
  <c r="AW427"/>
  <c r="AV427"/>
  <c r="AC427"/>
  <c r="H427"/>
  <c r="BT426"/>
  <c r="BS426"/>
  <c r="BR426"/>
  <c r="BQ426"/>
  <c r="BP426"/>
  <c r="BO426"/>
  <c r="BN426"/>
  <c r="BM426"/>
  <c r="BL426"/>
  <c r="BK426"/>
  <c r="BJ426"/>
  <c r="BI426"/>
  <c r="BH426"/>
  <c r="BG426"/>
  <c r="BF426"/>
  <c r="BE426"/>
  <c r="BD426"/>
  <c r="BC426"/>
  <c r="BB426"/>
  <c r="BA426" s="1"/>
  <c r="AX426"/>
  <c r="AW426"/>
  <c r="AV426"/>
  <c r="AC426"/>
  <c r="H426"/>
  <c r="BT425"/>
  <c r="BS425"/>
  <c r="BR425"/>
  <c r="BQ425"/>
  <c r="BP425"/>
  <c r="BO425"/>
  <c r="BN425"/>
  <c r="BM425"/>
  <c r="BL425"/>
  <c r="BK425"/>
  <c r="BJ425"/>
  <c r="BI425"/>
  <c r="BH425"/>
  <c r="BG425"/>
  <c r="BF425"/>
  <c r="BE425"/>
  <c r="BD425"/>
  <c r="BC425"/>
  <c r="BB425"/>
  <c r="BA425" s="1"/>
  <c r="AZ425" s="1"/>
  <c r="AX425"/>
  <c r="AW425"/>
  <c r="AV425"/>
  <c r="AC425"/>
  <c r="H425"/>
  <c r="G425"/>
  <c r="BT424"/>
  <c r="BS424"/>
  <c r="BR424"/>
  <c r="BQ424"/>
  <c r="BP424"/>
  <c r="BO424"/>
  <c r="BN424"/>
  <c r="BM424"/>
  <c r="BL424" s="1"/>
  <c r="BK424"/>
  <c r="BJ424"/>
  <c r="BI424"/>
  <c r="BH424"/>
  <c r="BG424"/>
  <c r="BF424"/>
  <c r="BE424"/>
  <c r="BD424"/>
  <c r="BC424"/>
  <c r="BB424"/>
  <c r="BA424" s="1"/>
  <c r="AZ424" s="1"/>
  <c r="AX424"/>
  <c r="AW424"/>
  <c r="AV424"/>
  <c r="AC424"/>
  <c r="H424"/>
  <c r="G424" s="1"/>
  <c r="BT423"/>
  <c r="BS423"/>
  <c r="BR423"/>
  <c r="BQ423"/>
  <c r="BP423"/>
  <c r="BO423"/>
  <c r="BN423"/>
  <c r="BM423"/>
  <c r="BL423" s="1"/>
  <c r="BK423"/>
  <c r="BJ423"/>
  <c r="BI423"/>
  <c r="BH423"/>
  <c r="BG423"/>
  <c r="BF423"/>
  <c r="BE423"/>
  <c r="BD423"/>
  <c r="BC423"/>
  <c r="BB423"/>
  <c r="AX423"/>
  <c r="AW423"/>
  <c r="AV423"/>
  <c r="AC423"/>
  <c r="H423"/>
  <c r="G423" s="1"/>
  <c r="BT422"/>
  <c r="BS422"/>
  <c r="BR422"/>
  <c r="BQ422"/>
  <c r="BP422"/>
  <c r="BO422"/>
  <c r="BN422"/>
  <c r="BM422"/>
  <c r="BL422" s="1"/>
  <c r="BK422"/>
  <c r="BJ422"/>
  <c r="BI422"/>
  <c r="BH422"/>
  <c r="BG422"/>
  <c r="BF422"/>
  <c r="BE422"/>
  <c r="BD422"/>
  <c r="BC422"/>
  <c r="BB422"/>
  <c r="AX422"/>
  <c r="AW422"/>
  <c r="AV422"/>
  <c r="AC422"/>
  <c r="H422"/>
  <c r="G422" s="1"/>
  <c r="BT421"/>
  <c r="BS421"/>
  <c r="BR421"/>
  <c r="BQ421"/>
  <c r="BP421"/>
  <c r="BO421"/>
  <c r="BN421"/>
  <c r="BM421"/>
  <c r="BL421" s="1"/>
  <c r="BK421"/>
  <c r="BJ421"/>
  <c r="BI421"/>
  <c r="BH421"/>
  <c r="BG421"/>
  <c r="BF421"/>
  <c r="BE421"/>
  <c r="BD421"/>
  <c r="BC421"/>
  <c r="BB421"/>
  <c r="AX421"/>
  <c r="AW421"/>
  <c r="AV421"/>
  <c r="AC421"/>
  <c r="H421"/>
  <c r="G421" s="1"/>
  <c r="BT420"/>
  <c r="BS420"/>
  <c r="BR420"/>
  <c r="BQ420"/>
  <c r="BP420"/>
  <c r="BO420"/>
  <c r="BN420"/>
  <c r="BM420"/>
  <c r="BK420"/>
  <c r="BJ420"/>
  <c r="BI420"/>
  <c r="BH420"/>
  <c r="BG420"/>
  <c r="BF420"/>
  <c r="BE420"/>
  <c r="BD420"/>
  <c r="BC420"/>
  <c r="BB420"/>
  <c r="BA420"/>
  <c r="AX420"/>
  <c r="AW420"/>
  <c r="AV420"/>
  <c r="AC420"/>
  <c r="H420"/>
  <c r="BT419"/>
  <c r="BS419"/>
  <c r="BR419"/>
  <c r="BQ419"/>
  <c r="BP419"/>
  <c r="BO419"/>
  <c r="BN419"/>
  <c r="BM419"/>
  <c r="BL419"/>
  <c r="BK419"/>
  <c r="BJ419"/>
  <c r="BI419"/>
  <c r="BH419"/>
  <c r="BG419"/>
  <c r="BF419"/>
  <c r="BE419"/>
  <c r="BD419"/>
  <c r="BC419"/>
  <c r="BB419"/>
  <c r="BA419" s="1"/>
  <c r="AZ419" s="1"/>
  <c r="AX419"/>
  <c r="AW419"/>
  <c r="AV419"/>
  <c r="AC419"/>
  <c r="H419"/>
  <c r="G419"/>
  <c r="BT418"/>
  <c r="BS418"/>
  <c r="BR418"/>
  <c r="BQ418"/>
  <c r="BP418"/>
  <c r="BO418"/>
  <c r="BN418"/>
  <c r="BM418"/>
  <c r="BL418" s="1"/>
  <c r="BK418"/>
  <c r="BJ418"/>
  <c r="BI418"/>
  <c r="BH418"/>
  <c r="BG418"/>
  <c r="BF418"/>
  <c r="BE418"/>
  <c r="BD418"/>
  <c r="BC418"/>
  <c r="BB418"/>
  <c r="BA418" s="1"/>
  <c r="AZ418" s="1"/>
  <c r="AX418"/>
  <c r="AW418"/>
  <c r="AV418"/>
  <c r="AC418"/>
  <c r="H418"/>
  <c r="G418" s="1"/>
  <c r="BT417"/>
  <c r="BS417"/>
  <c r="BR417"/>
  <c r="BQ417"/>
  <c r="BP417"/>
  <c r="BO417"/>
  <c r="BN417"/>
  <c r="BM417"/>
  <c r="BK417"/>
  <c r="BJ417"/>
  <c r="BI417"/>
  <c r="BH417"/>
  <c r="BG417"/>
  <c r="BF417"/>
  <c r="BE417"/>
  <c r="BD417"/>
  <c r="BC417"/>
  <c r="BB417"/>
  <c r="BA417"/>
  <c r="AX417"/>
  <c r="AW417"/>
  <c r="AV417"/>
  <c r="AC417"/>
  <c r="H417"/>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s="1"/>
  <c r="AZ415" s="1"/>
  <c r="AX415"/>
  <c r="AW415"/>
  <c r="AV415"/>
  <c r="AC415"/>
  <c r="H415"/>
  <c r="G415" s="1"/>
  <c r="BT414"/>
  <c r="BS414"/>
  <c r="BR414"/>
  <c r="BQ414"/>
  <c r="BP414"/>
  <c r="BO414"/>
  <c r="BN414"/>
  <c r="BM414"/>
  <c r="BK414"/>
  <c r="BJ414"/>
  <c r="BI414"/>
  <c r="BH414"/>
  <c r="BG414"/>
  <c r="BF414"/>
  <c r="BE414"/>
  <c r="BD414"/>
  <c r="BC414"/>
  <c r="BB414"/>
  <c r="BA414"/>
  <c r="AX414"/>
  <c r="AW414"/>
  <c r="AV414"/>
  <c r="AC414"/>
  <c r="H414"/>
  <c r="G414"/>
  <c r="BT413"/>
  <c r="BS413"/>
  <c r="BR413"/>
  <c r="BQ413"/>
  <c r="BP413"/>
  <c r="BO413"/>
  <c r="BN413"/>
  <c r="BM413"/>
  <c r="BL413" s="1"/>
  <c r="BK413"/>
  <c r="BJ413"/>
  <c r="BI413"/>
  <c r="BH413"/>
  <c r="BG413"/>
  <c r="BF413"/>
  <c r="BE413"/>
  <c r="BD413"/>
  <c r="BC413"/>
  <c r="BB413"/>
  <c r="BA413" s="1"/>
  <c r="AZ413" s="1"/>
  <c r="AX413"/>
  <c r="AW413"/>
  <c r="AV413"/>
  <c r="AC413"/>
  <c r="H413"/>
  <c r="G413" s="1"/>
  <c r="BT412"/>
  <c r="BS412"/>
  <c r="BR412"/>
  <c r="BQ412"/>
  <c r="BP412"/>
  <c r="BO412"/>
  <c r="BN412"/>
  <c r="BM412"/>
  <c r="BL412" s="1"/>
  <c r="BK412"/>
  <c r="BJ412"/>
  <c r="BI412"/>
  <c r="BH412"/>
  <c r="BG412"/>
  <c r="BF412"/>
  <c r="BE412"/>
  <c r="BD412"/>
  <c r="BC412"/>
  <c r="BB412"/>
  <c r="AX412"/>
  <c r="AW412"/>
  <c r="AV412"/>
  <c r="AC412"/>
  <c r="H412"/>
  <c r="G412" s="1"/>
  <c r="BT411"/>
  <c r="BS411"/>
  <c r="BR411"/>
  <c r="BQ411"/>
  <c r="BP411"/>
  <c r="BO411"/>
  <c r="BN411"/>
  <c r="BM411"/>
  <c r="BK411"/>
  <c r="BJ411"/>
  <c r="BI411"/>
  <c r="BH411"/>
  <c r="BG411"/>
  <c r="BF411"/>
  <c r="BE411"/>
  <c r="BD411"/>
  <c r="BC411"/>
  <c r="BB411"/>
  <c r="BA411"/>
  <c r="AX411"/>
  <c r="AW411"/>
  <c r="AV411"/>
  <c r="AC411"/>
  <c r="H411"/>
  <c r="BT410"/>
  <c r="BS410"/>
  <c r="BR410"/>
  <c r="BQ410"/>
  <c r="BP410"/>
  <c r="BO410"/>
  <c r="BN410"/>
  <c r="BM410"/>
  <c r="BL410"/>
  <c r="BK410"/>
  <c r="BJ410"/>
  <c r="BI410"/>
  <c r="BH410"/>
  <c r="BG410"/>
  <c r="BF410"/>
  <c r="BE410"/>
  <c r="BD410"/>
  <c r="BC410"/>
  <c r="BB410"/>
  <c r="BA410" s="1"/>
  <c r="AX410"/>
  <c r="AW410"/>
  <c r="AV410"/>
  <c r="AC410"/>
  <c r="H410"/>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s="1"/>
  <c r="AZ408" s="1"/>
  <c r="AX408"/>
  <c r="AW408"/>
  <c r="AV408"/>
  <c r="AC408"/>
  <c r="H408"/>
  <c r="G408" s="1"/>
  <c r="BT407"/>
  <c r="BS407"/>
  <c r="BR407"/>
  <c r="BQ407"/>
  <c r="BP407"/>
  <c r="BO407"/>
  <c r="BN407"/>
  <c r="BM407"/>
  <c r="BL407" s="1"/>
  <c r="BK407"/>
  <c r="BJ407"/>
  <c r="BI407"/>
  <c r="BH407"/>
  <c r="BG407"/>
  <c r="BF407"/>
  <c r="BE407"/>
  <c r="BD407"/>
  <c r="BC407"/>
  <c r="BB407"/>
  <c r="AX407"/>
  <c r="AW407"/>
  <c r="AV407"/>
  <c r="AC407"/>
  <c r="H407"/>
  <c r="G407" s="1"/>
  <c r="BT406"/>
  <c r="BS406"/>
  <c r="BR406"/>
  <c r="BQ406"/>
  <c r="BP406"/>
  <c r="BO406"/>
  <c r="BN406"/>
  <c r="BM406"/>
  <c r="BL406" s="1"/>
  <c r="BK406"/>
  <c r="BJ406"/>
  <c r="BI406"/>
  <c r="BH406"/>
  <c r="BG406"/>
  <c r="BF406"/>
  <c r="BE406"/>
  <c r="BD406"/>
  <c r="BC406"/>
  <c r="BB406"/>
  <c r="AX406"/>
  <c r="AW406"/>
  <c r="AV406"/>
  <c r="AC406"/>
  <c r="H406"/>
  <c r="G406" s="1"/>
  <c r="BT405"/>
  <c r="BS405"/>
  <c r="BR405"/>
  <c r="BQ405"/>
  <c r="BP405"/>
  <c r="BO405"/>
  <c r="BN405"/>
  <c r="BM405"/>
  <c r="BK405"/>
  <c r="BJ405"/>
  <c r="BI405"/>
  <c r="BH405"/>
  <c r="BG405"/>
  <c r="BF405"/>
  <c r="BE405"/>
  <c r="BD405"/>
  <c r="BC405"/>
  <c r="BB405"/>
  <c r="BA405"/>
  <c r="AX405"/>
  <c r="AW405"/>
  <c r="AV405"/>
  <c r="AC405"/>
  <c r="H405"/>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BK403"/>
  <c r="BJ403"/>
  <c r="BI403"/>
  <c r="BH403"/>
  <c r="BG403"/>
  <c r="BF403"/>
  <c r="BE403"/>
  <c r="BD403"/>
  <c r="BC403"/>
  <c r="BB403"/>
  <c r="BA403" s="1"/>
  <c r="AZ403" s="1"/>
  <c r="AX403"/>
  <c r="AW403"/>
  <c r="AV403"/>
  <c r="AC403"/>
  <c r="H403"/>
  <c r="G403" s="1"/>
  <c r="BT402"/>
  <c r="BS402"/>
  <c r="BR402"/>
  <c r="BQ402"/>
  <c r="BP402"/>
  <c r="BO402"/>
  <c r="BN402"/>
  <c r="BM402"/>
  <c r="BK402"/>
  <c r="BJ402"/>
  <c r="BI402"/>
  <c r="BH402"/>
  <c r="BG402"/>
  <c r="BF402"/>
  <c r="BE402"/>
  <c r="BD402"/>
  <c r="BC402"/>
  <c r="BB402"/>
  <c r="BA402"/>
  <c r="AX402"/>
  <c r="AW402"/>
  <c r="AV402"/>
  <c r="AC402"/>
  <c r="H402"/>
  <c r="BT401"/>
  <c r="BS401"/>
  <c r="BR401"/>
  <c r="BQ401"/>
  <c r="BP401"/>
  <c r="BO401"/>
  <c r="BN401"/>
  <c r="BM401"/>
  <c r="BL401"/>
  <c r="BK401"/>
  <c r="BJ401"/>
  <c r="BI401"/>
  <c r="BH401"/>
  <c r="BG401"/>
  <c r="BF401"/>
  <c r="BE401"/>
  <c r="BD401"/>
  <c r="BC401"/>
  <c r="BB401"/>
  <c r="BA401" s="1"/>
  <c r="AX401"/>
  <c r="AW401"/>
  <c r="AV401"/>
  <c r="AC401"/>
  <c r="H40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s="1"/>
  <c r="AZ399" s="1"/>
  <c r="AX399"/>
  <c r="AW399"/>
  <c r="AV399"/>
  <c r="AC399"/>
  <c r="H399"/>
  <c r="G399" s="1"/>
  <c r="BT398"/>
  <c r="BS398"/>
  <c r="BR398"/>
  <c r="BQ398"/>
  <c r="BP398"/>
  <c r="BO398"/>
  <c r="BN398"/>
  <c r="BM398"/>
  <c r="BK398"/>
  <c r="BJ398"/>
  <c r="BI398"/>
  <c r="BH398"/>
  <c r="BG398"/>
  <c r="BF398"/>
  <c r="BE398"/>
  <c r="BD398"/>
  <c r="BC398"/>
  <c r="BB398"/>
  <c r="BA398"/>
  <c r="AX398"/>
  <c r="AW398"/>
  <c r="AV398"/>
  <c r="AC398"/>
  <c r="H398"/>
  <c r="G398"/>
  <c r="BT397"/>
  <c r="BS397"/>
  <c r="BR397"/>
  <c r="BQ397"/>
  <c r="BP397"/>
  <c r="BO397"/>
  <c r="BN397"/>
  <c r="BM397"/>
  <c r="BL397" s="1"/>
  <c r="BK397"/>
  <c r="BJ397"/>
  <c r="BI397"/>
  <c r="BH397"/>
  <c r="BG397"/>
  <c r="BF397"/>
  <c r="BE397"/>
  <c r="BD397"/>
  <c r="BC397"/>
  <c r="BB397"/>
  <c r="BA397" s="1"/>
  <c r="AZ397" s="1"/>
  <c r="AX397"/>
  <c r="AW397"/>
  <c r="AV397"/>
  <c r="AC397"/>
  <c r="H397"/>
  <c r="G397" s="1"/>
  <c r="BT396"/>
  <c r="BS396"/>
  <c r="BR396"/>
  <c r="BQ396"/>
  <c r="BP396"/>
  <c r="BO396"/>
  <c r="BN396"/>
  <c r="BM396"/>
  <c r="BL396" s="1"/>
  <c r="BK396"/>
  <c r="BJ396"/>
  <c r="BI396"/>
  <c r="BH396"/>
  <c r="BG396"/>
  <c r="BF396"/>
  <c r="BE396"/>
  <c r="BD396"/>
  <c r="BC396"/>
  <c r="BB396"/>
  <c r="AX396"/>
  <c r="AW396"/>
  <c r="AV396"/>
  <c r="AC396"/>
  <c r="H396"/>
  <c r="G396" s="1"/>
  <c r="BT395"/>
  <c r="BS395"/>
  <c r="BR395"/>
  <c r="BQ395"/>
  <c r="BP395"/>
  <c r="BO395"/>
  <c r="BN395"/>
  <c r="BM395"/>
  <c r="BK395"/>
  <c r="BJ395"/>
  <c r="BI395"/>
  <c r="BH395"/>
  <c r="BG395"/>
  <c r="BF395"/>
  <c r="BE395"/>
  <c r="BD395"/>
  <c r="BC395"/>
  <c r="BB395"/>
  <c r="BA395"/>
  <c r="AX395"/>
  <c r="AW395"/>
  <c r="AV395"/>
  <c r="AC395"/>
  <c r="H395"/>
  <c r="BT394"/>
  <c r="BS394"/>
  <c r="BR394"/>
  <c r="BQ394"/>
  <c r="BP394"/>
  <c r="BO394"/>
  <c r="BN394"/>
  <c r="BM394"/>
  <c r="BL394"/>
  <c r="BK394"/>
  <c r="BJ394"/>
  <c r="BI394"/>
  <c r="BH394"/>
  <c r="BG394"/>
  <c r="BF394"/>
  <c r="BE394"/>
  <c r="BD394"/>
  <c r="BC394"/>
  <c r="BB394"/>
  <c r="BA394" s="1"/>
  <c r="AX394"/>
  <c r="AW394"/>
  <c r="AV394"/>
  <c r="AC394"/>
  <c r="H394"/>
  <c r="BT393"/>
  <c r="BS393"/>
  <c r="BR393"/>
  <c r="BQ393"/>
  <c r="BP393"/>
  <c r="BO393"/>
  <c r="BN393"/>
  <c r="BM393"/>
  <c r="BL393"/>
  <c r="BK393"/>
  <c r="BJ393"/>
  <c r="BI393"/>
  <c r="BH393"/>
  <c r="BG393"/>
  <c r="BF393"/>
  <c r="BE393"/>
  <c r="BD393"/>
  <c r="BC393"/>
  <c r="BB393"/>
  <c r="BA393" s="1"/>
  <c r="AZ393" s="1"/>
  <c r="AX393"/>
  <c r="AW393"/>
  <c r="AV393"/>
  <c r="AC393"/>
  <c r="H393"/>
  <c r="G393"/>
  <c r="BT392"/>
  <c r="BS392"/>
  <c r="BR392"/>
  <c r="BQ392"/>
  <c r="BP392"/>
  <c r="BO392"/>
  <c r="BN392"/>
  <c r="BM392"/>
  <c r="BL392" s="1"/>
  <c r="BK392"/>
  <c r="BJ392"/>
  <c r="BI392"/>
  <c r="BH392"/>
  <c r="BG392"/>
  <c r="BF392"/>
  <c r="BE392"/>
  <c r="BD392"/>
  <c r="BC392"/>
  <c r="BB392"/>
  <c r="BA392" s="1"/>
  <c r="AZ392" s="1"/>
  <c r="AX392"/>
  <c r="AW392"/>
  <c r="AV392"/>
  <c r="AC392"/>
  <c r="H392"/>
  <c r="G392" s="1"/>
  <c r="BT391"/>
  <c r="BS391"/>
  <c r="BR391"/>
  <c r="BQ391"/>
  <c r="BP391"/>
  <c r="BO391"/>
  <c r="BN391"/>
  <c r="BM391"/>
  <c r="BL391" s="1"/>
  <c r="BK391"/>
  <c r="BJ391"/>
  <c r="BI391"/>
  <c r="BH391"/>
  <c r="BG391"/>
  <c r="BF391"/>
  <c r="BE391"/>
  <c r="BD391"/>
  <c r="BC391"/>
  <c r="BB391"/>
  <c r="AX391"/>
  <c r="AW391"/>
  <c r="AV391"/>
  <c r="AC391"/>
  <c r="H391"/>
  <c r="G391" s="1"/>
  <c r="BT390"/>
  <c r="BS390"/>
  <c r="BR390"/>
  <c r="BQ390"/>
  <c r="BP390"/>
  <c r="BO390"/>
  <c r="BN390"/>
  <c r="BM390"/>
  <c r="BL390" s="1"/>
  <c r="BK390"/>
  <c r="BJ390"/>
  <c r="BI390"/>
  <c r="BH390"/>
  <c r="BG390"/>
  <c r="BF390"/>
  <c r="BE390"/>
  <c r="BD390"/>
  <c r="BC390"/>
  <c r="BB390"/>
  <c r="AX390"/>
  <c r="AW390"/>
  <c r="AV390"/>
  <c r="AC390"/>
  <c r="H390"/>
  <c r="G390" s="1"/>
  <c r="BT389"/>
  <c r="BS389"/>
  <c r="BR389"/>
  <c r="BQ389"/>
  <c r="BP389"/>
  <c r="BO389"/>
  <c r="BN389"/>
  <c r="BM389"/>
  <c r="BL389" s="1"/>
  <c r="BK389"/>
  <c r="BJ389"/>
  <c r="BI389"/>
  <c r="BH389"/>
  <c r="BG389"/>
  <c r="BF389"/>
  <c r="BE389"/>
  <c r="BD389"/>
  <c r="BC389"/>
  <c r="BB389"/>
  <c r="AX389"/>
  <c r="AW389"/>
  <c r="AV389"/>
  <c r="AC389"/>
  <c r="H389"/>
  <c r="G389" s="1"/>
  <c r="H62" i="40"/>
  <c r="I62" s="1"/>
  <c r="C62" s="1"/>
  <c r="H61"/>
  <c r="I61" s="1"/>
  <c r="C61" s="1"/>
  <c r="H60"/>
  <c r="H59"/>
  <c r="H58"/>
  <c r="I58" s="1"/>
  <c r="C58" s="1"/>
  <c r="H57"/>
  <c r="I57" s="1"/>
  <c r="C57" s="1"/>
  <c r="H56"/>
  <c r="I56" s="1"/>
  <c r="C56" s="1"/>
  <c r="H55"/>
  <c r="I55" s="1"/>
  <c r="C55" s="1"/>
  <c r="H54"/>
  <c r="I54" s="1"/>
  <c r="C54" s="1"/>
  <c r="H63" i="39"/>
  <c r="I63" s="1"/>
  <c r="C63" s="1"/>
  <c r="H59"/>
  <c r="I59" s="1"/>
  <c r="C59" s="1"/>
  <c r="H67"/>
  <c r="I67" s="1"/>
  <c r="C67" s="1"/>
  <c r="H66"/>
  <c r="I66"/>
  <c r="C66" s="1"/>
  <c r="H65"/>
  <c r="I65" s="1"/>
  <c r="C65" s="1"/>
  <c r="H64"/>
  <c r="I64" s="1"/>
  <c r="C64" s="1"/>
  <c r="H62"/>
  <c r="I62" s="1"/>
  <c r="C62" s="1"/>
  <c r="H61"/>
  <c r="I61"/>
  <c r="C61" s="1"/>
  <c r="H60"/>
  <c r="I60" s="1"/>
  <c r="C60" s="1"/>
  <c r="L25" i="4"/>
  <c r="C109" i="9"/>
  <c r="C145" i="21"/>
  <c r="K139" s="1"/>
  <c r="J142"/>
  <c r="J140"/>
  <c r="M87"/>
  <c r="L87"/>
  <c r="K87"/>
  <c r="J87"/>
  <c r="I87"/>
  <c r="H87"/>
  <c r="G87"/>
  <c r="F87"/>
  <c r="E87"/>
  <c r="D87"/>
  <c r="G2" i="46"/>
  <c r="X7" s="1"/>
  <c r="G19"/>
  <c r="R26" i="31"/>
  <c r="S26" s="1"/>
  <c r="R27"/>
  <c r="R28"/>
  <c r="S28" s="1"/>
  <c r="R29"/>
  <c r="R30"/>
  <c r="S30"/>
  <c r="R31"/>
  <c r="R32"/>
  <c r="S32" s="1"/>
  <c r="R33"/>
  <c r="R34"/>
  <c r="S34" s="1"/>
  <c r="R35"/>
  <c r="R36"/>
  <c r="S36" s="1"/>
  <c r="R37"/>
  <c r="R38"/>
  <c r="S38"/>
  <c r="R39"/>
  <c r="R40"/>
  <c r="S40" s="1"/>
  <c r="R41"/>
  <c r="R42"/>
  <c r="S42" s="1"/>
  <c r="R43"/>
  <c r="R44"/>
  <c r="S44" s="1"/>
  <c r="R45"/>
  <c r="R46"/>
  <c r="S46"/>
  <c r="R47"/>
  <c r="R48"/>
  <c r="S48" s="1"/>
  <c r="R49"/>
  <c r="R50"/>
  <c r="S50" s="1"/>
  <c r="R51"/>
  <c r="R52"/>
  <c r="S52" s="1"/>
  <c r="R53"/>
  <c r="R54"/>
  <c r="S54"/>
  <c r="R55"/>
  <c r="R56"/>
  <c r="S56" s="1"/>
  <c r="R57"/>
  <c r="R58"/>
  <c r="S58" s="1"/>
  <c r="R59"/>
  <c r="R60"/>
  <c r="S60" s="1"/>
  <c r="R61"/>
  <c r="R62"/>
  <c r="S62"/>
  <c r="R63"/>
  <c r="R64"/>
  <c r="S64" s="1"/>
  <c r="R65"/>
  <c r="R66"/>
  <c r="S66" s="1"/>
  <c r="R67"/>
  <c r="R68"/>
  <c r="S68" s="1"/>
  <c r="R69"/>
  <c r="R70"/>
  <c r="S70"/>
  <c r="R71"/>
  <c r="R72"/>
  <c r="S72" s="1"/>
  <c r="R73"/>
  <c r="R74"/>
  <c r="S74" s="1"/>
  <c r="R75"/>
  <c r="R76"/>
  <c r="S76" s="1"/>
  <c r="R77"/>
  <c r="R78"/>
  <c r="S78"/>
  <c r="R79"/>
  <c r="R80"/>
  <c r="S80" s="1"/>
  <c r="R81"/>
  <c r="R82"/>
  <c r="S82" s="1"/>
  <c r="R83"/>
  <c r="R84"/>
  <c r="S84" s="1"/>
  <c r="R85"/>
  <c r="R86"/>
  <c r="S86"/>
  <c r="R87"/>
  <c r="R88"/>
  <c r="S88" s="1"/>
  <c r="R89"/>
  <c r="R90"/>
  <c r="S90" s="1"/>
  <c r="R91"/>
  <c r="R92"/>
  <c r="S92" s="1"/>
  <c r="R93"/>
  <c r="R94"/>
  <c r="S94"/>
  <c r="R95"/>
  <c r="R96"/>
  <c r="S96" s="1"/>
  <c r="R97"/>
  <c r="R98"/>
  <c r="S98" s="1"/>
  <c r="R99"/>
  <c r="R100"/>
  <c r="S100" s="1"/>
  <c r="R101"/>
  <c r="R102"/>
  <c r="S102"/>
  <c r="R103"/>
  <c r="R104"/>
  <c r="S104" s="1"/>
  <c r="R105"/>
  <c r="R106"/>
  <c r="S106" s="1"/>
  <c r="R107"/>
  <c r="R108"/>
  <c r="S108" s="1"/>
  <c r="R109"/>
  <c r="R110"/>
  <c r="S110"/>
  <c r="R111"/>
  <c r="R112"/>
  <c r="S112" s="1"/>
  <c r="R113"/>
  <c r="R114"/>
  <c r="S114" s="1"/>
  <c r="R115"/>
  <c r="R116"/>
  <c r="S116" s="1"/>
  <c r="R117"/>
  <c r="R118"/>
  <c r="S118"/>
  <c r="R119"/>
  <c r="R120"/>
  <c r="S120" s="1"/>
  <c r="R121"/>
  <c r="R122"/>
  <c r="S122" s="1"/>
  <c r="R123"/>
  <c r="R124"/>
  <c r="S124" s="1"/>
  <c r="R125"/>
  <c r="R126"/>
  <c r="S126"/>
  <c r="R127"/>
  <c r="R128"/>
  <c r="S128" s="1"/>
  <c r="R129"/>
  <c r="R130"/>
  <c r="S130" s="1"/>
  <c r="R131"/>
  <c r="R132"/>
  <c r="S132" s="1"/>
  <c r="R133"/>
  <c r="R134"/>
  <c r="S134"/>
  <c r="R135"/>
  <c r="R136"/>
  <c r="S136" s="1"/>
  <c r="R137"/>
  <c r="R138"/>
  <c r="S138" s="1"/>
  <c r="R139"/>
  <c r="R140"/>
  <c r="S140" s="1"/>
  <c r="R141"/>
  <c r="R142"/>
  <c r="S142"/>
  <c r="R143"/>
  <c r="R144"/>
  <c r="S144" s="1"/>
  <c r="R145"/>
  <c r="R146"/>
  <c r="S146" s="1"/>
  <c r="R147"/>
  <c r="R148"/>
  <c r="S148" s="1"/>
  <c r="R149"/>
  <c r="R150"/>
  <c r="S150"/>
  <c r="R151"/>
  <c r="R152"/>
  <c r="S152" s="1"/>
  <c r="R153"/>
  <c r="R154"/>
  <c r="S154" s="1"/>
  <c r="R155"/>
  <c r="R156"/>
  <c r="S156" s="1"/>
  <c r="R157"/>
  <c r="R158"/>
  <c r="S158"/>
  <c r="R159"/>
  <c r="R160"/>
  <c r="S160" s="1"/>
  <c r="R161"/>
  <c r="R162"/>
  <c r="S162" s="1"/>
  <c r="R163"/>
  <c r="R164"/>
  <c r="S164" s="1"/>
  <c r="R165"/>
  <c r="R166"/>
  <c r="S166"/>
  <c r="R167"/>
  <c r="R168"/>
  <c r="S168" s="1"/>
  <c r="R169"/>
  <c r="R170"/>
  <c r="S170" s="1"/>
  <c r="R171"/>
  <c r="R172"/>
  <c r="S172" s="1"/>
  <c r="R173"/>
  <c r="R174"/>
  <c r="S174"/>
  <c r="R175"/>
  <c r="R176"/>
  <c r="S176" s="1"/>
  <c r="R177"/>
  <c r="R178"/>
  <c r="S178" s="1"/>
  <c r="R179"/>
  <c r="R180"/>
  <c r="S180" s="1"/>
  <c r="R181"/>
  <c r="R182"/>
  <c r="S182"/>
  <c r="R183"/>
  <c r="R184"/>
  <c r="S184" s="1"/>
  <c r="R185"/>
  <c r="R186"/>
  <c r="S186" s="1"/>
  <c r="R187"/>
  <c r="R188"/>
  <c r="S188" s="1"/>
  <c r="R189"/>
  <c r="R190"/>
  <c r="S190"/>
  <c r="R191"/>
  <c r="R192"/>
  <c r="S192" s="1"/>
  <c r="R193"/>
  <c r="R194"/>
  <c r="S194" s="1"/>
  <c r="R195"/>
  <c r="R196"/>
  <c r="S196" s="1"/>
  <c r="R197"/>
  <c r="R198"/>
  <c r="S198"/>
  <c r="R199"/>
  <c r="R200"/>
  <c r="S200" s="1"/>
  <c r="R201"/>
  <c r="R202"/>
  <c r="S202" s="1"/>
  <c r="R203"/>
  <c r="R204"/>
  <c r="S204" s="1"/>
  <c r="R205"/>
  <c r="R206"/>
  <c r="S206"/>
  <c r="R207"/>
  <c r="R208"/>
  <c r="S208" s="1"/>
  <c r="R209"/>
  <c r="R210"/>
  <c r="S210" s="1"/>
  <c r="R211"/>
  <c r="R212"/>
  <c r="S212" s="1"/>
  <c r="R213"/>
  <c r="R214"/>
  <c r="S214"/>
  <c r="R215"/>
  <c r="R216"/>
  <c r="S216" s="1"/>
  <c r="R217"/>
  <c r="R218"/>
  <c r="S218" s="1"/>
  <c r="R219"/>
  <c r="R220"/>
  <c r="S220" s="1"/>
  <c r="R221"/>
  <c r="R222"/>
  <c r="S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c r="R433"/>
  <c r="R434"/>
  <c r="S434" s="1"/>
  <c r="R435"/>
  <c r="R436"/>
  <c r="S436" s="1"/>
  <c r="R437"/>
  <c r="R438"/>
  <c r="S438" s="1"/>
  <c r="R439"/>
  <c r="R440"/>
  <c r="S440"/>
  <c r="R441"/>
  <c r="R442"/>
  <c r="S442" s="1"/>
  <c r="R443"/>
  <c r="R444"/>
  <c r="S444" s="1"/>
  <c r="R445"/>
  <c r="R446"/>
  <c r="S446" s="1"/>
  <c r="R447"/>
  <c r="R448"/>
  <c r="S448"/>
  <c r="R449"/>
  <c r="R450"/>
  <c r="S450" s="1"/>
  <c r="R451"/>
  <c r="R452"/>
  <c r="S452" s="1"/>
  <c r="R453"/>
  <c r="R454"/>
  <c r="S454" s="1"/>
  <c r="R455"/>
  <c r="R456"/>
  <c r="S456"/>
  <c r="R457"/>
  <c r="R458"/>
  <c r="S458" s="1"/>
  <c r="R459"/>
  <c r="R460"/>
  <c r="S460" s="1"/>
  <c r="R461"/>
  <c r="R462"/>
  <c r="S462" s="1"/>
  <c r="R463"/>
  <c r="R464"/>
  <c r="S464"/>
  <c r="R465"/>
  <c r="R466"/>
  <c r="S466" s="1"/>
  <c r="R467"/>
  <c r="R468"/>
  <c r="S468" s="1"/>
  <c r="R469"/>
  <c r="R470"/>
  <c r="S470" s="1"/>
  <c r="R471"/>
  <c r="R472"/>
  <c r="S472"/>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c r="R503"/>
  <c r="R504"/>
  <c r="S504" s="1"/>
  <c r="R505"/>
  <c r="R506"/>
  <c r="S506" s="1"/>
  <c r="R507"/>
  <c r="R508"/>
  <c r="S508" s="1"/>
  <c r="R509"/>
  <c r="R510"/>
  <c r="S510"/>
  <c r="R511"/>
  <c r="R512"/>
  <c r="S512" s="1"/>
  <c r="R513"/>
  <c r="R514"/>
  <c r="S514" s="1"/>
  <c r="R515"/>
  <c r="R516"/>
  <c r="S516" s="1"/>
  <c r="R517"/>
  <c r="R518"/>
  <c r="S518"/>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c r="L24" i="4"/>
  <c r="A2" i="55" s="1"/>
  <c r="B55" i="63" s="1"/>
  <c r="N3" i="54"/>
  <c r="B42" i="63"/>
  <c r="A2" i="9"/>
  <c r="T16" i="4"/>
  <c r="D14"/>
  <c r="M4" i="9"/>
  <c r="L4"/>
  <c r="G36" i="4"/>
  <c r="K2" i="54"/>
  <c r="B23" i="63" s="1"/>
  <c r="A3" i="51"/>
  <c r="R41" i="4"/>
  <c r="Q41"/>
  <c r="P41"/>
  <c r="O41"/>
  <c r="N41"/>
  <c r="M41"/>
  <c r="L41"/>
  <c r="K40"/>
  <c r="T40" s="1"/>
  <c r="F23"/>
  <c r="D19"/>
  <c r="I19"/>
  <c r="H19"/>
  <c r="G19"/>
  <c r="F9" i="1"/>
  <c r="F19" i="4"/>
  <c r="F7" i="1" s="1"/>
  <c r="I20" i="72" s="1"/>
  <c r="F8" i="1"/>
  <c r="E19" i="4"/>
  <c r="B2" i="52"/>
  <c r="B15" s="1"/>
  <c r="I2" i="46"/>
  <c r="N12"/>
  <c r="A7"/>
  <c r="F41" i="4"/>
  <c r="J52" i="40" s="1"/>
  <c r="H61" i="49"/>
  <c r="H39" i="46"/>
  <c r="H38"/>
  <c r="H37"/>
  <c r="H36"/>
  <c r="H35"/>
  <c r="H34"/>
  <c r="H33"/>
  <c r="J20"/>
  <c r="C18"/>
  <c r="F15"/>
  <c r="E15"/>
  <c r="D15"/>
  <c r="C15"/>
  <c r="C10"/>
  <c r="C11" s="1"/>
  <c r="C9"/>
  <c r="E19" i="6"/>
  <c r="E32"/>
  <c r="E20"/>
  <c r="C9" i="75" s="1"/>
  <c r="E21" i="6"/>
  <c r="K8" i="1"/>
  <c r="M8" s="1"/>
  <c r="E22" i="6"/>
  <c r="E23"/>
  <c r="E24"/>
  <c r="E25"/>
  <c r="E26"/>
  <c r="D38" i="4"/>
  <c r="C39"/>
  <c r="C35"/>
  <c r="E16" i="12"/>
  <c r="F14"/>
  <c r="F15"/>
  <c r="F17"/>
  <c r="E19"/>
  <c r="E21"/>
  <c r="E22"/>
  <c r="F23"/>
  <c r="F24"/>
  <c r="F25"/>
  <c r="C43" i="9"/>
  <c r="K47" s="1"/>
  <c r="B65" i="63"/>
  <c r="I73" i="9"/>
  <c r="F73"/>
  <c r="P73" s="1"/>
  <c r="D107"/>
  <c r="C107" s="1"/>
  <c r="C105" s="1"/>
  <c r="C110" s="1"/>
  <c r="C17"/>
  <c r="D17"/>
  <c r="C18" s="1"/>
  <c r="D5" i="77" s="1"/>
  <c r="F17" i="44"/>
  <c r="F19"/>
  <c r="F22"/>
  <c r="F25"/>
  <c r="D25" s="1"/>
  <c r="F23"/>
  <c r="E16" i="43"/>
  <c r="F14"/>
  <c r="F15"/>
  <c r="F17"/>
  <c r="F19"/>
  <c r="F20"/>
  <c r="F10" i="40"/>
  <c r="AA10"/>
  <c r="F11"/>
  <c r="AA11" s="1"/>
  <c r="C21"/>
  <c r="C32"/>
  <c r="F36"/>
  <c r="AA36" s="1"/>
  <c r="H10"/>
  <c r="AB10" s="1"/>
  <c r="H11"/>
  <c r="AB11" s="1"/>
  <c r="H36"/>
  <c r="AB36" s="1"/>
  <c r="J10"/>
  <c r="AC10" s="1"/>
  <c r="J11"/>
  <c r="AC11" s="1"/>
  <c r="J36"/>
  <c r="AC36" s="1"/>
  <c r="F10" i="39"/>
  <c r="AA10" s="1"/>
  <c r="F11"/>
  <c r="AA11" s="1"/>
  <c r="C25"/>
  <c r="F36"/>
  <c r="AA36" s="1"/>
  <c r="F40"/>
  <c r="AA40" s="1"/>
  <c r="F42"/>
  <c r="AA42" s="1"/>
  <c r="H10"/>
  <c r="AB10" s="1"/>
  <c r="H11"/>
  <c r="AB11" s="1"/>
  <c r="H36"/>
  <c r="AB36" s="1"/>
  <c r="H40"/>
  <c r="AB40" s="1"/>
  <c r="H42"/>
  <c r="AB42" s="1"/>
  <c r="J10"/>
  <c r="AC10" s="1"/>
  <c r="J11"/>
  <c r="AC11" s="1"/>
  <c r="J36"/>
  <c r="AC36" s="1"/>
  <c r="J40"/>
  <c r="AC40" s="1"/>
  <c r="J42"/>
  <c r="AC42" s="1"/>
  <c r="F35" i="44"/>
  <c r="M21"/>
  <c r="F20"/>
  <c r="C6" i="43"/>
  <c r="K9"/>
  <c r="J9"/>
  <c r="I9"/>
  <c r="H9"/>
  <c r="G9"/>
  <c r="F9"/>
  <c r="E9"/>
  <c r="D9"/>
  <c r="C9"/>
  <c r="BC13" i="3"/>
  <c r="BB13"/>
  <c r="BR13"/>
  <c r="B24" i="1"/>
  <c r="E77" i="9"/>
  <c r="O75"/>
  <c r="L75"/>
  <c r="F77"/>
  <c r="P75" s="1"/>
  <c r="O74"/>
  <c r="O73"/>
  <c r="E66"/>
  <c r="O72" s="1"/>
  <c r="F74"/>
  <c r="P74" s="1"/>
  <c r="N67"/>
  <c r="K44"/>
  <c r="K43"/>
  <c r="B31" i="1"/>
  <c r="E10" i="11" s="1"/>
  <c r="B22" i="1"/>
  <c r="B23"/>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30" i="40"/>
  <c r="G13" i="1"/>
  <c r="G12"/>
  <c r="D95" i="9"/>
  <c r="C95"/>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G10"/>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I48" i="37"/>
  <c r="J48" s="1"/>
  <c r="G48"/>
  <c r="H48" s="1"/>
  <c r="E48"/>
  <c r="F48" s="1"/>
  <c r="I55" i="34"/>
  <c r="J55" s="1"/>
  <c r="G55"/>
  <c r="H55" s="1"/>
  <c r="E55"/>
  <c r="F55" s="1"/>
  <c r="I50" i="40"/>
  <c r="J50" s="1"/>
  <c r="G50"/>
  <c r="H50" s="1"/>
  <c r="E50"/>
  <c r="F50" s="1"/>
  <c r="I55" i="39"/>
  <c r="J55" s="1"/>
  <c r="G55"/>
  <c r="H55" s="1"/>
  <c r="E55"/>
  <c r="F55" s="1"/>
  <c r="I42" i="36"/>
  <c r="J42" s="1"/>
  <c r="G42"/>
  <c r="H42" s="1"/>
  <c r="E42"/>
  <c r="F42" s="1"/>
  <c r="I44" i="35"/>
  <c r="J44" s="1"/>
  <c r="G44"/>
  <c r="H44" s="1"/>
  <c r="E44"/>
  <c r="F44" s="1"/>
  <c r="I54" i="33"/>
  <c r="J54" s="1"/>
  <c r="G54"/>
  <c r="E54"/>
  <c r="F54" s="1"/>
  <c r="H14" i="3"/>
  <c r="AC14"/>
  <c r="H15"/>
  <c r="AC15"/>
  <c r="G15"/>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s="1"/>
  <c r="AC481"/>
  <c r="BB481"/>
  <c r="BC481"/>
  <c r="BD481"/>
  <c r="BE481"/>
  <c r="BF481"/>
  <c r="BG481"/>
  <c r="BH481"/>
  <c r="BI481"/>
  <c r="BJ481"/>
  <c r="BK481"/>
  <c r="BM481"/>
  <c r="BN481"/>
  <c r="BO481"/>
  <c r="BP481"/>
  <c r="BQ481"/>
  <c r="BR481"/>
  <c r="BS481"/>
  <c r="BT481"/>
  <c r="H482"/>
  <c r="G482" s="1"/>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s="1"/>
  <c r="AC489"/>
  <c r="BB489"/>
  <c r="BC489"/>
  <c r="BD489"/>
  <c r="BE489"/>
  <c r="BF489"/>
  <c r="BG489"/>
  <c r="BH489"/>
  <c r="BI489"/>
  <c r="BJ489"/>
  <c r="BK489"/>
  <c r="BM489"/>
  <c r="BN489"/>
  <c r="BO489"/>
  <c r="BP489"/>
  <c r="BQ489"/>
  <c r="BR489"/>
  <c r="BS489"/>
  <c r="BT489"/>
  <c r="H490"/>
  <c r="G490" s="1"/>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s="1"/>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s="1"/>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s="1"/>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s="1"/>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s="1"/>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s="1"/>
  <c r="AC524"/>
  <c r="BB524"/>
  <c r="BC524"/>
  <c r="BD524"/>
  <c r="BE524"/>
  <c r="BF524"/>
  <c r="BG524"/>
  <c r="BH524"/>
  <c r="BI524"/>
  <c r="BJ524"/>
  <c r="BK524"/>
  <c r="BM524"/>
  <c r="BN524"/>
  <c r="BO524"/>
  <c r="BP524"/>
  <c r="BR524"/>
  <c r="BS524"/>
  <c r="BT524"/>
  <c r="H525"/>
  <c r="AC525"/>
  <c r="G525" s="1"/>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s="1"/>
  <c r="BB532"/>
  <c r="BC532"/>
  <c r="BD532"/>
  <c r="BE532"/>
  <c r="BF532"/>
  <c r="BG532"/>
  <c r="BH532"/>
  <c r="BI532"/>
  <c r="BJ532"/>
  <c r="BK532"/>
  <c r="BM532"/>
  <c r="BN532"/>
  <c r="BO532"/>
  <c r="BP532"/>
  <c r="BR532"/>
  <c r="BS532"/>
  <c r="BT532"/>
  <c r="H533"/>
  <c r="AC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s="1"/>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s="1"/>
  <c r="AC540"/>
  <c r="BB540"/>
  <c r="BC540"/>
  <c r="BD540"/>
  <c r="BE540"/>
  <c r="BF540"/>
  <c r="BG540"/>
  <c r="BH540"/>
  <c r="BI540"/>
  <c r="BJ540"/>
  <c r="BK540"/>
  <c r="BM540"/>
  <c r="BN540"/>
  <c r="BO540"/>
  <c r="BP540"/>
  <c r="BR540"/>
  <c r="BS540"/>
  <c r="BT540"/>
  <c r="H541"/>
  <c r="AC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s="1"/>
  <c r="BB547"/>
  <c r="BC547"/>
  <c r="BD547"/>
  <c r="BE547"/>
  <c r="BF547"/>
  <c r="BG547"/>
  <c r="BH547"/>
  <c r="BI547"/>
  <c r="BJ547"/>
  <c r="BK547"/>
  <c r="BM547"/>
  <c r="BN547"/>
  <c r="BO547"/>
  <c r="BP547"/>
  <c r="BQ547"/>
  <c r="BR547"/>
  <c r="BS547"/>
  <c r="BT547"/>
  <c r="H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s="1"/>
  <c r="BB551"/>
  <c r="BC551"/>
  <c r="BD551"/>
  <c r="BE551"/>
  <c r="BF551"/>
  <c r="BG551"/>
  <c r="BH551"/>
  <c r="BI551"/>
  <c r="BJ551"/>
  <c r="BK551"/>
  <c r="BM551"/>
  <c r="BN551"/>
  <c r="BO551"/>
  <c r="BP551"/>
  <c r="BQ551"/>
  <c r="BR551"/>
  <c r="BS551"/>
  <c r="BT551"/>
  <c r="H552"/>
  <c r="AC552"/>
  <c r="G552" s="1"/>
  <c r="BB552"/>
  <c r="BC552"/>
  <c r="BD552"/>
  <c r="BE552"/>
  <c r="BF552"/>
  <c r="BG552"/>
  <c r="BH552"/>
  <c r="BI552"/>
  <c r="BJ552"/>
  <c r="BK552"/>
  <c r="BM552"/>
  <c r="BN552"/>
  <c r="BO552"/>
  <c r="BP552"/>
  <c r="BR552"/>
  <c r="BS552"/>
  <c r="BT552"/>
  <c r="H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s="1"/>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s="1"/>
  <c r="BB563"/>
  <c r="BC563"/>
  <c r="BD563"/>
  <c r="BE563"/>
  <c r="BF563"/>
  <c r="BG563"/>
  <c r="BH563"/>
  <c r="BI563"/>
  <c r="BJ563"/>
  <c r="BK563"/>
  <c r="BM563"/>
  <c r="BN563"/>
  <c r="BO563"/>
  <c r="BP563"/>
  <c r="BQ563"/>
  <c r="BR563"/>
  <c r="BS563"/>
  <c r="BT563"/>
  <c r="H564"/>
  <c r="G564" s="1"/>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s="1"/>
  <c r="BB567"/>
  <c r="BC567"/>
  <c r="BD567"/>
  <c r="BE567"/>
  <c r="BF567"/>
  <c r="BG567"/>
  <c r="BH567"/>
  <c r="BI567"/>
  <c r="BJ567"/>
  <c r="BK567"/>
  <c r="BM567"/>
  <c r="BN567"/>
  <c r="BO567"/>
  <c r="BP567"/>
  <c r="BQ567"/>
  <c r="BR567"/>
  <c r="BS567"/>
  <c r="BT567"/>
  <c r="H568"/>
  <c r="AC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s="1"/>
  <c r="J30" i="36"/>
  <c r="H30"/>
  <c r="U30" s="1"/>
  <c r="F30"/>
  <c r="AA30" s="1"/>
  <c r="C26" i="35"/>
  <c r="C79" s="1"/>
  <c r="J31"/>
  <c r="AC31" s="1"/>
  <c r="H31"/>
  <c r="F31"/>
  <c r="AA31" s="1"/>
  <c r="D87"/>
  <c r="E87" s="1"/>
  <c r="F87"/>
  <c r="G87" s="1"/>
  <c r="H87" s="1"/>
  <c r="I87" s="1"/>
  <c r="J87" s="1"/>
  <c r="K87" s="1"/>
  <c r="L87" s="1"/>
  <c r="M87" s="1"/>
  <c r="H34" i="37"/>
  <c r="AB34" s="1"/>
  <c r="D101"/>
  <c r="F34"/>
  <c r="D99"/>
  <c r="E99" s="1"/>
  <c r="H42" i="34"/>
  <c r="J42"/>
  <c r="F42"/>
  <c r="J38"/>
  <c r="D114"/>
  <c r="F38"/>
  <c r="D112"/>
  <c r="E112" s="1"/>
  <c r="F112" s="1"/>
  <c r="F40" i="33"/>
  <c r="AA40" s="1"/>
  <c r="J41"/>
  <c r="AC41" s="1"/>
  <c r="D113"/>
  <c r="D111"/>
  <c r="E111" s="1"/>
  <c r="F111" s="1"/>
  <c r="S515" i="31"/>
  <c r="S517"/>
  <c r="S519"/>
  <c r="S521"/>
  <c r="S523"/>
  <c r="F41" i="21"/>
  <c r="J41"/>
  <c r="AC41" s="1"/>
  <c r="H41"/>
  <c r="U41" s="1"/>
  <c r="D83" i="39"/>
  <c r="E83" s="1"/>
  <c r="F83" s="1"/>
  <c r="G83" s="1"/>
  <c r="H83" s="1"/>
  <c r="I83" s="1"/>
  <c r="J83" s="1"/>
  <c r="K83" s="1"/>
  <c r="L83" s="1"/>
  <c r="M83" s="1"/>
  <c r="D78" i="40"/>
  <c r="F13"/>
  <c r="S13" s="1"/>
  <c r="B122"/>
  <c r="F42" s="1"/>
  <c r="AA42" s="1"/>
  <c r="B120"/>
  <c r="B118"/>
  <c r="F40" s="1"/>
  <c r="AA40" s="1"/>
  <c r="D117"/>
  <c r="E117"/>
  <c r="F117" s="1"/>
  <c r="G117" s="1"/>
  <c r="H117" s="1"/>
  <c r="I117" s="1"/>
  <c r="J117" s="1"/>
  <c r="K117" s="1"/>
  <c r="L117" s="1"/>
  <c r="M117" s="1"/>
  <c r="D115"/>
  <c r="J38"/>
  <c r="AC38" s="1"/>
  <c r="E115"/>
  <c r="F115" s="1"/>
  <c r="G115" s="1"/>
  <c r="H115" s="1"/>
  <c r="I115" s="1"/>
  <c r="J115" s="1"/>
  <c r="K115" s="1"/>
  <c r="L115" s="1"/>
  <c r="M115" s="1"/>
  <c r="H38"/>
  <c r="AB38" s="1"/>
  <c r="D113"/>
  <c r="E113" s="1"/>
  <c r="F113" s="1"/>
  <c r="M109"/>
  <c r="L109"/>
  <c r="K109"/>
  <c r="J109"/>
  <c r="I109"/>
  <c r="H109"/>
  <c r="G109"/>
  <c r="F109"/>
  <c r="E109"/>
  <c r="D109"/>
  <c r="C109"/>
  <c r="B107"/>
  <c r="B105"/>
  <c r="F34" s="1"/>
  <c r="AA34" s="1"/>
  <c r="B103"/>
  <c r="D102"/>
  <c r="E102" s="1"/>
  <c r="F102" s="1"/>
  <c r="G102" s="1"/>
  <c r="H102" s="1"/>
  <c r="I102" s="1"/>
  <c r="J102" s="1"/>
  <c r="K102" s="1"/>
  <c r="L102" s="1"/>
  <c r="M102" s="1"/>
  <c r="D100"/>
  <c r="E100" s="1"/>
  <c r="D98"/>
  <c r="E98" s="1"/>
  <c r="B97"/>
  <c r="D94"/>
  <c r="D92"/>
  <c r="D90"/>
  <c r="H21"/>
  <c r="AB21" s="1"/>
  <c r="D88"/>
  <c r="E88" s="1"/>
  <c r="D86"/>
  <c r="E86" s="1"/>
  <c r="J17"/>
  <c r="B83"/>
  <c r="F16"/>
  <c r="AA16" s="1"/>
  <c r="B81"/>
  <c r="B79"/>
  <c r="F14" s="1"/>
  <c r="AA14" s="1"/>
  <c r="M76"/>
  <c r="L76"/>
  <c r="K76"/>
  <c r="J76"/>
  <c r="I76"/>
  <c r="H76"/>
  <c r="G76"/>
  <c r="F76"/>
  <c r="E76"/>
  <c r="D76"/>
  <c r="C76"/>
  <c r="P45"/>
  <c r="P44"/>
  <c r="V43"/>
  <c r="T43"/>
  <c r="R43"/>
  <c r="P43"/>
  <c r="Q42"/>
  <c r="Z42"/>
  <c r="Q41"/>
  <c r="Z41"/>
  <c r="Q40"/>
  <c r="Z40"/>
  <c r="Q39"/>
  <c r="Z39"/>
  <c r="Q38"/>
  <c r="Z38"/>
  <c r="Q37"/>
  <c r="Z37"/>
  <c r="Q36"/>
  <c r="Z36"/>
  <c r="Q35"/>
  <c r="Z35"/>
  <c r="Q34"/>
  <c r="Z34"/>
  <c r="Q33"/>
  <c r="Z33"/>
  <c r="Q32"/>
  <c r="Z32"/>
  <c r="Q30"/>
  <c r="Z30"/>
  <c r="Q29"/>
  <c r="Z29"/>
  <c r="Q25"/>
  <c r="Z25"/>
  <c r="Q23"/>
  <c r="Z23"/>
  <c r="Q21"/>
  <c r="Z21"/>
  <c r="Q19"/>
  <c r="Z19"/>
  <c r="Q17"/>
  <c r="Z17"/>
  <c r="Q16"/>
  <c r="Z16"/>
  <c r="Q15"/>
  <c r="Z15"/>
  <c r="Q14"/>
  <c r="Z14"/>
  <c r="Q13"/>
  <c r="Z13"/>
  <c r="Q12"/>
  <c r="Z12"/>
  <c r="Q11"/>
  <c r="Z11"/>
  <c r="C9"/>
  <c r="C65"/>
  <c r="D126" i="39"/>
  <c r="E126"/>
  <c r="F126" s="1"/>
  <c r="G126" s="1"/>
  <c r="H126" s="1"/>
  <c r="I126" s="1"/>
  <c r="J126" s="1"/>
  <c r="K126" s="1"/>
  <c r="L126" s="1"/>
  <c r="M126" s="1"/>
  <c r="D122"/>
  <c r="E122"/>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s="1"/>
  <c r="Q42"/>
  <c r="Z42" s="1"/>
  <c r="Q43"/>
  <c r="Q44"/>
  <c r="Z44" s="1"/>
  <c r="Q45"/>
  <c r="Z45" s="1"/>
  <c r="Q46"/>
  <c r="Z46" s="1"/>
  <c r="Q47"/>
  <c r="Z47" s="1"/>
  <c r="Q40"/>
  <c r="Z40" s="1"/>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s="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s="1"/>
  <c r="Q21"/>
  <c r="Z21" s="1"/>
  <c r="Q19"/>
  <c r="Z19" s="1"/>
  <c r="Q17"/>
  <c r="Z17" s="1"/>
  <c r="Q16"/>
  <c r="Z16" s="1"/>
  <c r="Q15"/>
  <c r="Z15" s="1"/>
  <c r="Q14"/>
  <c r="Z14" s="1"/>
  <c r="Q13"/>
  <c r="Z13" s="1"/>
  <c r="Q12"/>
  <c r="Z12" s="1"/>
  <c r="Q11"/>
  <c r="Z11" s="1"/>
  <c r="U10"/>
  <c r="C9"/>
  <c r="C70" s="1"/>
  <c r="C20" i="36"/>
  <c r="C20" i="35"/>
  <c r="C16" i="36"/>
  <c r="C16" i="35"/>
  <c r="C14" i="36"/>
  <c r="C14" i="35"/>
  <c r="B80" i="37"/>
  <c r="H25" s="1"/>
  <c r="U25" s="1"/>
  <c r="B110"/>
  <c r="J39" s="1"/>
  <c r="AC39" s="1"/>
  <c r="B108"/>
  <c r="C23"/>
  <c r="C19"/>
  <c r="C17"/>
  <c r="C15"/>
  <c r="B112"/>
  <c r="D107"/>
  <c r="E107"/>
  <c r="D105"/>
  <c r="E105"/>
  <c r="H36"/>
  <c r="D103"/>
  <c r="J35"/>
  <c r="AC35"/>
  <c r="F97"/>
  <c r="E97"/>
  <c r="D97"/>
  <c r="C97"/>
  <c r="D96"/>
  <c r="E96"/>
  <c r="D94"/>
  <c r="M90"/>
  <c r="L90"/>
  <c r="K90"/>
  <c r="J90"/>
  <c r="I90"/>
  <c r="H90"/>
  <c r="G90"/>
  <c r="F90"/>
  <c r="E90"/>
  <c r="D90"/>
  <c r="C90"/>
  <c r="D89"/>
  <c r="B86"/>
  <c r="B84"/>
  <c r="H27"/>
  <c r="U27" s="1"/>
  <c r="B82"/>
  <c r="J26" s="1"/>
  <c r="D79"/>
  <c r="E79" s="1"/>
  <c r="F79" s="1"/>
  <c r="G79" s="1"/>
  <c r="D75"/>
  <c r="E75" s="1"/>
  <c r="F75" s="1"/>
  <c r="D73"/>
  <c r="E73" s="1"/>
  <c r="F73" s="1"/>
  <c r="G73" s="1"/>
  <c r="D71"/>
  <c r="E71" s="1"/>
  <c r="F71" s="1"/>
  <c r="G71" s="1"/>
  <c r="F15"/>
  <c r="AA15" s="1"/>
  <c r="B68"/>
  <c r="H14" s="1"/>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s="1"/>
  <c r="Q39"/>
  <c r="Z39" s="1"/>
  <c r="Q38"/>
  <c r="Z38" s="1"/>
  <c r="Q37"/>
  <c r="Z37" s="1"/>
  <c r="Q36"/>
  <c r="Z36" s="1"/>
  <c r="Q35"/>
  <c r="Z35" s="1"/>
  <c r="Q34"/>
  <c r="Z34" s="1"/>
  <c r="Q33"/>
  <c r="Z33" s="1"/>
  <c r="Q32"/>
  <c r="Z32" s="1"/>
  <c r="Q31"/>
  <c r="Z31" s="1"/>
  <c r="J31"/>
  <c r="Q30"/>
  <c r="Z30" s="1"/>
  <c r="J30"/>
  <c r="W30" s="1"/>
  <c r="H30"/>
  <c r="AB30" s="1"/>
  <c r="F30"/>
  <c r="Q29"/>
  <c r="Z29"/>
  <c r="H29"/>
  <c r="U29"/>
  <c r="Q28"/>
  <c r="Z28"/>
  <c r="Q27"/>
  <c r="Z27"/>
  <c r="Q26"/>
  <c r="Z26"/>
  <c r="H26"/>
  <c r="AB26" s="1"/>
  <c r="F26"/>
  <c r="AA26" s="1"/>
  <c r="Q25"/>
  <c r="Z25" s="1"/>
  <c r="J25"/>
  <c r="W25" s="1"/>
  <c r="Q23"/>
  <c r="Z23" s="1"/>
  <c r="Q19"/>
  <c r="Z19" s="1"/>
  <c r="Q17"/>
  <c r="Z17" s="1"/>
  <c r="Q15"/>
  <c r="Z15" s="1"/>
  <c r="Q14"/>
  <c r="Z14" s="1"/>
  <c r="Q13"/>
  <c r="Z13" s="1"/>
  <c r="Q12"/>
  <c r="Z12" s="1"/>
  <c r="Q11"/>
  <c r="Z11" s="1"/>
  <c r="Q10"/>
  <c r="Z10" s="1"/>
  <c r="F10"/>
  <c r="AA10" s="1"/>
  <c r="Q9"/>
  <c r="Z9" s="1"/>
  <c r="J8"/>
  <c r="W8" s="1"/>
  <c r="H8"/>
  <c r="AB8" s="1"/>
  <c r="F8"/>
  <c r="C7"/>
  <c r="J31" i="36"/>
  <c r="W31" s="1"/>
  <c r="H31"/>
  <c r="AB31" s="1"/>
  <c r="F31"/>
  <c r="S31" s="1"/>
  <c r="M86"/>
  <c r="L86"/>
  <c r="K86"/>
  <c r="J86"/>
  <c r="I86"/>
  <c r="H86"/>
  <c r="G86"/>
  <c r="F86"/>
  <c r="E86"/>
  <c r="D86"/>
  <c r="C86"/>
  <c r="D85"/>
  <c r="H29"/>
  <c r="AB29" s="1"/>
  <c r="D81"/>
  <c r="E81" s="1"/>
  <c r="F81" s="1"/>
  <c r="G81" s="1"/>
  <c r="H81" s="1"/>
  <c r="I81" s="1"/>
  <c r="J81" s="1"/>
  <c r="K81" s="1"/>
  <c r="L81" s="1"/>
  <c r="M81" s="1"/>
  <c r="F79"/>
  <c r="E79"/>
  <c r="D79"/>
  <c r="C79"/>
  <c r="B93"/>
  <c r="B91"/>
  <c r="F32"/>
  <c r="S32" s="1"/>
  <c r="B95"/>
  <c r="H34" s="1"/>
  <c r="D83"/>
  <c r="E83" s="1"/>
  <c r="F83" s="1"/>
  <c r="G83" s="1"/>
  <c r="H83" s="1"/>
  <c r="I83" s="1"/>
  <c r="J83" s="1"/>
  <c r="K83" s="1"/>
  <c r="L83" s="1"/>
  <c r="M83" s="1"/>
  <c r="D78"/>
  <c r="J26"/>
  <c r="W26" s="1"/>
  <c r="B75"/>
  <c r="B73"/>
  <c r="J24" s="1"/>
  <c r="W24" s="1"/>
  <c r="B71"/>
  <c r="J23" s="1"/>
  <c r="D70"/>
  <c r="H22"/>
  <c r="AB22" s="1"/>
  <c r="D68"/>
  <c r="E68" s="1"/>
  <c r="F68" s="1"/>
  <c r="G68" s="1"/>
  <c r="D64"/>
  <c r="E64" s="1"/>
  <c r="F64" s="1"/>
  <c r="G64" s="1"/>
  <c r="J16"/>
  <c r="D62"/>
  <c r="E62" s="1"/>
  <c r="B59"/>
  <c r="B57"/>
  <c r="J12"/>
  <c r="B55"/>
  <c r="F54"/>
  <c r="G54" s="1"/>
  <c r="H54" s="1"/>
  <c r="I54" s="1"/>
  <c r="J10"/>
  <c r="W10" s="1"/>
  <c r="C51"/>
  <c r="J9" s="1"/>
  <c r="AC9" s="1"/>
  <c r="P37"/>
  <c r="P36"/>
  <c r="V35"/>
  <c r="T35"/>
  <c r="R35"/>
  <c r="P35"/>
  <c r="Q34"/>
  <c r="Z34"/>
  <c r="Q33"/>
  <c r="Z33"/>
  <c r="Q32"/>
  <c r="Z32"/>
  <c r="Q31"/>
  <c r="Z31"/>
  <c r="Q30"/>
  <c r="Z30"/>
  <c r="Q29"/>
  <c r="Z29"/>
  <c r="Q28"/>
  <c r="Z28"/>
  <c r="J28"/>
  <c r="AC28"/>
  <c r="Q27"/>
  <c r="Z27"/>
  <c r="Q26"/>
  <c r="Z26"/>
  <c r="H26"/>
  <c r="AB26"/>
  <c r="Q25"/>
  <c r="Z25"/>
  <c r="Q24"/>
  <c r="Z24"/>
  <c r="Q23"/>
  <c r="Z23"/>
  <c r="Q22"/>
  <c r="Z22"/>
  <c r="J22"/>
  <c r="AC22"/>
  <c r="Q20"/>
  <c r="Z20"/>
  <c r="Q16"/>
  <c r="Z16"/>
  <c r="Q14"/>
  <c r="Z14"/>
  <c r="Q13"/>
  <c r="Z13"/>
  <c r="Q12"/>
  <c r="Z12"/>
  <c r="H12"/>
  <c r="U12"/>
  <c r="Q11"/>
  <c r="Z11"/>
  <c r="Q10"/>
  <c r="Z10"/>
  <c r="F10"/>
  <c r="AA10"/>
  <c r="Q9"/>
  <c r="Z9"/>
  <c r="J8"/>
  <c r="AC8"/>
  <c r="H8"/>
  <c r="U8"/>
  <c r="F8"/>
  <c r="AA8"/>
  <c r="C7"/>
  <c r="D89" i="35"/>
  <c r="H30"/>
  <c r="U30"/>
  <c r="M90"/>
  <c r="L90"/>
  <c r="K90"/>
  <c r="J90"/>
  <c r="I90"/>
  <c r="H90"/>
  <c r="G90"/>
  <c r="F90"/>
  <c r="E90"/>
  <c r="D90"/>
  <c r="C90"/>
  <c r="F85"/>
  <c r="E85"/>
  <c r="D85"/>
  <c r="C85"/>
  <c r="J27"/>
  <c r="W27" s="1"/>
  <c r="H27"/>
  <c r="U27" s="1"/>
  <c r="F27"/>
  <c r="AA27" s="1"/>
  <c r="J22"/>
  <c r="AC22" s="1"/>
  <c r="B101"/>
  <c r="H36" s="1"/>
  <c r="B99"/>
  <c r="B97"/>
  <c r="J34" s="1"/>
  <c r="AC34" s="1"/>
  <c r="B77"/>
  <c r="B75"/>
  <c r="J24" s="1"/>
  <c r="B73"/>
  <c r="J23" s="1"/>
  <c r="B57"/>
  <c r="B61"/>
  <c r="B59"/>
  <c r="H12"/>
  <c r="B131" i="34"/>
  <c r="B129"/>
  <c r="B127"/>
  <c r="B99"/>
  <c r="B97"/>
  <c r="B95"/>
  <c r="B93"/>
  <c r="B75"/>
  <c r="B73"/>
  <c r="B71"/>
  <c r="B130" i="33"/>
  <c r="B128"/>
  <c r="H45" s="1"/>
  <c r="U45" s="1"/>
  <c r="B126"/>
  <c r="B98"/>
  <c r="F31" s="1"/>
  <c r="AA31" s="1"/>
  <c r="B96"/>
  <c r="B94"/>
  <c r="B74"/>
  <c r="B72"/>
  <c r="B70"/>
  <c r="J12" s="1"/>
  <c r="W12" s="1"/>
  <c r="D96" i="35"/>
  <c r="E96" s="1"/>
  <c r="F96" s="1"/>
  <c r="G96" s="1"/>
  <c r="D94"/>
  <c r="D84"/>
  <c r="E84" s="1"/>
  <c r="F84" s="1"/>
  <c r="G84" s="1"/>
  <c r="H84" s="1"/>
  <c r="I84" s="1"/>
  <c r="J84" s="1"/>
  <c r="K84" s="1"/>
  <c r="L84" s="1"/>
  <c r="M84" s="1"/>
  <c r="D80"/>
  <c r="D72"/>
  <c r="D70"/>
  <c r="E70" s="1"/>
  <c r="F70" s="1"/>
  <c r="G70" s="1"/>
  <c r="D66"/>
  <c r="E66" s="1"/>
  <c r="F66" s="1"/>
  <c r="G66" s="1"/>
  <c r="D64"/>
  <c r="E64" s="1"/>
  <c r="F64" s="1"/>
  <c r="G64" s="1"/>
  <c r="F56"/>
  <c r="G56" s="1"/>
  <c r="H56" s="1"/>
  <c r="I56" s="1"/>
  <c r="C53"/>
  <c r="H9" s="1"/>
  <c r="AB9" s="1"/>
  <c r="P39"/>
  <c r="P38"/>
  <c r="V37"/>
  <c r="T37"/>
  <c r="R37"/>
  <c r="P37"/>
  <c r="Q36"/>
  <c r="Z36"/>
  <c r="Q35"/>
  <c r="Z35"/>
  <c r="Q34"/>
  <c r="Z34"/>
  <c r="Q33"/>
  <c r="Z33"/>
  <c r="Q32"/>
  <c r="Z32"/>
  <c r="H32"/>
  <c r="AB32"/>
  <c r="F32"/>
  <c r="AA32"/>
  <c r="Q31"/>
  <c r="Z31"/>
  <c r="AB31"/>
  <c r="Q30"/>
  <c r="Z30" s="1"/>
  <c r="Q29"/>
  <c r="Z29" s="1"/>
  <c r="Q28"/>
  <c r="Z28" s="1"/>
  <c r="J28"/>
  <c r="H28"/>
  <c r="F28"/>
  <c r="AA28" s="1"/>
  <c r="Q27"/>
  <c r="Z27" s="1"/>
  <c r="Q26"/>
  <c r="Z26" s="1"/>
  <c r="Q25"/>
  <c r="Z25" s="1"/>
  <c r="Q24"/>
  <c r="Z24" s="1"/>
  <c r="Q23"/>
  <c r="Z23" s="1"/>
  <c r="Q22"/>
  <c r="Z22" s="1"/>
  <c r="Q20"/>
  <c r="Z20" s="1"/>
  <c r="Q16"/>
  <c r="Z16" s="1"/>
  <c r="Q14"/>
  <c r="Z14" s="1"/>
  <c r="Q13"/>
  <c r="Z13" s="1"/>
  <c r="Q12"/>
  <c r="Z12" s="1"/>
  <c r="J12"/>
  <c r="W12" s="1"/>
  <c r="F12"/>
  <c r="AA12" s="1"/>
  <c r="Q11"/>
  <c r="Z11" s="1"/>
  <c r="Q10"/>
  <c r="Z10" s="1"/>
  <c r="Q9"/>
  <c r="Z9" s="1"/>
  <c r="F9"/>
  <c r="AA9" s="1"/>
  <c r="J8"/>
  <c r="H8"/>
  <c r="F8"/>
  <c r="AA8" s="1"/>
  <c r="C7"/>
  <c r="D120" i="34"/>
  <c r="E120"/>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D118"/>
  <c r="E118"/>
  <c r="D116"/>
  <c r="E116" s="1"/>
  <c r="F116"/>
  <c r="G116" s="1"/>
  <c r="H116" s="1"/>
  <c r="I116" s="1"/>
  <c r="J116" s="1"/>
  <c r="K116" s="1"/>
  <c r="L116" s="1"/>
  <c r="M116" s="1"/>
  <c r="F110"/>
  <c r="E110"/>
  <c r="D110"/>
  <c r="C110"/>
  <c r="D109"/>
  <c r="E109" s="1"/>
  <c r="F109" s="1"/>
  <c r="G109" s="1"/>
  <c r="H109" s="1"/>
  <c r="I109" s="1"/>
  <c r="J109" s="1"/>
  <c r="K109" s="1"/>
  <c r="L109" s="1"/>
  <c r="M109" s="1"/>
  <c r="J36"/>
  <c r="W36" s="1"/>
  <c r="D107"/>
  <c r="E107"/>
  <c r="F35"/>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F28" s="1"/>
  <c r="S28" s="1"/>
  <c r="B89"/>
  <c r="J27" s="1"/>
  <c r="D88"/>
  <c r="E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s="1"/>
  <c r="Q46"/>
  <c r="Z46" s="1"/>
  <c r="Q45"/>
  <c r="Z45" s="1"/>
  <c r="Q44"/>
  <c r="Z44" s="1"/>
  <c r="H44"/>
  <c r="AB44" s="1"/>
  <c r="Q43"/>
  <c r="Z43" s="1"/>
  <c r="Q42"/>
  <c r="Z42" s="1"/>
  <c r="Q41"/>
  <c r="Z41" s="1"/>
  <c r="Q40"/>
  <c r="Z40" s="1"/>
  <c r="F40"/>
  <c r="S40" s="1"/>
  <c r="Q39"/>
  <c r="Z39" s="1"/>
  <c r="J39"/>
  <c r="AC39" s="1"/>
  <c r="H39"/>
  <c r="U39" s="1"/>
  <c r="F39"/>
  <c r="S39" s="1"/>
  <c r="Q38"/>
  <c r="Z38" s="1"/>
  <c r="Q37"/>
  <c r="Z37" s="1"/>
  <c r="Q36"/>
  <c r="Z36" s="1"/>
  <c r="Q35"/>
  <c r="Z35" s="1"/>
  <c r="Q34"/>
  <c r="Z34" s="1"/>
  <c r="J34"/>
  <c r="H34"/>
  <c r="AB34" s="1"/>
  <c r="F34"/>
  <c r="AA34" s="1"/>
  <c r="Q33"/>
  <c r="Z33" s="1"/>
  <c r="Q32"/>
  <c r="Z32" s="1"/>
  <c r="Q31"/>
  <c r="Z31"/>
  <c r="Q30"/>
  <c r="Z30"/>
  <c r="Q29"/>
  <c r="Z29"/>
  <c r="Q28"/>
  <c r="Z28" s="1"/>
  <c r="Q27"/>
  <c r="Z27" s="1"/>
  <c r="Q25"/>
  <c r="Z25"/>
  <c r="Q23"/>
  <c r="Z23"/>
  <c r="C23"/>
  <c r="Q19"/>
  <c r="Z19" s="1"/>
  <c r="C19"/>
  <c r="Q17"/>
  <c r="Z17" s="1"/>
  <c r="C17"/>
  <c r="Q15"/>
  <c r="Z15" s="1"/>
  <c r="Q14"/>
  <c r="Z14" s="1"/>
  <c r="Q13"/>
  <c r="Z13" s="1"/>
  <c r="Q12"/>
  <c r="Z12" s="1"/>
  <c r="Q11"/>
  <c r="Z11" s="1"/>
  <c r="Q10"/>
  <c r="Z10" s="1"/>
  <c r="F10"/>
  <c r="AA10" s="1"/>
  <c r="Q9"/>
  <c r="Z9" s="1"/>
  <c r="H9"/>
  <c r="AB9" s="1"/>
  <c r="J8"/>
  <c r="AC8" s="1"/>
  <c r="H8"/>
  <c r="U8" s="1"/>
  <c r="F8"/>
  <c r="AA8" s="1"/>
  <c r="C7"/>
  <c r="D121" i="33"/>
  <c r="F109"/>
  <c r="E109"/>
  <c r="D109"/>
  <c r="C109"/>
  <c r="D91"/>
  <c r="E91" s="1"/>
  <c r="F91" s="1"/>
  <c r="G91" s="1"/>
  <c r="H91" s="1"/>
  <c r="I91" s="1"/>
  <c r="J91" s="1"/>
  <c r="K91" s="1"/>
  <c r="L91" s="1"/>
  <c r="M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s="1"/>
  <c r="B92"/>
  <c r="B90"/>
  <c r="H27" s="1"/>
  <c r="U27" s="1"/>
  <c r="D87"/>
  <c r="E87" s="1"/>
  <c r="F87" s="1"/>
  <c r="G87" s="1"/>
  <c r="H87" s="1"/>
  <c r="I87" s="1"/>
  <c r="J87" s="1"/>
  <c r="K87" s="1"/>
  <c r="L87" s="1"/>
  <c r="M87" s="1"/>
  <c r="D85"/>
  <c r="E85" s="1"/>
  <c r="D81"/>
  <c r="E81" s="1"/>
  <c r="F81" s="1"/>
  <c r="G81" s="1"/>
  <c r="D79"/>
  <c r="E79" s="1"/>
  <c r="F79" s="1"/>
  <c r="G79" s="1"/>
  <c r="D77"/>
  <c r="D69"/>
  <c r="E69" s="1"/>
  <c r="F69" s="1"/>
  <c r="G69" s="1"/>
  <c r="H69" s="1"/>
  <c r="I69" s="1"/>
  <c r="J69" s="1"/>
  <c r="K69" s="1"/>
  <c r="L69" s="1"/>
  <c r="M69" s="1"/>
  <c r="M67"/>
  <c r="L67"/>
  <c r="K67"/>
  <c r="J67"/>
  <c r="I67"/>
  <c r="H67"/>
  <c r="G67"/>
  <c r="F67"/>
  <c r="E67"/>
  <c r="D67"/>
  <c r="C67"/>
  <c r="G66"/>
  <c r="C63"/>
  <c r="J9" s="1"/>
  <c r="AC9" s="1"/>
  <c r="H54"/>
  <c r="P49"/>
  <c r="P48"/>
  <c r="V47"/>
  <c r="T47"/>
  <c r="R47"/>
  <c r="P47"/>
  <c r="Q46"/>
  <c r="Z46" s="1"/>
  <c r="Q45"/>
  <c r="Z45" s="1"/>
  <c r="Q44"/>
  <c r="Z44" s="1"/>
  <c r="Q43"/>
  <c r="Z43"/>
  <c r="Q42"/>
  <c r="Z42"/>
  <c r="J42"/>
  <c r="AC42" s="1"/>
  <c r="W41"/>
  <c r="Q41"/>
  <c r="Z41" s="1"/>
  <c r="Q40"/>
  <c r="Z40" s="1"/>
  <c r="J40"/>
  <c r="AC40" s="1"/>
  <c r="H40"/>
  <c r="Q39"/>
  <c r="Z39" s="1"/>
  <c r="J39"/>
  <c r="AC39" s="1"/>
  <c r="Q38"/>
  <c r="Z38" s="1"/>
  <c r="J38"/>
  <c r="AC38" s="1"/>
  <c r="H38"/>
  <c r="AB38" s="1"/>
  <c r="F38"/>
  <c r="AA38" s="1"/>
  <c r="Q37"/>
  <c r="Z37" s="1"/>
  <c r="Q36"/>
  <c r="Z36" s="1"/>
  <c r="Q35"/>
  <c r="Z35" s="1"/>
  <c r="H35"/>
  <c r="AB35" s="1"/>
  <c r="Q34"/>
  <c r="Z34" s="1"/>
  <c r="Q33"/>
  <c r="Z33" s="1"/>
  <c r="J33"/>
  <c r="AC33" s="1"/>
  <c r="H33"/>
  <c r="AB33" s="1"/>
  <c r="F33"/>
  <c r="AA33" s="1"/>
  <c r="Q32"/>
  <c r="Z32" s="1"/>
  <c r="Q31"/>
  <c r="Z31" s="1"/>
  <c r="Q30"/>
  <c r="Z30" s="1"/>
  <c r="Q29"/>
  <c r="Z29" s="1"/>
  <c r="Q28"/>
  <c r="Z28" s="1"/>
  <c r="Q27"/>
  <c r="Z27" s="1"/>
  <c r="Q26"/>
  <c r="Z26" s="1"/>
  <c r="Q25"/>
  <c r="Z25" s="1"/>
  <c r="Q23"/>
  <c r="Z23" s="1"/>
  <c r="Q19"/>
  <c r="Z19" s="1"/>
  <c r="Q17"/>
  <c r="Z17" s="1"/>
  <c r="Q15"/>
  <c r="Z15" s="1"/>
  <c r="Q14"/>
  <c r="Z14" s="1"/>
  <c r="Q13"/>
  <c r="Z13" s="1"/>
  <c r="Q12"/>
  <c r="Z12" s="1"/>
  <c r="H12"/>
  <c r="U12" s="1"/>
  <c r="Q11"/>
  <c r="Z11" s="1"/>
  <c r="Q10"/>
  <c r="Z10"/>
  <c r="Q9"/>
  <c r="Z9"/>
  <c r="H9"/>
  <c r="AB9" s="1"/>
  <c r="J8"/>
  <c r="W8" s="1"/>
  <c r="H8"/>
  <c r="F8"/>
  <c r="C7"/>
  <c r="C58" s="1"/>
  <c r="D58" s="1"/>
  <c r="M102" i="21"/>
  <c r="D102"/>
  <c r="E102"/>
  <c r="F102"/>
  <c r="G102"/>
  <c r="H102"/>
  <c r="I102"/>
  <c r="J102"/>
  <c r="K102"/>
  <c r="L102"/>
  <c r="C102"/>
  <c r="C63"/>
  <c r="F9"/>
  <c r="S9" s="1"/>
  <c r="G18" i="20"/>
  <c r="C25" i="40"/>
  <c r="G16" i="20"/>
  <c r="B81" i="72" s="1"/>
  <c r="B81" i="46"/>
  <c r="G15" i="20"/>
  <c r="B80" i="72" s="1"/>
  <c r="C24" i="20"/>
  <c r="C21"/>
  <c r="C29" i="39" s="1"/>
  <c r="C20" i="20"/>
  <c r="B76" i="46" s="1"/>
  <c r="C18" i="20"/>
  <c r="B70" i="46" s="1"/>
  <c r="C17" i="20"/>
  <c r="B58" i="72" s="1"/>
  <c r="C16" i="20"/>
  <c r="B47" i="72" s="1"/>
  <c r="C15" i="20"/>
  <c r="B69" i="72" s="1"/>
  <c r="E54" i="21"/>
  <c r="F54" s="1"/>
  <c r="I54"/>
  <c r="J54" s="1"/>
  <c r="G54"/>
  <c r="H54" s="1"/>
  <c r="D125"/>
  <c r="E125" s="1"/>
  <c r="D123"/>
  <c r="E123" s="1"/>
  <c r="F123"/>
  <c r="G123" s="1"/>
  <c r="H123" s="1"/>
  <c r="I123" s="1"/>
  <c r="J123" s="1"/>
  <c r="K123" s="1"/>
  <c r="L123" s="1"/>
  <c r="M123" s="1"/>
  <c r="H42"/>
  <c r="AB42" s="1"/>
  <c r="D119"/>
  <c r="D117"/>
  <c r="E117"/>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W36" s="1"/>
  <c r="D108"/>
  <c r="E108" s="1"/>
  <c r="F108" s="1"/>
  <c r="G108" s="1"/>
  <c r="H108" s="1"/>
  <c r="I108" s="1"/>
  <c r="J108" s="1"/>
  <c r="K108" s="1"/>
  <c r="L108" s="1"/>
  <c r="M108" s="1"/>
  <c r="D106"/>
  <c r="E106" s="1"/>
  <c r="F106"/>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c r="F69" s="1"/>
  <c r="G69" s="1"/>
  <c r="H69" s="1"/>
  <c r="I69" s="1"/>
  <c r="J69" s="1"/>
  <c r="K69" s="1"/>
  <c r="L69" s="1"/>
  <c r="M69" s="1"/>
  <c r="D66"/>
  <c r="E66"/>
  <c r="F66" s="1"/>
  <c r="G66" s="1"/>
  <c r="H66" s="1"/>
  <c r="I66" s="1"/>
  <c r="D111"/>
  <c r="E111"/>
  <c r="F111"/>
  <c r="C111"/>
  <c r="D79"/>
  <c r="E79"/>
  <c r="F79" s="1"/>
  <c r="G79" s="1"/>
  <c r="D85"/>
  <c r="E85"/>
  <c r="D81"/>
  <c r="E81"/>
  <c r="F81" s="1"/>
  <c r="G81" s="1"/>
  <c r="D77"/>
  <c r="E77" s="1"/>
  <c r="B130"/>
  <c r="B128"/>
  <c r="B126"/>
  <c r="B98"/>
  <c r="B96"/>
  <c r="B94"/>
  <c r="B92"/>
  <c r="B90"/>
  <c r="B74"/>
  <c r="B72"/>
  <c r="B70"/>
  <c r="F12" s="1"/>
  <c r="F10"/>
  <c r="AA10" s="1"/>
  <c r="C7"/>
  <c r="C58" s="1"/>
  <c r="D58"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Q40"/>
  <c r="Z40" s="1"/>
  <c r="Q41"/>
  <c r="Z41" s="1"/>
  <c r="Q42"/>
  <c r="Z42" s="1"/>
  <c r="J43"/>
  <c r="AC43" s="1"/>
  <c r="Q43"/>
  <c r="Z43" s="1"/>
  <c r="Q44"/>
  <c r="Z44" s="1"/>
  <c r="Q45"/>
  <c r="Z45" s="1"/>
  <c r="Q46"/>
  <c r="Z46" s="1"/>
  <c r="P47"/>
  <c r="R47"/>
  <c r="T47"/>
  <c r="V47"/>
  <c r="P48"/>
  <c r="P49"/>
  <c r="F8"/>
  <c r="AA8" s="1"/>
  <c r="E13" i="11"/>
  <c r="E12"/>
  <c r="C9" i="12"/>
  <c r="BB12" i="3"/>
  <c r="F9" i="12"/>
  <c r="D9"/>
  <c r="E9"/>
  <c r="G9"/>
  <c r="K5" i="3"/>
  <c r="J5"/>
  <c r="BE10"/>
  <c r="BD13"/>
  <c r="BE13"/>
  <c r="BF13"/>
  <c r="BG13"/>
  <c r="BG5" s="1"/>
  <c r="BH13"/>
  <c r="BI13"/>
  <c r="BJ13"/>
  <c r="BK13"/>
  <c r="BM13"/>
  <c r="BN13"/>
  <c r="BO13"/>
  <c r="BP13"/>
  <c r="BS13"/>
  <c r="BT13"/>
  <c r="BB570"/>
  <c r="BC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s="1"/>
  <c r="H571"/>
  <c r="G571" s="1"/>
  <c r="H572"/>
  <c r="G572" s="1"/>
  <c r="F5"/>
  <c r="G27" i="6"/>
  <c r="F34" i="21"/>
  <c r="AA34" s="1"/>
  <c r="H34"/>
  <c r="U34" s="1"/>
  <c r="F43"/>
  <c r="S43" s="1"/>
  <c r="H38"/>
  <c r="AB38" s="1"/>
  <c r="H43"/>
  <c r="AB43" s="1"/>
  <c r="F32"/>
  <c r="F38"/>
  <c r="S38"/>
  <c r="F36"/>
  <c r="S36"/>
  <c r="F39"/>
  <c r="AA39"/>
  <c r="J40"/>
  <c r="W40"/>
  <c r="H35"/>
  <c r="AB35"/>
  <c r="J8"/>
  <c r="AC8"/>
  <c r="J9"/>
  <c r="AC9"/>
  <c r="H8"/>
  <c r="H9"/>
  <c r="AB9" s="1"/>
  <c r="H10"/>
  <c r="U10" s="1"/>
  <c r="H39"/>
  <c r="AB39" s="1"/>
  <c r="J34"/>
  <c r="W34" s="1"/>
  <c r="H36"/>
  <c r="U36" s="1"/>
  <c r="F35"/>
  <c r="AA35" s="1"/>
  <c r="J33"/>
  <c r="W33" s="1"/>
  <c r="H33"/>
  <c r="U33" s="1"/>
  <c r="F33"/>
  <c r="J10"/>
  <c r="AC10"/>
  <c r="H26"/>
  <c r="F19"/>
  <c r="AA19" s="1"/>
  <c r="H19"/>
  <c r="AB19" s="1"/>
  <c r="J19"/>
  <c r="W19" s="1"/>
  <c r="H12"/>
  <c r="U12" s="1"/>
  <c r="J26"/>
  <c r="W26" s="1"/>
  <c r="F26"/>
  <c r="AA26" s="1"/>
  <c r="AB41"/>
  <c r="S41"/>
  <c r="AA41"/>
  <c r="W41"/>
  <c r="S10" i="39"/>
  <c r="U30" i="37"/>
  <c r="E103"/>
  <c r="F103" s="1"/>
  <c r="G103" s="1"/>
  <c r="H103" s="1"/>
  <c r="I103" s="1"/>
  <c r="J103" s="1"/>
  <c r="K103" s="1"/>
  <c r="L103" s="1"/>
  <c r="M103" s="1"/>
  <c r="F39"/>
  <c r="S39" s="1"/>
  <c r="W39"/>
  <c r="F29" i="36"/>
  <c r="AA29" s="1"/>
  <c r="F16"/>
  <c r="AA16" s="1"/>
  <c r="U22"/>
  <c r="W22"/>
  <c r="U26"/>
  <c r="AC31"/>
  <c r="J33"/>
  <c r="W33" s="1"/>
  <c r="AC27" i="35"/>
  <c r="U31"/>
  <c r="S31"/>
  <c r="W31"/>
  <c r="F36" i="34"/>
  <c r="S36" s="1"/>
  <c r="S34"/>
  <c r="W39"/>
  <c r="H39" i="33"/>
  <c r="AB39" s="1"/>
  <c r="F26"/>
  <c r="AA26" s="1"/>
  <c r="U33"/>
  <c r="W38"/>
  <c r="S40"/>
  <c r="S8" i="21"/>
  <c r="W8"/>
  <c r="H39" i="37"/>
  <c r="AB39" s="1"/>
  <c r="AB27" i="35"/>
  <c r="S10" i="40"/>
  <c r="W10"/>
  <c r="S11"/>
  <c r="U11"/>
  <c r="S36"/>
  <c r="U36"/>
  <c r="S40" i="39"/>
  <c r="S36"/>
  <c r="F11" i="21"/>
  <c r="S11" s="1"/>
  <c r="AC40"/>
  <c r="AA38"/>
  <c r="AB36"/>
  <c r="AC35"/>
  <c r="C23" i="39"/>
  <c r="U36"/>
  <c r="S42"/>
  <c r="H11" i="21"/>
  <c r="U11"/>
  <c r="J11"/>
  <c r="W11"/>
  <c r="F100" i="40"/>
  <c r="F86"/>
  <c r="G86" s="1"/>
  <c r="J27" i="36"/>
  <c r="W27" s="1"/>
  <c r="J34"/>
  <c r="W34" s="1"/>
  <c r="J30" i="35"/>
  <c r="W30" s="1"/>
  <c r="F22"/>
  <c r="AA22" s="1"/>
  <c r="H10"/>
  <c r="U10" s="1"/>
  <c r="AC24" i="36"/>
  <c r="U29"/>
  <c r="E85"/>
  <c r="F85" s="1"/>
  <c r="G85" s="1"/>
  <c r="H85" s="1"/>
  <c r="I85" s="1"/>
  <c r="J85" s="1"/>
  <c r="K85" s="1"/>
  <c r="L85" s="1"/>
  <c r="M85" s="1"/>
  <c r="J29"/>
  <c r="AC29"/>
  <c r="F12"/>
  <c r="S12"/>
  <c r="F24"/>
  <c r="AA24"/>
  <c r="F34"/>
  <c r="S34"/>
  <c r="S10"/>
  <c r="AB8"/>
  <c r="H16" i="35"/>
  <c r="U16"/>
  <c r="H33"/>
  <c r="AB33"/>
  <c r="W8"/>
  <c r="AC8"/>
  <c r="F35" i="37"/>
  <c r="E101"/>
  <c r="F101" s="1"/>
  <c r="G101" s="1"/>
  <c r="H101" s="1"/>
  <c r="I101" s="1"/>
  <c r="J101" s="1"/>
  <c r="K101" s="1"/>
  <c r="L101" s="1"/>
  <c r="M101" s="1"/>
  <c r="J34"/>
  <c r="W34"/>
  <c r="H43" i="34"/>
  <c r="U43" s="1"/>
  <c r="U42"/>
  <c r="E114"/>
  <c r="H36"/>
  <c r="U36" s="1"/>
  <c r="F33"/>
  <c r="S33" s="1"/>
  <c r="F19"/>
  <c r="AA19" s="1"/>
  <c r="J10"/>
  <c r="AC10" s="1"/>
  <c r="W8"/>
  <c r="J28"/>
  <c r="W28" s="1"/>
  <c r="S38" i="33"/>
  <c r="E113"/>
  <c r="F113" s="1"/>
  <c r="G113" s="1"/>
  <c r="H113" s="1"/>
  <c r="I113" s="1"/>
  <c r="J113" s="1"/>
  <c r="K113" s="1"/>
  <c r="L113" s="1"/>
  <c r="M113" s="1"/>
  <c r="F19"/>
  <c r="S19" s="1"/>
  <c r="J19"/>
  <c r="W19" s="1"/>
  <c r="W40"/>
  <c r="F125" i="21"/>
  <c r="G125"/>
  <c r="AB30" i="36"/>
  <c r="AC34"/>
  <c r="H29" i="35"/>
  <c r="U34" i="37"/>
  <c r="S34"/>
  <c r="AA34"/>
  <c r="AB42" i="34"/>
  <c r="J19"/>
  <c r="AC19" s="1"/>
  <c r="H37" i="33"/>
  <c r="AB37" s="1"/>
  <c r="AC42" i="34"/>
  <c r="W42"/>
  <c r="AA42"/>
  <c r="S42"/>
  <c r="AC38"/>
  <c r="W38"/>
  <c r="AA38"/>
  <c r="S38"/>
  <c r="J37" i="33"/>
  <c r="W37" s="1"/>
  <c r="J42" i="21"/>
  <c r="AC42" s="1"/>
  <c r="J44" i="34"/>
  <c r="AC44" s="1"/>
  <c r="F44"/>
  <c r="S44" s="1"/>
  <c r="J10" i="35"/>
  <c r="W10" s="1"/>
  <c r="AL5" i="3"/>
  <c r="BQ13"/>
  <c r="BL572"/>
  <c r="J14" i="21"/>
  <c r="F14"/>
  <c r="AA14" s="1"/>
  <c r="H14"/>
  <c r="U14" s="1"/>
  <c r="H28"/>
  <c r="AB28" s="1"/>
  <c r="F28"/>
  <c r="J28"/>
  <c r="AC28" s="1"/>
  <c r="H30"/>
  <c r="U30" s="1"/>
  <c r="F30"/>
  <c r="S30" s="1"/>
  <c r="J30"/>
  <c r="AC30" s="1"/>
  <c r="J44"/>
  <c r="AC44" s="1"/>
  <c r="H44"/>
  <c r="U44" s="1"/>
  <c r="F44"/>
  <c r="AA44" s="1"/>
  <c r="H46"/>
  <c r="AB46" s="1"/>
  <c r="J46"/>
  <c r="W46" s="1"/>
  <c r="F46"/>
  <c r="AA46" s="1"/>
  <c r="H26" i="33"/>
  <c r="U26" s="1"/>
  <c r="H28"/>
  <c r="U28" s="1"/>
  <c r="F28"/>
  <c r="AA28" s="1"/>
  <c r="J28"/>
  <c r="W28" s="1"/>
  <c r="F33" i="35"/>
  <c r="S33" s="1"/>
  <c r="J33"/>
  <c r="W33" s="1"/>
  <c r="F30"/>
  <c r="AA30" s="1"/>
  <c r="E89"/>
  <c r="F89" s="1"/>
  <c r="G89" s="1"/>
  <c r="H89" s="1"/>
  <c r="I89" s="1"/>
  <c r="J89" s="1"/>
  <c r="K89" s="1"/>
  <c r="L89" s="1"/>
  <c r="M89" s="1"/>
  <c r="H10" i="36"/>
  <c r="AB10"/>
  <c r="F28"/>
  <c r="S28"/>
  <c r="F27"/>
  <c r="S27"/>
  <c r="H13" i="21"/>
  <c r="U13"/>
  <c r="J13"/>
  <c r="AC13"/>
  <c r="F13"/>
  <c r="AA13"/>
  <c r="H27"/>
  <c r="AB27"/>
  <c r="J27"/>
  <c r="W27"/>
  <c r="F27"/>
  <c r="AA27"/>
  <c r="J29"/>
  <c r="AC29"/>
  <c r="H29"/>
  <c r="U29"/>
  <c r="F29"/>
  <c r="S29"/>
  <c r="J31"/>
  <c r="AC31"/>
  <c r="H31"/>
  <c r="U31"/>
  <c r="F31"/>
  <c r="S31"/>
  <c r="J45"/>
  <c r="W45"/>
  <c r="F45"/>
  <c r="AA45"/>
  <c r="H45"/>
  <c r="U45"/>
  <c r="J27" i="33"/>
  <c r="AC27" s="1"/>
  <c r="F27"/>
  <c r="S27" s="1"/>
  <c r="F13"/>
  <c r="S13" s="1"/>
  <c r="J29"/>
  <c r="W29" s="1"/>
  <c r="J31"/>
  <c r="AC31" s="1"/>
  <c r="H31"/>
  <c r="U31" s="1"/>
  <c r="S3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F105"/>
  <c r="AB36"/>
  <c r="F107"/>
  <c r="J37"/>
  <c r="AC37"/>
  <c r="H37"/>
  <c r="U37"/>
  <c r="H40"/>
  <c r="U40"/>
  <c r="J40"/>
  <c r="F40"/>
  <c r="AA40" s="1"/>
  <c r="H14" i="33"/>
  <c r="U14" s="1"/>
  <c r="F14"/>
  <c r="AA14" s="1"/>
  <c r="J14"/>
  <c r="AC14" s="1"/>
  <c r="H30"/>
  <c r="AB30" s="1"/>
  <c r="F30"/>
  <c r="S30" s="1"/>
  <c r="J30"/>
  <c r="AC30" s="1"/>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AA38"/>
  <c r="AB13" i="35"/>
  <c r="AB40" i="37"/>
  <c r="J36"/>
  <c r="AC36" s="1"/>
  <c r="G105"/>
  <c r="AB31" i="21"/>
  <c r="AB13"/>
  <c r="U46"/>
  <c r="W30"/>
  <c r="S28"/>
  <c r="AA28"/>
  <c r="AB14"/>
  <c r="W14"/>
  <c r="AC14"/>
  <c r="S46" i="33"/>
  <c r="U36" i="37"/>
  <c r="AC13" i="36"/>
  <c r="AB45" i="33"/>
  <c r="AB31"/>
  <c r="AB27"/>
  <c r="S45" i="21"/>
  <c r="U28"/>
  <c r="S19"/>
  <c r="G529" i="3"/>
  <c r="G521"/>
  <c r="G517"/>
  <c r="G513"/>
  <c r="G508"/>
  <c r="G499"/>
  <c r="G493"/>
  <c r="G485"/>
  <c r="G17"/>
  <c r="G565"/>
  <c r="G561"/>
  <c r="G557"/>
  <c r="G549"/>
  <c r="G545"/>
  <c r="G539"/>
  <c r="BL569"/>
  <c r="BL561"/>
  <c r="BL557"/>
  <c r="BL553"/>
  <c r="BL545"/>
  <c r="BL535"/>
  <c r="BL527"/>
  <c r="BL519"/>
  <c r="BL511"/>
  <c r="BL501"/>
  <c r="BL491"/>
  <c r="BL483"/>
  <c r="G16"/>
  <c r="BL563"/>
  <c r="BL559"/>
  <c r="BL555"/>
  <c r="BL551"/>
  <c r="BL541"/>
  <c r="BL533"/>
  <c r="BL525"/>
  <c r="G518"/>
  <c r="G514"/>
  <c r="G510"/>
  <c r="BL503"/>
  <c r="BL495"/>
  <c r="BL485"/>
  <c r="G18"/>
  <c r="BA569"/>
  <c r="AZ569" s="1"/>
  <c r="BA565"/>
  <c r="BA561"/>
  <c r="AZ561" s="1"/>
  <c r="BA559"/>
  <c r="AZ559" s="1"/>
  <c r="BA557"/>
  <c r="BA555"/>
  <c r="AZ555" s="1"/>
  <c r="BA551"/>
  <c r="AZ551" s="1"/>
  <c r="BA545"/>
  <c r="AZ545" s="1"/>
  <c r="BA543"/>
  <c r="BA541"/>
  <c r="AZ541" s="1"/>
  <c r="BA531"/>
  <c r="BA521"/>
  <c r="BA509"/>
  <c r="BA505"/>
  <c r="BA501"/>
  <c r="BA493"/>
  <c r="AZ493" s="1"/>
  <c r="BA487"/>
  <c r="BA19"/>
  <c r="BA572"/>
  <c r="AZ572" s="1"/>
  <c r="BA566"/>
  <c r="BA562"/>
  <c r="BA560"/>
  <c r="BA558"/>
  <c r="BA556"/>
  <c r="BA554"/>
  <c r="BA550"/>
  <c r="BA546"/>
  <c r="BA544"/>
  <c r="BA540"/>
  <c r="BA536"/>
  <c r="BA532"/>
  <c r="BA528"/>
  <c r="BA524"/>
  <c r="BA520"/>
  <c r="BA516"/>
  <c r="BA512"/>
  <c r="BA508"/>
  <c r="BA502"/>
  <c r="BA498"/>
  <c r="BA492"/>
  <c r="BA488"/>
  <c r="BA484"/>
  <c r="BA20"/>
  <c r="G566"/>
  <c r="G562"/>
  <c r="G560"/>
  <c r="G558"/>
  <c r="G556"/>
  <c r="G554"/>
  <c r="G550"/>
  <c r="G546"/>
  <c r="BL543"/>
  <c r="AZ543" s="1"/>
  <c r="BA542"/>
  <c r="AC542"/>
  <c r="G542"/>
  <c r="BQ542"/>
  <c r="BL542"/>
  <c r="BQ568"/>
  <c r="BQ566"/>
  <c r="BQ564"/>
  <c r="BL564" s="1"/>
  <c r="BQ562"/>
  <c r="BL562" s="1"/>
  <c r="AZ562" s="1"/>
  <c r="BQ560"/>
  <c r="BL560"/>
  <c r="BQ558"/>
  <c r="BL558"/>
  <c r="BQ556"/>
  <c r="BL556"/>
  <c r="BQ554"/>
  <c r="BQ552"/>
  <c r="BL552" s="1"/>
  <c r="BQ550"/>
  <c r="BL550" s="1"/>
  <c r="BQ548"/>
  <c r="BQ546"/>
  <c r="BL546" s="1"/>
  <c r="BQ544"/>
  <c r="BL544" s="1"/>
  <c r="AZ544" s="1"/>
  <c r="G544"/>
  <c r="G538"/>
  <c r="G534"/>
  <c r="G530"/>
  <c r="G526"/>
  <c r="G522"/>
  <c r="BQ540"/>
  <c r="BL540"/>
  <c r="BQ538"/>
  <c r="BL538"/>
  <c r="BQ536"/>
  <c r="BQ534"/>
  <c r="BL534" s="1"/>
  <c r="BQ532"/>
  <c r="BL532" s="1"/>
  <c r="BQ530"/>
  <c r="BQ528"/>
  <c r="BQ526"/>
  <c r="BL526" s="1"/>
  <c r="BQ524"/>
  <c r="BL524" s="1"/>
  <c r="BQ522"/>
  <c r="BQ520"/>
  <c r="BL520"/>
  <c r="AZ520" s="1"/>
  <c r="BQ518"/>
  <c r="BQ516"/>
  <c r="BL516" s="1"/>
  <c r="AZ516" s="1"/>
  <c r="BQ514"/>
  <c r="BL514" s="1"/>
  <c r="BQ512"/>
  <c r="BQ510"/>
  <c r="BL510"/>
  <c r="BQ508"/>
  <c r="BL508"/>
  <c r="AC506"/>
  <c r="G506"/>
  <c r="BQ506"/>
  <c r="G502"/>
  <c r="G498"/>
  <c r="BQ504"/>
  <c r="BQ502"/>
  <c r="BL502"/>
  <c r="BQ500"/>
  <c r="BL500"/>
  <c r="BQ498"/>
  <c r="BQ496"/>
  <c r="AC494"/>
  <c r="BQ494"/>
  <c r="BL493"/>
  <c r="G492"/>
  <c r="G488"/>
  <c r="G484"/>
  <c r="G20"/>
  <c r="BQ492"/>
  <c r="BL492" s="1"/>
  <c r="AZ492" s="1"/>
  <c r="BQ490"/>
  <c r="BQ488"/>
  <c r="BL488" s="1"/>
  <c r="AZ488" s="1"/>
  <c r="BQ486"/>
  <c r="BQ484"/>
  <c r="BL484" s="1"/>
  <c r="BQ482"/>
  <c r="BL482" s="1"/>
  <c r="BQ20"/>
  <c r="BL20" s="1"/>
  <c r="BQ18"/>
  <c r="AZ501"/>
  <c r="S505" i="31"/>
  <c r="S503"/>
  <c r="S501"/>
  <c r="S499"/>
  <c r="O27"/>
  <c r="O28"/>
  <c r="O26"/>
  <c r="M27"/>
  <c r="M28"/>
  <c r="M26"/>
  <c r="I26"/>
  <c r="I25"/>
  <c r="S25"/>
  <c r="Q26"/>
  <c r="K26"/>
  <c r="I27"/>
  <c r="Q27"/>
  <c r="K27"/>
  <c r="I28"/>
  <c r="Q28"/>
  <c r="K28"/>
  <c r="H25" i="21"/>
  <c r="U25" s="1"/>
  <c r="F25"/>
  <c r="S25" s="1"/>
  <c r="J25"/>
  <c r="AC25" s="1"/>
  <c r="E125" i="33"/>
  <c r="F125" s="1"/>
  <c r="G125" s="1"/>
  <c r="H43"/>
  <c r="U43" s="1"/>
  <c r="H17" i="37"/>
  <c r="U17" s="1"/>
  <c r="F23"/>
  <c r="S23" s="1"/>
  <c r="AB27"/>
  <c r="F39" i="33"/>
  <c r="AA39" s="1"/>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F123" i="33"/>
  <c r="G123"/>
  <c r="H123" s="1"/>
  <c r="I123" s="1"/>
  <c r="J123" s="1"/>
  <c r="K123" s="1"/>
  <c r="L123" s="1"/>
  <c r="M123" s="1"/>
  <c r="H42"/>
  <c r="U42" s="1"/>
  <c r="J43"/>
  <c r="AC43" s="1"/>
  <c r="J23" i="37"/>
  <c r="W23" s="1"/>
  <c r="F17"/>
  <c r="AA17" s="1"/>
  <c r="D3" i="21"/>
  <c r="AC33" i="36"/>
  <c r="AC12" i="35"/>
  <c r="AC23" i="37"/>
  <c r="S27"/>
  <c r="U39"/>
  <c r="AC8"/>
  <c r="AC36" i="34"/>
  <c r="AA13" i="33"/>
  <c r="AC45"/>
  <c r="U19" i="21"/>
  <c r="AC33"/>
  <c r="AA36"/>
  <c r="F43" i="33"/>
  <c r="AA43" s="1"/>
  <c r="AA23" i="37"/>
  <c r="G107"/>
  <c r="H107" s="1"/>
  <c r="I107" s="1"/>
  <c r="J107" s="1"/>
  <c r="K107" s="1"/>
  <c r="L107" s="1"/>
  <c r="M107" s="1"/>
  <c r="AA9" i="21"/>
  <c r="F37"/>
  <c r="S37"/>
  <c r="J37"/>
  <c r="W37"/>
  <c r="H19" i="34"/>
  <c r="AB19" s="1"/>
  <c r="J10" i="37"/>
  <c r="W10" s="1"/>
  <c r="F36" i="35"/>
  <c r="S36" s="1"/>
  <c r="J9" i="37"/>
  <c r="W9" s="1"/>
  <c r="H9"/>
  <c r="U9" s="1"/>
  <c r="F9"/>
  <c r="S9" s="1"/>
  <c r="F11"/>
  <c r="S11" s="1"/>
  <c r="J12"/>
  <c r="AC12" s="1"/>
  <c r="H12"/>
  <c r="AB12" s="1"/>
  <c r="F12"/>
  <c r="AA12" s="1"/>
  <c r="H15"/>
  <c r="U15" s="1"/>
  <c r="E94"/>
  <c r="F94" s="1"/>
  <c r="G94" s="1"/>
  <c r="H94" s="1"/>
  <c r="I94" s="1"/>
  <c r="J94" s="1"/>
  <c r="K94" s="1"/>
  <c r="L94" s="1"/>
  <c r="M94" s="1"/>
  <c r="F31"/>
  <c r="S31"/>
  <c r="H31"/>
  <c r="AB31"/>
  <c r="J15"/>
  <c r="W15"/>
  <c r="AB10"/>
  <c r="J11"/>
  <c r="W11" s="1"/>
  <c r="U31"/>
  <c r="E90" i="40"/>
  <c r="F90" s="1"/>
  <c r="G90" s="1"/>
  <c r="F21"/>
  <c r="S21" s="1"/>
  <c r="W36"/>
  <c r="U40" i="39"/>
  <c r="J21" i="40"/>
  <c r="AC21" s="1"/>
  <c r="S27" i="31"/>
  <c r="AZ558" i="3"/>
  <c r="AZ540"/>
  <c r="AZ560"/>
  <c r="G483"/>
  <c r="G515"/>
  <c r="G507"/>
  <c r="G501"/>
  <c r="BA15"/>
  <c r="BL17"/>
  <c r="BL15"/>
  <c r="BA14"/>
  <c r="AZ14" s="1"/>
  <c r="BT5"/>
  <c r="J57" i="39"/>
  <c r="H13" i="40"/>
  <c r="U13"/>
  <c r="H12" i="48"/>
  <c r="I4" i="4"/>
  <c r="I59" i="40"/>
  <c r="C59" s="1"/>
  <c r="I60"/>
  <c r="C60" s="1"/>
  <c r="G297" i="3"/>
  <c r="BL298"/>
  <c r="G299"/>
  <c r="BL300"/>
  <c r="BA302"/>
  <c r="AZ302" s="1"/>
  <c r="BA303"/>
  <c r="BL303"/>
  <c r="G304"/>
  <c r="BA305"/>
  <c r="G321"/>
  <c r="BL322"/>
  <c r="AZ322" s="1"/>
  <c r="G323"/>
  <c r="BL324"/>
  <c r="BA326"/>
  <c r="BA327"/>
  <c r="BL327"/>
  <c r="AZ327" s="1"/>
  <c r="G328"/>
  <c r="BA329"/>
  <c r="G337"/>
  <c r="BL338"/>
  <c r="G339"/>
  <c r="BL340"/>
  <c r="BA342"/>
  <c r="AZ342"/>
  <c r="BA343"/>
  <c r="BL343"/>
  <c r="AZ343" s="1"/>
  <c r="G344"/>
  <c r="BA345"/>
  <c r="G353"/>
  <c r="BL354"/>
  <c r="G355"/>
  <c r="BL356"/>
  <c r="G357"/>
  <c r="BL358"/>
  <c r="G359"/>
  <c r="BA360"/>
  <c r="AZ360" s="1"/>
  <c r="BA361"/>
  <c r="BL361"/>
  <c r="G362"/>
  <c r="BA363"/>
  <c r="G371"/>
  <c r="BL372"/>
  <c r="G373"/>
  <c r="BL374"/>
  <c r="BA376"/>
  <c r="AZ376" s="1"/>
  <c r="BA377"/>
  <c r="AZ377" s="1"/>
  <c r="BL377"/>
  <c r="G378"/>
  <c r="BA379"/>
  <c r="AZ379" s="1"/>
  <c r="BA114"/>
  <c r="AZ114" s="1"/>
  <c r="BL115"/>
  <c r="AZ115" s="1"/>
  <c r="G116"/>
  <c r="BA118"/>
  <c r="AZ118" s="1"/>
  <c r="BL119"/>
  <c r="AZ119" s="1"/>
  <c r="G120"/>
  <c r="BA122"/>
  <c r="AZ122" s="1"/>
  <c r="BL123"/>
  <c r="AZ123" s="1"/>
  <c r="G124"/>
  <c r="BA126"/>
  <c r="BL127"/>
  <c r="G128"/>
  <c r="BA130"/>
  <c r="AZ130" s="1"/>
  <c r="BL131"/>
  <c r="AZ131" s="1"/>
  <c r="G132"/>
  <c r="BA134"/>
  <c r="AZ134" s="1"/>
  <c r="BL135"/>
  <c r="AZ135" s="1"/>
  <c r="G136"/>
  <c r="BA138"/>
  <c r="AZ138" s="1"/>
  <c r="BL139"/>
  <c r="AZ139" s="1"/>
  <c r="G140"/>
  <c r="BA142"/>
  <c r="BL143"/>
  <c r="AZ143" s="1"/>
  <c r="G144"/>
  <c r="BA146"/>
  <c r="AZ146" s="1"/>
  <c r="BL147"/>
  <c r="AZ147" s="1"/>
  <c r="G148"/>
  <c r="BA150"/>
  <c r="AZ150"/>
  <c r="BL151"/>
  <c r="AZ151"/>
  <c r="BA153"/>
  <c r="AZ153"/>
  <c r="BL154"/>
  <c r="G155"/>
  <c r="BA157"/>
  <c r="AZ157"/>
  <c r="BL158"/>
  <c r="G159"/>
  <c r="BA161"/>
  <c r="BL162"/>
  <c r="G163"/>
  <c r="BA165"/>
  <c r="BL166"/>
  <c r="G167"/>
  <c r="BA169"/>
  <c r="AZ169"/>
  <c r="BL170"/>
  <c r="G171"/>
  <c r="BA173"/>
  <c r="AZ173"/>
  <c r="BL174"/>
  <c r="G175"/>
  <c r="BA178"/>
  <c r="BL179"/>
  <c r="G180"/>
  <c r="AZ31"/>
  <c r="AZ39"/>
  <c r="AZ51"/>
  <c r="AZ59"/>
  <c r="G537"/>
  <c r="BL181"/>
  <c r="AZ181" s="1"/>
  <c r="G182"/>
  <c r="BA184"/>
  <c r="AZ184" s="1"/>
  <c r="BL185"/>
  <c r="G186"/>
  <c r="BA188"/>
  <c r="AZ188" s="1"/>
  <c r="BL189"/>
  <c r="AZ189" s="1"/>
  <c r="G190"/>
  <c r="BA192"/>
  <c r="AZ192" s="1"/>
  <c r="BL193"/>
  <c r="AZ193" s="1"/>
  <c r="G194"/>
  <c r="BA196"/>
  <c r="AZ196" s="1"/>
  <c r="BL197"/>
  <c r="AZ197" s="1"/>
  <c r="G198"/>
  <c r="BA200"/>
  <c r="AZ200" s="1"/>
  <c r="BL201"/>
  <c r="AZ201" s="1"/>
  <c r="AZ78"/>
  <c r="AZ82"/>
  <c r="AZ185"/>
  <c r="AZ84"/>
  <c r="AZ86"/>
  <c r="AZ94"/>
  <c r="AZ102"/>
  <c r="AZ110"/>
  <c r="G491"/>
  <c r="BA298"/>
  <c r="AZ298" s="1"/>
  <c r="BA299"/>
  <c r="AZ299" s="1"/>
  <c r="BL299"/>
  <c r="G300"/>
  <c r="G303"/>
  <c r="BL304"/>
  <c r="BA306"/>
  <c r="AZ306" s="1"/>
  <c r="BA307"/>
  <c r="BL307"/>
  <c r="G308"/>
  <c r="G319"/>
  <c r="BL320"/>
  <c r="BA322"/>
  <c r="BA323"/>
  <c r="AZ323" s="1"/>
  <c r="BL323"/>
  <c r="G324"/>
  <c r="G327"/>
  <c r="BL328"/>
  <c r="BA330"/>
  <c r="AZ330" s="1"/>
  <c r="BA331"/>
  <c r="AZ331" s="1"/>
  <c r="BL331"/>
  <c r="G332"/>
  <c r="G335"/>
  <c r="BL336"/>
  <c r="BA338"/>
  <c r="AZ338"/>
  <c r="BA339"/>
  <c r="BL339"/>
  <c r="AZ339" s="1"/>
  <c r="G340"/>
  <c r="G343"/>
  <c r="BL344"/>
  <c r="BA346"/>
  <c r="BA347"/>
  <c r="BL347"/>
  <c r="G348"/>
  <c r="G351"/>
  <c r="BL352"/>
  <c r="BA354"/>
  <c r="BA355"/>
  <c r="BL355"/>
  <c r="G356"/>
  <c r="AZ127"/>
  <c r="BA358"/>
  <c r="BA359"/>
  <c r="BL359"/>
  <c r="G360"/>
  <c r="G361"/>
  <c r="BL362"/>
  <c r="BA364"/>
  <c r="AZ364"/>
  <c r="BA365"/>
  <c r="AZ365"/>
  <c r="BL365"/>
  <c r="G366"/>
  <c r="G369"/>
  <c r="BL370"/>
  <c r="BA372"/>
  <c r="AZ372" s="1"/>
  <c r="BA373"/>
  <c r="BL373"/>
  <c r="AZ373"/>
  <c r="G374"/>
  <c r="G377"/>
  <c r="BL378"/>
  <c r="BA380"/>
  <c r="AZ380" s="1"/>
  <c r="BA381"/>
  <c r="BL381"/>
  <c r="G382"/>
  <c r="G385"/>
  <c r="AZ154"/>
  <c r="AZ162"/>
  <c r="AZ166"/>
  <c r="AZ170"/>
  <c r="AZ179"/>
  <c r="AZ183"/>
  <c r="AZ187"/>
  <c r="AZ191"/>
  <c r="AZ195"/>
  <c r="AZ199"/>
  <c r="AZ203"/>
  <c r="G523"/>
  <c r="BL297"/>
  <c r="AZ297"/>
  <c r="G298"/>
  <c r="BA300"/>
  <c r="BL301"/>
  <c r="AZ301"/>
  <c r="G302"/>
  <c r="BA304"/>
  <c r="AZ304" s="1"/>
  <c r="BL305"/>
  <c r="G306"/>
  <c r="BA308"/>
  <c r="AZ308" s="1"/>
  <c r="BL309"/>
  <c r="G310"/>
  <c r="BA310"/>
  <c r="AZ310" s="1"/>
  <c r="BL311"/>
  <c r="AZ311" s="1"/>
  <c r="G312"/>
  <c r="BA312"/>
  <c r="BL313"/>
  <c r="AZ313" s="1"/>
  <c r="G314"/>
  <c r="BA314"/>
  <c r="AZ314" s="1"/>
  <c r="BL315"/>
  <c r="G316"/>
  <c r="BA316"/>
  <c r="AZ316" s="1"/>
  <c r="BL317"/>
  <c r="AZ317" s="1"/>
  <c r="G318"/>
  <c r="BA320"/>
  <c r="AZ320" s="1"/>
  <c r="BL321"/>
  <c r="G322"/>
  <c r="BA324"/>
  <c r="BL325"/>
  <c r="AZ325" s="1"/>
  <c r="G326"/>
  <c r="BA328"/>
  <c r="AZ328" s="1"/>
  <c r="BL329"/>
  <c r="G330"/>
  <c r="BA332"/>
  <c r="BL333"/>
  <c r="G334"/>
  <c r="BA336"/>
  <c r="AZ336" s="1"/>
  <c r="BL337"/>
  <c r="G338"/>
  <c r="BA340"/>
  <c r="BL341"/>
  <c r="G342"/>
  <c r="BA344"/>
  <c r="AZ344" s="1"/>
  <c r="BL345"/>
  <c r="G346"/>
  <c r="BA348"/>
  <c r="AZ348" s="1"/>
  <c r="BL349"/>
  <c r="AZ349" s="1"/>
  <c r="G350"/>
  <c r="BA352"/>
  <c r="AZ352" s="1"/>
  <c r="BL353"/>
  <c r="G354"/>
  <c r="BA356"/>
  <c r="BL357"/>
  <c r="AZ357" s="1"/>
  <c r="G358"/>
  <c r="BA362"/>
  <c r="AZ362" s="1"/>
  <c r="BL363"/>
  <c r="G364"/>
  <c r="BA366"/>
  <c r="AZ366" s="1"/>
  <c r="BL367"/>
  <c r="AZ367" s="1"/>
  <c r="AZ205"/>
  <c r="AZ209"/>
  <c r="AZ221"/>
  <c r="AZ225"/>
  <c r="AZ237"/>
  <c r="AZ241"/>
  <c r="AZ309"/>
  <c r="AZ321"/>
  <c r="AZ333"/>
  <c r="AZ353"/>
  <c r="AZ363"/>
  <c r="G368"/>
  <c r="BA370"/>
  <c r="BL371"/>
  <c r="AZ371" s="1"/>
  <c r="G372"/>
  <c r="BA374"/>
  <c r="AZ374" s="1"/>
  <c r="BL375"/>
  <c r="AZ375" s="1"/>
  <c r="G376"/>
  <c r="BA378"/>
  <c r="AZ378" s="1"/>
  <c r="BL379"/>
  <c r="G380"/>
  <c r="BA382"/>
  <c r="AZ382" s="1"/>
  <c r="BL383"/>
  <c r="G384"/>
  <c r="AZ261"/>
  <c r="AZ265"/>
  <c r="AZ383"/>
  <c r="AZ274"/>
  <c r="AZ278"/>
  <c r="AZ290"/>
  <c r="AZ303"/>
  <c r="AZ335"/>
  <c r="AZ347"/>
  <c r="AZ361"/>
  <c r="AZ394"/>
  <c r="AZ410"/>
  <c r="AZ426"/>
  <c r="AZ430"/>
  <c r="AZ442"/>
  <c r="AZ446"/>
  <c r="AZ459"/>
  <c r="AZ463"/>
  <c r="AZ475"/>
  <c r="AZ479"/>
  <c r="H7" i="48"/>
  <c r="H113" i="46"/>
  <c r="H17"/>
  <c r="F33"/>
  <c r="F35"/>
  <c r="F37"/>
  <c r="H16" i="48"/>
  <c r="H9"/>
  <c r="H8"/>
  <c r="C12" i="46"/>
  <c r="AB16" i="35"/>
  <c r="AA43" i="21"/>
  <c r="U43"/>
  <c r="AA13" i="40"/>
  <c r="E78"/>
  <c r="F78" s="1"/>
  <c r="G78" s="1"/>
  <c r="H78" s="1"/>
  <c r="I78" s="1"/>
  <c r="J78" s="1"/>
  <c r="K78" s="1"/>
  <c r="L78" s="1"/>
  <c r="M78" s="1"/>
  <c r="BH5" i="3"/>
  <c r="R16" i="4"/>
  <c r="P16"/>
  <c r="D3" i="35"/>
  <c r="G4" i="4"/>
  <c r="J16" i="35"/>
  <c r="W16"/>
  <c r="U42" i="21"/>
  <c r="AC26" i="36"/>
  <c r="W25" i="35"/>
  <c r="AZ300" i="3"/>
  <c r="H13" i="39"/>
  <c r="AB13" s="1"/>
  <c r="F13"/>
  <c r="J13"/>
  <c r="AC13" s="1"/>
  <c r="AA36" i="35"/>
  <c r="H11" i="37"/>
  <c r="AB11"/>
  <c r="W37"/>
  <c r="AA30" i="33"/>
  <c r="AA36" i="37"/>
  <c r="AB17"/>
  <c r="AZ508" i="3"/>
  <c r="AA45" i="33"/>
  <c r="AC11" i="36"/>
  <c r="AC10"/>
  <c r="AC14" i="37"/>
  <c r="AB35" i="35"/>
  <c r="S25"/>
  <c r="AC29" i="37"/>
  <c r="W32" i="36"/>
  <c r="AC32"/>
  <c r="AB28" i="33"/>
  <c r="J33" i="34"/>
  <c r="AC33" s="1"/>
  <c r="AB36"/>
  <c r="J40"/>
  <c r="W40" s="1"/>
  <c r="F16" i="35"/>
  <c r="AA16" s="1"/>
  <c r="S24" i="36"/>
  <c r="W42" i="33"/>
  <c r="J35" i="34"/>
  <c r="W35" s="1"/>
  <c r="F107"/>
  <c r="G107" s="1"/>
  <c r="H107" s="1"/>
  <c r="I107" s="1"/>
  <c r="J107" s="1"/>
  <c r="K107" s="1"/>
  <c r="L107" s="1"/>
  <c r="M107" s="1"/>
  <c r="S30" i="36"/>
  <c r="H16"/>
  <c r="AB16" s="1"/>
  <c r="H35" i="37"/>
  <c r="AB35"/>
  <c r="S26" i="21"/>
  <c r="AB12"/>
  <c r="H32"/>
  <c r="U32"/>
  <c r="AB26"/>
  <c r="U26"/>
  <c r="AA33"/>
  <c r="S33"/>
  <c r="U39"/>
  <c r="W9"/>
  <c r="J32"/>
  <c r="AC32"/>
  <c r="G13" i="3"/>
  <c r="AC5"/>
  <c r="F17" i="21"/>
  <c r="S17"/>
  <c r="H17"/>
  <c r="AB17"/>
  <c r="J17"/>
  <c r="AC17"/>
  <c r="H37"/>
  <c r="U37"/>
  <c r="F40"/>
  <c r="S40"/>
  <c r="H40"/>
  <c r="AB40"/>
  <c r="E119"/>
  <c r="F119"/>
  <c r="G119" s="1"/>
  <c r="H119" s="1"/>
  <c r="I119" s="1"/>
  <c r="J119" s="1"/>
  <c r="K119" s="1"/>
  <c r="L119" s="1"/>
  <c r="M119" s="1"/>
  <c r="AA8" i="33"/>
  <c r="S8"/>
  <c r="AC8"/>
  <c r="H66"/>
  <c r="F10"/>
  <c r="AA10" s="1"/>
  <c r="F11"/>
  <c r="S11" s="1"/>
  <c r="J15"/>
  <c r="W15" s="1"/>
  <c r="H19"/>
  <c r="AB19" s="1"/>
  <c r="J32"/>
  <c r="AC32" s="1"/>
  <c r="F35"/>
  <c r="AA35" s="1"/>
  <c r="AB39" i="34"/>
  <c r="F11"/>
  <c r="S11" s="1"/>
  <c r="E80"/>
  <c r="F80" s="1"/>
  <c r="G80" s="1"/>
  <c r="H17"/>
  <c r="AB17" s="1"/>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J19"/>
  <c r="W19" s="1"/>
  <c r="F43"/>
  <c r="H43"/>
  <c r="U43"/>
  <c r="J43"/>
  <c r="F99" i="37"/>
  <c r="AC27"/>
  <c r="U25" i="35"/>
  <c r="AC40" i="37"/>
  <c r="W40"/>
  <c r="W27" i="33"/>
  <c r="AC45" i="21"/>
  <c r="S28" i="33"/>
  <c r="S14" i="21"/>
  <c r="AA44" i="34"/>
  <c r="AB29" i="35"/>
  <c r="U29"/>
  <c r="AC19" i="33"/>
  <c r="AC34" i="37"/>
  <c r="S35"/>
  <c r="AA35"/>
  <c r="AB10" i="35"/>
  <c r="AA32" i="21"/>
  <c r="S32"/>
  <c r="U38"/>
  <c r="AB34"/>
  <c r="BL571" i="3"/>
  <c r="BA571"/>
  <c r="AZ571" s="1"/>
  <c r="BL570"/>
  <c r="BE5"/>
  <c r="F42" i="21"/>
  <c r="AA42"/>
  <c r="AB40" i="33"/>
  <c r="U40"/>
  <c r="AA35" i="34"/>
  <c r="S35"/>
  <c r="E90"/>
  <c r="H27"/>
  <c r="AB27" s="1"/>
  <c r="AB8" i="35"/>
  <c r="U8"/>
  <c r="S9"/>
  <c r="J14"/>
  <c r="AC14" s="1"/>
  <c r="F14"/>
  <c r="H14"/>
  <c r="U14" s="1"/>
  <c r="E80"/>
  <c r="E94"/>
  <c r="F94" s="1"/>
  <c r="G94" s="1"/>
  <c r="H94" s="1"/>
  <c r="I94" s="1"/>
  <c r="J94" s="1"/>
  <c r="K94" s="1"/>
  <c r="L94" s="1"/>
  <c r="M94" s="1"/>
  <c r="J32"/>
  <c r="AC32" s="1"/>
  <c r="H11" i="36"/>
  <c r="AB11" s="1"/>
  <c r="F11"/>
  <c r="S11" s="1"/>
  <c r="W16"/>
  <c r="AC16"/>
  <c r="E78"/>
  <c r="F78" s="1"/>
  <c r="G78" s="1"/>
  <c r="H78" s="1"/>
  <c r="I78" s="1"/>
  <c r="J78" s="1"/>
  <c r="K78" s="1"/>
  <c r="L78" s="1"/>
  <c r="M78" s="1"/>
  <c r="F26"/>
  <c r="S26" s="1"/>
  <c r="U34"/>
  <c r="AB34"/>
  <c r="H33"/>
  <c r="U33" s="1"/>
  <c r="F33"/>
  <c r="AA33" s="1"/>
  <c r="H27"/>
  <c r="AB27" s="1"/>
  <c r="AA31"/>
  <c r="AC25" i="37"/>
  <c r="AC26"/>
  <c r="W26"/>
  <c r="AB29"/>
  <c r="AA30"/>
  <c r="S30"/>
  <c r="AC30"/>
  <c r="AC31"/>
  <c r="W31"/>
  <c r="AB14"/>
  <c r="F17" i="39"/>
  <c r="AA17"/>
  <c r="H17"/>
  <c r="U17"/>
  <c r="J17"/>
  <c r="W17"/>
  <c r="F21"/>
  <c r="S21"/>
  <c r="H21"/>
  <c r="J21"/>
  <c r="W21" s="1"/>
  <c r="F33"/>
  <c r="H33"/>
  <c r="U33" s="1"/>
  <c r="J33"/>
  <c r="F44"/>
  <c r="S44" s="1"/>
  <c r="H44"/>
  <c r="U44" s="1"/>
  <c r="J44"/>
  <c r="W44" s="1"/>
  <c r="E128"/>
  <c r="F128" s="1"/>
  <c r="G128" s="1"/>
  <c r="H128" s="1"/>
  <c r="I128" s="1"/>
  <c r="J128" s="1"/>
  <c r="K128" s="1"/>
  <c r="L128" s="1"/>
  <c r="M128" s="1"/>
  <c r="F46"/>
  <c r="S46"/>
  <c r="H46"/>
  <c r="U46"/>
  <c r="J46"/>
  <c r="W46"/>
  <c r="F29"/>
  <c r="AA29"/>
  <c r="E103"/>
  <c r="F103"/>
  <c r="G103" s="1"/>
  <c r="H29"/>
  <c r="U29" s="1"/>
  <c r="F34"/>
  <c r="AA34" s="1"/>
  <c r="H34"/>
  <c r="AB34" s="1"/>
  <c r="J34"/>
  <c r="AC34" s="1"/>
  <c r="F39"/>
  <c r="H39"/>
  <c r="AB39" s="1"/>
  <c r="J39"/>
  <c r="J29" i="35"/>
  <c r="AC29" s="1"/>
  <c r="F29"/>
  <c r="S29" s="1"/>
  <c r="W30" i="36"/>
  <c r="AC30"/>
  <c r="F37" i="39"/>
  <c r="S37" s="1"/>
  <c r="H37"/>
  <c r="U37" s="1"/>
  <c r="J37"/>
  <c r="W37" s="1"/>
  <c r="BL568" i="3"/>
  <c r="BA568"/>
  <c r="AZ568"/>
  <c r="BL567"/>
  <c r="BA567"/>
  <c r="AZ567" s="1"/>
  <c r="BL566"/>
  <c r="AZ566" s="1"/>
  <c r="BL565"/>
  <c r="AZ565" s="1"/>
  <c r="BA564"/>
  <c r="AZ564" s="1"/>
  <c r="BA563"/>
  <c r="AZ563" s="1"/>
  <c r="BL554"/>
  <c r="AZ554" s="1"/>
  <c r="BA553"/>
  <c r="AZ553" s="1"/>
  <c r="BA552"/>
  <c r="BL549"/>
  <c r="BA549"/>
  <c r="BL548"/>
  <c r="BA548"/>
  <c r="BL547"/>
  <c r="BA547"/>
  <c r="BL539"/>
  <c r="BA539"/>
  <c r="AZ539"/>
  <c r="BA538"/>
  <c r="AZ538"/>
  <c r="BL537"/>
  <c r="BA537"/>
  <c r="BL536"/>
  <c r="AZ536"/>
  <c r="BA535"/>
  <c r="AZ535"/>
  <c r="BA534"/>
  <c r="BA533"/>
  <c r="AZ533" s="1"/>
  <c r="BL531"/>
  <c r="AZ531" s="1"/>
  <c r="BL530"/>
  <c r="BA530"/>
  <c r="BL529"/>
  <c r="BA529"/>
  <c r="BL528"/>
  <c r="AZ528" s="1"/>
  <c r="BA527"/>
  <c r="AZ527" s="1"/>
  <c r="BA526"/>
  <c r="BA525"/>
  <c r="AZ525"/>
  <c r="BL523"/>
  <c r="BA523"/>
  <c r="AZ523" s="1"/>
  <c r="BL522"/>
  <c r="BA522"/>
  <c r="AZ522" s="1"/>
  <c r="BL521"/>
  <c r="AZ521" s="1"/>
  <c r="BA519"/>
  <c r="AZ519" s="1"/>
  <c r="BL518"/>
  <c r="BA518"/>
  <c r="BL517"/>
  <c r="BA517"/>
  <c r="AZ517"/>
  <c r="BL515"/>
  <c r="BA515"/>
  <c r="BA514"/>
  <c r="BL513"/>
  <c r="BA513"/>
  <c r="BL512"/>
  <c r="AZ512" s="1"/>
  <c r="BA511"/>
  <c r="AZ511" s="1"/>
  <c r="BA510"/>
  <c r="AZ510" s="1"/>
  <c r="BL509"/>
  <c r="AZ509" s="1"/>
  <c r="BL507"/>
  <c r="BA507"/>
  <c r="AZ507"/>
  <c r="BL506"/>
  <c r="BA506"/>
  <c r="AZ506" s="1"/>
  <c r="BL505"/>
  <c r="AZ505" s="1"/>
  <c r="BL504"/>
  <c r="BA504"/>
  <c r="BA503"/>
  <c r="AZ503" s="1"/>
  <c r="BA500"/>
  <c r="AZ500" s="1"/>
  <c r="BL499"/>
  <c r="BA499"/>
  <c r="AZ499"/>
  <c r="BL498"/>
  <c r="AZ498"/>
  <c r="BL497"/>
  <c r="BA497"/>
  <c r="BL496"/>
  <c r="BA496"/>
  <c r="AZ496" s="1"/>
  <c r="BA495"/>
  <c r="AZ495" s="1"/>
  <c r="BL494"/>
  <c r="BA494"/>
  <c r="AZ494"/>
  <c r="G494"/>
  <c r="BA491"/>
  <c r="AZ491" s="1"/>
  <c r="BL490"/>
  <c r="BA490"/>
  <c r="AZ490" s="1"/>
  <c r="BL489"/>
  <c r="BA489"/>
  <c r="BL487"/>
  <c r="AZ487" s="1"/>
  <c r="BL486"/>
  <c r="BA486"/>
  <c r="BA485"/>
  <c r="AZ485" s="1"/>
  <c r="BA483"/>
  <c r="AZ483" s="1"/>
  <c r="BA482"/>
  <c r="AZ482" s="1"/>
  <c r="BL481"/>
  <c r="BJ5"/>
  <c r="BA481"/>
  <c r="AZ481" s="1"/>
  <c r="BB5"/>
  <c r="BL19"/>
  <c r="AZ19" s="1"/>
  <c r="BA18"/>
  <c r="F36" i="44"/>
  <c r="F114" i="34"/>
  <c r="G114" s="1"/>
  <c r="H114" s="1"/>
  <c r="I114" s="1"/>
  <c r="J114" s="1"/>
  <c r="K114" s="1"/>
  <c r="L114" s="1"/>
  <c r="M114" s="1"/>
  <c r="H38"/>
  <c r="U38" s="1"/>
  <c r="H30" i="40"/>
  <c r="AB30" s="1"/>
  <c r="G100"/>
  <c r="J30"/>
  <c r="AC30" s="1"/>
  <c r="F38"/>
  <c r="AA38" s="1"/>
  <c r="AA36" i="34"/>
  <c r="AB33" i="21"/>
  <c r="S35"/>
  <c r="AB10"/>
  <c r="U8"/>
  <c r="AB8"/>
  <c r="S34"/>
  <c r="AC36"/>
  <c r="AB8" i="33"/>
  <c r="U8"/>
  <c r="E106"/>
  <c r="H34"/>
  <c r="U34" s="1"/>
  <c r="F34"/>
  <c r="S34" s="1"/>
  <c r="E121"/>
  <c r="F41"/>
  <c r="S41" s="1"/>
  <c r="AC34" i="34"/>
  <c r="W34"/>
  <c r="AA39"/>
  <c r="E78"/>
  <c r="F15"/>
  <c r="AA15" s="1"/>
  <c r="AC28" i="35"/>
  <c r="W28"/>
  <c r="J20"/>
  <c r="AC20" s="1"/>
  <c r="E72"/>
  <c r="F72" s="1"/>
  <c r="G72" s="1"/>
  <c r="H22"/>
  <c r="AB22" s="1"/>
  <c r="H23"/>
  <c r="F23"/>
  <c r="AA23" s="1"/>
  <c r="AB36"/>
  <c r="U36"/>
  <c r="W12" i="36"/>
  <c r="AC12"/>
  <c r="U31"/>
  <c r="S8" i="37"/>
  <c r="AA8"/>
  <c r="F14" i="39"/>
  <c r="AA14" s="1"/>
  <c r="H14"/>
  <c r="AB14" s="1"/>
  <c r="J14"/>
  <c r="AC14" s="1"/>
  <c r="F16"/>
  <c r="AA16" s="1"/>
  <c r="H16"/>
  <c r="U16" s="1"/>
  <c r="J16"/>
  <c r="AC16" s="1"/>
  <c r="F23"/>
  <c r="AA23" s="1"/>
  <c r="E97"/>
  <c r="F27"/>
  <c r="AA27" s="1"/>
  <c r="H27"/>
  <c r="AB27" s="1"/>
  <c r="J27"/>
  <c r="AC27" s="1"/>
  <c r="F15" i="40"/>
  <c r="AA15" s="1"/>
  <c r="J15"/>
  <c r="H15"/>
  <c r="AB15" s="1"/>
  <c r="E92"/>
  <c r="F92" s="1"/>
  <c r="G92" s="1"/>
  <c r="H23"/>
  <c r="U23" s="1"/>
  <c r="H41"/>
  <c r="AB41" s="1"/>
  <c r="F41"/>
  <c r="AA41" s="1"/>
  <c r="J41"/>
  <c r="F15" i="39"/>
  <c r="AA15"/>
  <c r="H15"/>
  <c r="U15"/>
  <c r="J15"/>
  <c r="AC15"/>
  <c r="H25"/>
  <c r="U25"/>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c r="H34"/>
  <c r="U34"/>
  <c r="AZ431" i="3"/>
  <c r="B41" i="1"/>
  <c r="J42" i="40"/>
  <c r="AC42"/>
  <c r="J40"/>
  <c r="AC40"/>
  <c r="J34"/>
  <c r="AC34"/>
  <c r="H16"/>
  <c r="AB16"/>
  <c r="H14"/>
  <c r="U14"/>
  <c r="F32"/>
  <c r="AA32"/>
  <c r="AZ401" i="3"/>
  <c r="AZ441"/>
  <c r="AZ444"/>
  <c r="M1" i="46"/>
  <c r="M6"/>
  <c r="M10"/>
  <c r="N2"/>
  <c r="N5"/>
  <c r="F58"/>
  <c r="N7"/>
  <c r="AZ461" i="3"/>
  <c r="AZ466"/>
  <c r="AZ477"/>
  <c r="AZ388"/>
  <c r="AZ207"/>
  <c r="AZ220"/>
  <c r="AZ223"/>
  <c r="AZ236"/>
  <c r="AZ239"/>
  <c r="AZ252"/>
  <c r="AZ260"/>
  <c r="AZ263"/>
  <c r="AZ276"/>
  <c r="AZ281"/>
  <c r="AZ292"/>
  <c r="AZ121"/>
  <c r="AZ137"/>
  <c r="AZ152"/>
  <c r="M7" i="46"/>
  <c r="M11"/>
  <c r="N3"/>
  <c r="N6"/>
  <c r="N10"/>
  <c r="AZ167" i="3"/>
  <c r="AZ180"/>
  <c r="AZ40"/>
  <c r="AZ56"/>
  <c r="AZ71"/>
  <c r="AZ79"/>
  <c r="AZ91"/>
  <c r="AZ107"/>
  <c r="AZ112"/>
  <c r="J13" i="40"/>
  <c r="W13" s="1"/>
  <c r="AB14"/>
  <c r="W40"/>
  <c r="F34" i="44"/>
  <c r="F27" i="43"/>
  <c r="F66" i="9"/>
  <c r="P72" s="1"/>
  <c r="F71"/>
  <c r="F72"/>
  <c r="AC14" i="40"/>
  <c r="W35"/>
  <c r="S33"/>
  <c r="AB32"/>
  <c r="AC47" i="39"/>
  <c r="S47"/>
  <c r="AB25"/>
  <c r="AC41" i="40"/>
  <c r="W41"/>
  <c r="U41"/>
  <c r="J23"/>
  <c r="AC23" s="1"/>
  <c r="F23"/>
  <c r="S23" s="1"/>
  <c r="AC15"/>
  <c r="W15"/>
  <c r="W27" i="39"/>
  <c r="S23"/>
  <c r="AB16"/>
  <c r="W14"/>
  <c r="U23" i="35"/>
  <c r="AB23"/>
  <c r="H20"/>
  <c r="AB20" s="1"/>
  <c r="F20"/>
  <c r="S20"/>
  <c r="H15" i="34"/>
  <c r="AB15" s="1"/>
  <c r="F78"/>
  <c r="G78" s="1"/>
  <c r="J15"/>
  <c r="AC15" s="1"/>
  <c r="H41" i="33"/>
  <c r="U41" s="1"/>
  <c r="F121"/>
  <c r="G121" s="1"/>
  <c r="H121" s="1"/>
  <c r="I121" s="1"/>
  <c r="J121" s="1"/>
  <c r="K121" s="1"/>
  <c r="L121" s="1"/>
  <c r="M121" s="1"/>
  <c r="F30" i="40"/>
  <c r="AA30" s="1"/>
  <c r="H100"/>
  <c r="I100" s="1"/>
  <c r="J100" s="1"/>
  <c r="K100" s="1"/>
  <c r="L100" s="1"/>
  <c r="M100" s="1"/>
  <c r="AZ486" i="3"/>
  <c r="AZ497"/>
  <c r="AZ504"/>
  <c r="AZ515"/>
  <c r="AZ529"/>
  <c r="AZ530"/>
  <c r="AZ537"/>
  <c r="AZ547"/>
  <c r="AZ548"/>
  <c r="AZ549"/>
  <c r="AB37" i="39"/>
  <c r="AA29" i="35"/>
  <c r="U39" i="39"/>
  <c r="J29"/>
  <c r="AC29" s="1"/>
  <c r="AB21"/>
  <c r="U21"/>
  <c r="AB17"/>
  <c r="AB33" i="36"/>
  <c r="AA11"/>
  <c r="AA14" i="35"/>
  <c r="S14"/>
  <c r="G99" i="37"/>
  <c r="F33"/>
  <c r="S33" s="1"/>
  <c r="AB19" i="39"/>
  <c r="U19"/>
  <c r="U46" i="34"/>
  <c r="AC30"/>
  <c r="AA14"/>
  <c r="W12"/>
  <c r="AC13" i="33"/>
  <c r="AA11" i="34"/>
  <c r="H15" i="33"/>
  <c r="U15" s="1"/>
  <c r="AA11"/>
  <c r="AA40" i="21"/>
  <c r="U17"/>
  <c r="S13" i="39"/>
  <c r="AA13"/>
  <c r="U16" i="40"/>
  <c r="W34"/>
  <c r="AB34"/>
  <c r="AB42"/>
  <c r="U42"/>
  <c r="AC16"/>
  <c r="W32"/>
  <c r="H25"/>
  <c r="AB25" s="1"/>
  <c r="F94"/>
  <c r="G94" s="1"/>
  <c r="U47" i="39"/>
  <c r="W15"/>
  <c r="S41" i="40"/>
  <c r="AB23"/>
  <c r="U27" i="39"/>
  <c r="H23"/>
  <c r="AB23"/>
  <c r="J23"/>
  <c r="AC23" s="1"/>
  <c r="F97"/>
  <c r="G97" s="1"/>
  <c r="S16"/>
  <c r="S15" i="34"/>
  <c r="AA41" i="33"/>
  <c r="F106"/>
  <c r="G106" s="1"/>
  <c r="H106" s="1"/>
  <c r="I106" s="1"/>
  <c r="J106" s="1"/>
  <c r="K106" s="1"/>
  <c r="L106" s="1"/>
  <c r="M106" s="1"/>
  <c r="J34"/>
  <c r="AC34" s="1"/>
  <c r="U30" i="40"/>
  <c r="AA37" i="39"/>
  <c r="W29" i="35"/>
  <c r="AC39" i="39"/>
  <c r="W39"/>
  <c r="AA39"/>
  <c r="S39"/>
  <c r="U34"/>
  <c r="AB29"/>
  <c r="AB46"/>
  <c r="AB44"/>
  <c r="AC33"/>
  <c r="W33"/>
  <c r="AA33"/>
  <c r="S33"/>
  <c r="S17"/>
  <c r="U11" i="36"/>
  <c r="F80" i="35"/>
  <c r="G80" s="1"/>
  <c r="H80" s="1"/>
  <c r="I80" s="1"/>
  <c r="J80" s="1"/>
  <c r="K80" s="1"/>
  <c r="L80" s="1"/>
  <c r="M80" s="1"/>
  <c r="W14"/>
  <c r="F90" i="34"/>
  <c r="G90" s="1"/>
  <c r="H90" s="1"/>
  <c r="I90" s="1"/>
  <c r="J90" s="1"/>
  <c r="K90" s="1"/>
  <c r="L90" s="1"/>
  <c r="M90" s="1"/>
  <c r="F27"/>
  <c r="S27" s="1"/>
  <c r="AC43" i="39"/>
  <c r="W43"/>
  <c r="AA43"/>
  <c r="S43"/>
  <c r="AA19"/>
  <c r="G96" i="37"/>
  <c r="H96" s="1"/>
  <c r="I96" s="1"/>
  <c r="J96" s="1"/>
  <c r="K96" s="1"/>
  <c r="L96" s="1"/>
  <c r="M96" s="1"/>
  <c r="F32"/>
  <c r="S32" s="1"/>
  <c r="U11" i="35"/>
  <c r="AB11"/>
  <c r="S46" i="34"/>
  <c r="U32"/>
  <c r="U14"/>
  <c r="AC14"/>
  <c r="U12"/>
  <c r="AB13" i="33"/>
  <c r="F17" i="34"/>
  <c r="AA17" s="1"/>
  <c r="J17"/>
  <c r="AC17" s="1"/>
  <c r="H11"/>
  <c r="AB11" s="1"/>
  <c r="J35" i="33"/>
  <c r="W35" s="1"/>
  <c r="AC15"/>
  <c r="H11"/>
  <c r="U11" s="1"/>
  <c r="H10"/>
  <c r="U10" s="1"/>
  <c r="I66"/>
  <c r="J10"/>
  <c r="AC10" s="1"/>
  <c r="U40" i="21"/>
  <c r="U11" i="37"/>
  <c r="U13" i="39"/>
  <c r="AC16" i="35"/>
  <c r="J11" i="34"/>
  <c r="W11" s="1"/>
  <c r="F25" i="40"/>
  <c r="AA25" s="1"/>
  <c r="J11" i="33"/>
  <c r="W11" s="1"/>
  <c r="H33" i="37"/>
  <c r="AB33"/>
  <c r="W15" i="34"/>
  <c r="U20" i="35"/>
  <c r="W23" i="40"/>
  <c r="D73" i="9"/>
  <c r="N73" s="1"/>
  <c r="AP11" i="1"/>
  <c r="B11"/>
  <c r="E11"/>
  <c r="K11"/>
  <c r="M11" s="1"/>
  <c r="B9"/>
  <c r="E9" s="1"/>
  <c r="K9"/>
  <c r="M9" s="1"/>
  <c r="B7"/>
  <c r="E7" s="1"/>
  <c r="K7"/>
  <c r="M7" s="1"/>
  <c r="C20" i="43"/>
  <c r="F6" i="1"/>
  <c r="AP6" s="1"/>
  <c r="G11"/>
  <c r="M22" i="44"/>
  <c r="F32" i="15"/>
  <c r="F59" s="1"/>
  <c r="F29" i="12"/>
  <c r="F70" i="9"/>
  <c r="D86"/>
  <c r="M20" i="44"/>
  <c r="F31" i="43"/>
  <c r="C31" s="1"/>
  <c r="F30" i="44"/>
  <c r="C30" s="1"/>
  <c r="C27" i="43"/>
  <c r="C25" i="12"/>
  <c r="AC25" i="36"/>
  <c r="S8"/>
  <c r="AA26"/>
  <c r="AA28"/>
  <c r="U25"/>
  <c r="H20"/>
  <c r="U20" s="1"/>
  <c r="J20"/>
  <c r="AC20" s="1"/>
  <c r="F20"/>
  <c r="S20" s="1"/>
  <c r="F62"/>
  <c r="G62" s="1"/>
  <c r="J14"/>
  <c r="H14"/>
  <c r="F14"/>
  <c r="AA14" s="1"/>
  <c r="W20"/>
  <c r="U27"/>
  <c r="U32"/>
  <c r="AB12"/>
  <c r="S33"/>
  <c r="AA27"/>
  <c r="S16"/>
  <c r="S29"/>
  <c r="AC33" i="35"/>
  <c r="U22"/>
  <c r="AA13"/>
  <c r="S8"/>
  <c r="U33"/>
  <c r="AA20"/>
  <c r="W20"/>
  <c r="S23"/>
  <c r="S16"/>
  <c r="AB14"/>
  <c r="AC10"/>
  <c r="U9"/>
  <c r="W13"/>
  <c r="AC18"/>
  <c r="W18"/>
  <c r="U18"/>
  <c r="AB18"/>
  <c r="S30"/>
  <c r="AA35"/>
  <c r="AB30"/>
  <c r="S27"/>
  <c r="S28"/>
  <c r="J26"/>
  <c r="F26"/>
  <c r="H26"/>
  <c r="AB9" i="37"/>
  <c r="W12"/>
  <c r="AA9"/>
  <c r="S17"/>
  <c r="W28"/>
  <c r="AB37"/>
  <c r="AA31"/>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A40"/>
  <c r="U30"/>
  <c r="S32"/>
  <c r="AB33"/>
  <c r="AA12"/>
  <c r="AC35"/>
  <c r="AC32"/>
  <c r="AA33"/>
  <c r="U44"/>
  <c r="U34"/>
  <c r="J23"/>
  <c r="F86"/>
  <c r="G86" s="1"/>
  <c r="F23"/>
  <c r="S23" s="1"/>
  <c r="H23"/>
  <c r="AB23" s="1"/>
  <c r="U10"/>
  <c r="W19"/>
  <c r="W29"/>
  <c r="AC21"/>
  <c r="W21"/>
  <c r="AB21"/>
  <c r="U21"/>
  <c r="U19"/>
  <c r="S13"/>
  <c r="AA41"/>
  <c r="S10"/>
  <c r="U39" i="33"/>
  <c r="AC12"/>
  <c r="AB41"/>
  <c r="AC35"/>
  <c r="W31"/>
  <c r="W43"/>
  <c r="U46"/>
  <c r="W39"/>
  <c r="U35"/>
  <c r="W26"/>
  <c r="AB26"/>
  <c r="H25"/>
  <c r="AB25" s="1"/>
  <c r="J25"/>
  <c r="W25" s="1"/>
  <c r="F25"/>
  <c r="AA25" s="1"/>
  <c r="F85"/>
  <c r="G85" s="1"/>
  <c r="J23"/>
  <c r="W23" s="1"/>
  <c r="F23"/>
  <c r="H23"/>
  <c r="U23" s="1"/>
  <c r="F17"/>
  <c r="AA17" s="1"/>
  <c r="H17"/>
  <c r="AB17" s="1"/>
  <c r="J17"/>
  <c r="AC17" s="1"/>
  <c r="S14"/>
  <c r="AC21"/>
  <c r="W21"/>
  <c r="W14"/>
  <c r="AB21"/>
  <c r="U21"/>
  <c r="AA21"/>
  <c r="S21"/>
  <c r="AA44"/>
  <c r="S44" i="21"/>
  <c r="W39"/>
  <c r="AC34"/>
  <c r="W32"/>
  <c r="U35"/>
  <c r="W43"/>
  <c r="AA37"/>
  <c r="S42"/>
  <c r="AB37"/>
  <c r="AB32"/>
  <c r="W28"/>
  <c r="AC46"/>
  <c r="AC26"/>
  <c r="F85"/>
  <c r="G85" s="1"/>
  <c r="J23"/>
  <c r="W23" s="1"/>
  <c r="F23"/>
  <c r="H23"/>
  <c r="AA17"/>
  <c r="W17"/>
  <c r="F15"/>
  <c r="S15" s="1"/>
  <c r="F77"/>
  <c r="G77" s="1"/>
  <c r="J15"/>
  <c r="H15"/>
  <c r="AC11"/>
  <c r="AB11"/>
  <c r="W13"/>
  <c r="AA11"/>
  <c r="AC21"/>
  <c r="W21"/>
  <c r="W44"/>
  <c r="AC19"/>
  <c r="W10"/>
  <c r="AC38"/>
  <c r="AB21"/>
  <c r="U21"/>
  <c r="AB29"/>
  <c r="AA30"/>
  <c r="AA31"/>
  <c r="W33" i="40"/>
  <c r="U33"/>
  <c r="S35"/>
  <c r="U15"/>
  <c r="S14"/>
  <c r="S15"/>
  <c r="AB13"/>
  <c r="S16"/>
  <c r="W11"/>
  <c r="AA21"/>
  <c r="U21"/>
  <c r="W25"/>
  <c r="W42"/>
  <c r="U35"/>
  <c r="F37"/>
  <c r="J37"/>
  <c r="AC37" s="1"/>
  <c r="H37"/>
  <c r="G113"/>
  <c r="H113"/>
  <c r="I113" s="1"/>
  <c r="J113" s="1"/>
  <c r="K113" s="1"/>
  <c r="L113" s="1"/>
  <c r="M113" s="1"/>
  <c r="F39"/>
  <c r="S38"/>
  <c r="H39"/>
  <c r="J39"/>
  <c r="W38"/>
  <c r="F29"/>
  <c r="H29"/>
  <c r="J29"/>
  <c r="F98"/>
  <c r="G98" s="1"/>
  <c r="H98" s="1"/>
  <c r="I98" s="1"/>
  <c r="J98" s="1"/>
  <c r="K98" s="1"/>
  <c r="L98" s="1"/>
  <c r="M98" s="1"/>
  <c r="S30"/>
  <c r="S25"/>
  <c r="AA23"/>
  <c r="F88"/>
  <c r="G88"/>
  <c r="F19"/>
  <c r="H19"/>
  <c r="J19"/>
  <c r="W17"/>
  <c r="AC17"/>
  <c r="F17"/>
  <c r="AA17" s="1"/>
  <c r="H17"/>
  <c r="AB17" s="1"/>
  <c r="W21"/>
  <c r="AB40"/>
  <c r="U10"/>
  <c r="U27"/>
  <c r="AB27"/>
  <c r="AC44" i="39"/>
  <c r="W13"/>
  <c r="S11"/>
  <c r="AB45"/>
  <c r="S27"/>
  <c r="AA21"/>
  <c r="AC19"/>
  <c r="AC38"/>
  <c r="W29"/>
  <c r="S29"/>
  <c r="AC21"/>
  <c r="AC17"/>
  <c r="S14"/>
  <c r="AB15"/>
  <c r="U11"/>
  <c r="U41"/>
  <c r="U23"/>
  <c r="AB38"/>
  <c r="U31"/>
  <c r="AB31"/>
  <c r="S25"/>
  <c r="S38"/>
  <c r="S22" i="31"/>
  <c r="D18" i="9"/>
  <c r="M43"/>
  <c r="M20" i="15"/>
  <c r="D96" i="9"/>
  <c r="F28" i="15"/>
  <c r="C28" s="1"/>
  <c r="M18"/>
  <c r="A18" i="64"/>
  <c r="B74" i="63" s="1"/>
  <c r="C53" i="10"/>
  <c r="A25" i="64" s="1"/>
  <c r="A18" i="51"/>
  <c r="B14" i="63" s="1"/>
  <c r="BA16" i="3"/>
  <c r="BA17"/>
  <c r="AZ17" s="1"/>
  <c r="F3" i="35"/>
  <c r="K1" i="43"/>
  <c r="K1" i="12"/>
  <c r="G1" i="44"/>
  <c r="I4" i="6"/>
  <c r="G3" i="72" s="1"/>
  <c r="AZ15" i="3"/>
  <c r="BK5"/>
  <c r="BO5"/>
  <c r="BP5"/>
  <c r="BN5"/>
  <c r="BL18"/>
  <c r="AZ18" s="1"/>
  <c r="BC5"/>
  <c r="E8" i="6" s="1"/>
  <c r="BD5" i="3"/>
  <c r="BR5"/>
  <c r="G28" i="6" s="1"/>
  <c r="BS5" i="3"/>
  <c r="BQ5"/>
  <c r="BL16"/>
  <c r="BM5"/>
  <c r="BA13"/>
  <c r="G28" i="12"/>
  <c r="G22" i="43"/>
  <c r="G26" i="12"/>
  <c r="D24" i="44"/>
  <c r="D26"/>
  <c r="G27" i="12"/>
  <c r="G23" i="43"/>
  <c r="G21"/>
  <c r="E11" i="46"/>
  <c r="E10"/>
  <c r="N8"/>
  <c r="N4"/>
  <c r="F47" s="1"/>
  <c r="N1"/>
  <c r="M9"/>
  <c r="M2"/>
  <c r="N11"/>
  <c r="N9"/>
  <c r="F69"/>
  <c r="H71" s="1"/>
  <c r="M4"/>
  <c r="C6" s="1"/>
  <c r="M12"/>
  <c r="M8"/>
  <c r="M3"/>
  <c r="M5"/>
  <c r="H6" i="48"/>
  <c r="E9" i="46"/>
  <c r="H15" i="48"/>
  <c r="H5"/>
  <c r="H14"/>
  <c r="F38" i="46"/>
  <c r="F36"/>
  <c r="F34"/>
  <c r="J17"/>
  <c r="C17"/>
  <c r="F39"/>
  <c r="H13" i="48"/>
  <c r="H11"/>
  <c r="E8" i="46"/>
  <c r="C7"/>
  <c r="I17"/>
  <c r="E17"/>
  <c r="D71"/>
  <c r="D84"/>
  <c r="E80" s="1"/>
  <c r="B78" s="1"/>
  <c r="D69"/>
  <c r="E69" s="1"/>
  <c r="B67" s="1"/>
  <c r="E58"/>
  <c r="B56" s="1"/>
  <c r="A4" i="64"/>
  <c r="A4" i="51"/>
  <c r="C51" i="10"/>
  <c r="H58" i="46"/>
  <c r="H61"/>
  <c r="H62"/>
  <c r="I100"/>
  <c r="N100"/>
  <c r="H100"/>
  <c r="F108"/>
  <c r="H80"/>
  <c r="E100"/>
  <c r="G100"/>
  <c r="H84"/>
  <c r="H65"/>
  <c r="H66"/>
  <c r="C100"/>
  <c r="J100"/>
  <c r="M100"/>
  <c r="AA12" i="36"/>
  <c r="U12" i="35"/>
  <c r="AB12"/>
  <c r="W11"/>
  <c r="AA11"/>
  <c r="S14" i="37"/>
  <c r="U13"/>
  <c r="S13" i="21"/>
  <c r="C24" i="9"/>
  <c r="C25"/>
  <c r="AP7" i="1"/>
  <c r="G7"/>
  <c r="AP9"/>
  <c r="G9"/>
  <c r="AP8"/>
  <c r="G8"/>
  <c r="I20" i="46"/>
  <c r="B6" i="63"/>
  <c r="L5" i="54"/>
  <c r="B39" i="63"/>
  <c r="K5" i="54"/>
  <c r="B38" i="63"/>
  <c r="T41" i="4"/>
  <c r="A17" i="64"/>
  <c r="B46" i="50"/>
  <c r="B4" i="63" s="1"/>
  <c r="C46" i="36"/>
  <c r="D46" s="1"/>
  <c r="E46" s="1"/>
  <c r="F46" s="1"/>
  <c r="G46" s="1"/>
  <c r="C59" i="34"/>
  <c r="D59" s="1"/>
  <c r="E59" s="1"/>
  <c r="C48" i="35"/>
  <c r="D48" s="1"/>
  <c r="C52" i="37"/>
  <c r="D52" s="1"/>
  <c r="C67" i="40"/>
  <c r="D65"/>
  <c r="P24" i="46"/>
  <c r="B68" i="40" s="1"/>
  <c r="P25" i="46"/>
  <c r="B73" i="39" s="1"/>
  <c r="P23" i="46"/>
  <c r="P21"/>
  <c r="P22"/>
  <c r="C72" i="39"/>
  <c r="D70"/>
  <c r="O19" i="46"/>
  <c r="A22" i="51"/>
  <c r="B16" i="63" s="1"/>
  <c r="H77" i="46"/>
  <c r="H73"/>
  <c r="H69"/>
  <c r="H74"/>
  <c r="H86"/>
  <c r="H82"/>
  <c r="H63"/>
  <c r="H59"/>
  <c r="H64"/>
  <c r="H60"/>
  <c r="H10" i="48"/>
  <c r="H87" i="46"/>
  <c r="H85"/>
  <c r="H83"/>
  <c r="K10" i="1"/>
  <c r="M10" s="1"/>
  <c r="O10" s="1"/>
  <c r="P10" s="1"/>
  <c r="S11"/>
  <c r="R11"/>
  <c r="S13"/>
  <c r="R13"/>
  <c r="B6"/>
  <c r="E6"/>
  <c r="B10"/>
  <c r="E10"/>
  <c r="S10"/>
  <c r="B8"/>
  <c r="E8" s="1"/>
  <c r="B12"/>
  <c r="E12" s="1"/>
  <c r="S12"/>
  <c r="K6"/>
  <c r="M6" s="1"/>
  <c r="C15" i="43"/>
  <c r="G1" i="15"/>
  <c r="F66" i="36"/>
  <c r="H18"/>
  <c r="U16"/>
  <c r="S25"/>
  <c r="AA34"/>
  <c r="AC27"/>
  <c r="W28"/>
  <c r="AA32"/>
  <c r="U13"/>
  <c r="AA22"/>
  <c r="U10"/>
  <c r="AA13"/>
  <c r="W29"/>
  <c r="W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B14"/>
  <c r="S26"/>
  <c r="AB12"/>
  <c r="S39" i="21"/>
  <c r="AB25"/>
  <c r="AB45"/>
  <c r="W25"/>
  <c r="AA25"/>
  <c r="AC37"/>
  <c r="AA29"/>
  <c r="U27"/>
  <c r="W31"/>
  <c r="S27"/>
  <c r="AA15"/>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D24" i="15"/>
  <c r="F29" i="6"/>
  <c r="F28"/>
  <c r="F30" s="1"/>
  <c r="S14" i="36"/>
  <c r="AB20"/>
  <c r="AA20"/>
  <c r="AC14"/>
  <c r="W14"/>
  <c r="U14"/>
  <c r="AB14"/>
  <c r="U18"/>
  <c r="AB18"/>
  <c r="AA26" i="35"/>
  <c r="S26"/>
  <c r="U26"/>
  <c r="AB26"/>
  <c r="W26"/>
  <c r="AC26"/>
  <c r="S19" i="37"/>
  <c r="W19"/>
  <c r="AB19"/>
  <c r="U19"/>
  <c r="AC17"/>
  <c r="W17"/>
  <c r="AA23" i="34"/>
  <c r="AC23"/>
  <c r="W23"/>
  <c r="AC23" i="33"/>
  <c r="S23"/>
  <c r="AA23"/>
  <c r="W17"/>
  <c r="U17"/>
  <c r="U23" i="21"/>
  <c r="AB23"/>
  <c r="AA23"/>
  <c r="S23"/>
  <c r="U15"/>
  <c r="AB15"/>
  <c r="W15"/>
  <c r="AC15"/>
  <c r="AB39" i="40"/>
  <c r="U39"/>
  <c r="AC39"/>
  <c r="W39"/>
  <c r="AA39"/>
  <c r="S39"/>
  <c r="U37"/>
  <c r="AB37"/>
  <c r="AA37"/>
  <c r="S37"/>
  <c r="U29"/>
  <c r="AB29"/>
  <c r="AC29"/>
  <c r="W29"/>
  <c r="AA29"/>
  <c r="S29"/>
  <c r="W19"/>
  <c r="AC19"/>
  <c r="AA19"/>
  <c r="S19"/>
  <c r="AB19"/>
  <c r="U19"/>
  <c r="AC27"/>
  <c r="W27"/>
  <c r="W31" i="39"/>
  <c r="AC31"/>
  <c r="B20" i="31"/>
  <c r="R22"/>
  <c r="B21"/>
  <c r="A17" i="51"/>
  <c r="B13" i="63"/>
  <c r="E5" i="6"/>
  <c r="D12" i="11" s="1"/>
  <c r="C12" s="1"/>
  <c r="G29" i="6"/>
  <c r="AZ16" i="3"/>
  <c r="H16" i="1"/>
  <c r="H70" i="46"/>
  <c r="H72"/>
  <c r="A9" i="64"/>
  <c r="A9" i="51"/>
  <c r="B9" i="63" s="1"/>
  <c r="A25" i="51"/>
  <c r="B18" i="63" s="1"/>
  <c r="A3" i="55"/>
  <c r="B56" i="63" s="1"/>
  <c r="D72" i="39"/>
  <c r="E70"/>
  <c r="F70" s="1"/>
  <c r="D67" i="40"/>
  <c r="E65"/>
  <c r="F65" s="1"/>
  <c r="G66" i="36"/>
  <c r="J18"/>
  <c r="AE8" i="1"/>
  <c r="W18" i="36"/>
  <c r="AC18"/>
  <c r="E29" i="6"/>
  <c r="K15" i="1" s="1"/>
  <c r="L20" i="6"/>
  <c r="L19"/>
  <c r="L27" s="1"/>
  <c r="E67" i="40"/>
  <c r="E72" i="39"/>
  <c r="S8" i="1"/>
  <c r="S9"/>
  <c r="R9"/>
  <c r="R8"/>
  <c r="C45" i="9"/>
  <c r="H14" i="66" s="1"/>
  <c r="B7" s="1"/>
  <c r="C44" i="9"/>
  <c r="G14" i="66" s="1"/>
  <c r="B6" s="1"/>
  <c r="O40" i="9"/>
  <c r="K31" s="1"/>
  <c r="K32" s="1"/>
  <c r="R7" i="54"/>
  <c r="B52" i="63" s="1"/>
  <c r="O39" i="9"/>
  <c r="K29"/>
  <c r="K30" s="1"/>
  <c r="R6" i="54"/>
  <c r="B50" i="63" s="1"/>
  <c r="N76" i="9"/>
  <c r="C46"/>
  <c r="K33" s="1"/>
  <c r="F31" i="15"/>
  <c r="L48" i="44"/>
  <c r="B13" i="67"/>
  <c r="J15" i="15"/>
  <c r="F45" i="44"/>
  <c r="E11" i="67"/>
  <c r="F13" i="15"/>
  <c r="F36"/>
  <c r="N4" i="65"/>
  <c r="F26" i="15"/>
  <c r="M31" i="44"/>
  <c r="F10"/>
  <c r="F43" i="15"/>
  <c r="F10" i="67"/>
  <c r="F39" i="44"/>
  <c r="M24"/>
  <c r="L47" i="15"/>
  <c r="E12" i="67"/>
  <c r="E14"/>
  <c r="M8" i="15"/>
  <c r="F11" i="67"/>
  <c r="F8"/>
  <c r="N7" i="65"/>
  <c r="F43" i="44"/>
  <c r="F28"/>
  <c r="F40"/>
  <c r="J17"/>
  <c r="F7" i="15"/>
  <c r="C19" i="44"/>
  <c r="J36" i="15"/>
  <c r="F8"/>
  <c r="F40"/>
  <c r="M28"/>
  <c r="M30" i="44"/>
  <c r="M9" i="15"/>
  <c r="C15" i="12"/>
  <c r="M29" i="44"/>
  <c r="F16" i="15"/>
  <c r="F13" i="67"/>
  <c r="N5" i="65"/>
  <c r="F46" i="44"/>
  <c r="F42" i="15"/>
  <c r="N6" i="65"/>
  <c r="F18" i="44"/>
  <c r="F37" i="15"/>
  <c r="B9" i="67"/>
  <c r="F8" i="44"/>
  <c r="E9" i="67"/>
  <c r="F9" i="44"/>
  <c r="F9" i="15"/>
  <c r="E8" i="67"/>
  <c r="F38" i="44"/>
  <c r="B12" i="67"/>
  <c r="M26" i="15"/>
  <c r="M23" i="44"/>
  <c r="E10" i="67"/>
  <c r="M23" i="15"/>
  <c r="L49" i="44"/>
  <c r="B10" i="67"/>
  <c r="F38" i="15"/>
  <c r="F11" i="44"/>
  <c r="M25"/>
  <c r="N3" i="65"/>
  <c r="F12" i="67"/>
  <c r="B11"/>
  <c r="D21" i="12"/>
  <c r="M6" i="15"/>
  <c r="M26" i="44"/>
  <c r="M10"/>
  <c r="F33" i="12"/>
  <c r="F14" i="67"/>
  <c r="M24" i="15"/>
  <c r="L48"/>
  <c r="F37" i="44"/>
  <c r="M28"/>
  <c r="M11"/>
  <c r="M8"/>
  <c r="E13" i="67"/>
  <c r="B8"/>
  <c r="M29" i="15"/>
  <c r="F9" i="67"/>
  <c r="M22" i="15"/>
  <c r="B14" i="67"/>
  <c r="F15" i="44"/>
  <c r="F37" i="33" l="1"/>
  <c r="AA37" s="1"/>
  <c r="D2" i="77"/>
  <c r="H75" i="46"/>
  <c r="U25" i="40"/>
  <c r="AC23" i="21"/>
  <c r="AC13" i="40"/>
  <c r="AA12" i="21"/>
  <c r="S12"/>
  <c r="AC27" i="34"/>
  <c r="W27"/>
  <c r="AC23" i="35"/>
  <c r="W23"/>
  <c r="AC23" i="36"/>
  <c r="W23"/>
  <c r="K34" i="9"/>
  <c r="O41"/>
  <c r="R8" i="54" s="1"/>
  <c r="B54" i="63" s="1"/>
  <c r="N69" i="9"/>
  <c r="M86" s="1"/>
  <c r="N86" s="1"/>
  <c r="AC24" i="35"/>
  <c r="W24"/>
  <c r="K141" i="21"/>
  <c r="K144"/>
  <c r="K143"/>
  <c r="F29" i="75"/>
  <c r="F32" i="78"/>
  <c r="F59" s="1"/>
  <c r="F28"/>
  <c r="C28" s="1"/>
  <c r="M18"/>
  <c r="AZ354" i="3"/>
  <c r="AZ526"/>
  <c r="AZ534"/>
  <c r="AZ542"/>
  <c r="BF5"/>
  <c r="K145" i="21"/>
  <c r="BA389" i="3"/>
  <c r="AZ389" s="1"/>
  <c r="BA390"/>
  <c r="AZ390" s="1"/>
  <c r="BA391"/>
  <c r="AZ391" s="1"/>
  <c r="G394"/>
  <c r="G395"/>
  <c r="BL395"/>
  <c r="BA396"/>
  <c r="AZ396" s="1"/>
  <c r="BL398"/>
  <c r="AZ398" s="1"/>
  <c r="G401"/>
  <c r="G402"/>
  <c r="BL402"/>
  <c r="G405"/>
  <c r="BL405"/>
  <c r="BA406"/>
  <c r="AZ406" s="1"/>
  <c r="BA407"/>
  <c r="AZ407" s="1"/>
  <c r="G410"/>
  <c r="G411"/>
  <c r="BL411"/>
  <c r="BA412"/>
  <c r="AZ412" s="1"/>
  <c r="BL414"/>
  <c r="AZ414" s="1"/>
  <c r="G417"/>
  <c r="BL417"/>
  <c r="G420"/>
  <c r="BL420"/>
  <c r="BA421"/>
  <c r="AZ421" s="1"/>
  <c r="BA422"/>
  <c r="AZ422" s="1"/>
  <c r="BA423"/>
  <c r="AZ423" s="1"/>
  <c r="G426"/>
  <c r="G427"/>
  <c r="BL427"/>
  <c r="G430"/>
  <c r="G431"/>
  <c r="G432"/>
  <c r="BL432"/>
  <c r="BL434"/>
  <c r="AZ434" s="1"/>
  <c r="BA435"/>
  <c r="AZ435" s="1"/>
  <c r="BA436"/>
  <c r="AZ436" s="1"/>
  <c r="BL438"/>
  <c r="AZ438" s="1"/>
  <c r="G441"/>
  <c r="AZ489"/>
  <c r="AZ513"/>
  <c r="AZ518"/>
  <c r="AZ552"/>
  <c r="AZ370"/>
  <c r="AZ356"/>
  <c r="AZ345"/>
  <c r="AZ340"/>
  <c r="AZ329"/>
  <c r="AZ324"/>
  <c r="AZ312"/>
  <c r="AZ305"/>
  <c r="AZ381"/>
  <c r="AZ359"/>
  <c r="AZ358"/>
  <c r="AZ355"/>
  <c r="AZ307"/>
  <c r="AZ20"/>
  <c r="AZ514"/>
  <c r="AZ524"/>
  <c r="AZ532"/>
  <c r="AZ546"/>
  <c r="AZ502"/>
  <c r="AZ550"/>
  <c r="AZ556"/>
  <c r="AZ557"/>
  <c r="AB44" i="21"/>
  <c r="AC28" i="33"/>
  <c r="W42" i="21"/>
  <c r="AB30"/>
  <c r="S46"/>
  <c r="W46" i="33"/>
  <c r="W35" i="35"/>
  <c r="S22"/>
  <c r="S10" i="21"/>
  <c r="AA39" i="37"/>
  <c r="U9" i="21"/>
  <c r="U38" i="33"/>
  <c r="J12" i="21"/>
  <c r="BA570" i="3"/>
  <c r="AZ570" s="1"/>
  <c r="BI5"/>
  <c r="F9" i="33"/>
  <c r="F43" i="34"/>
  <c r="J9" i="35"/>
  <c r="F34"/>
  <c r="H34"/>
  <c r="F23" i="36"/>
  <c r="H23"/>
  <c r="F25" i="37"/>
  <c r="G568" i="3"/>
  <c r="G541"/>
  <c r="G533"/>
  <c r="G509"/>
  <c r="G14"/>
  <c r="F34" i="15"/>
  <c r="F61" s="1"/>
  <c r="F34" i="78"/>
  <c r="M20"/>
  <c r="AZ432" i="3"/>
  <c r="G442"/>
  <c r="G443"/>
  <c r="BL443"/>
  <c r="AZ443" s="1"/>
  <c r="G446"/>
  <c r="G447"/>
  <c r="BL447"/>
  <c r="BA448"/>
  <c r="AZ448" s="1"/>
  <c r="BA449"/>
  <c r="AZ449" s="1"/>
  <c r="BA450"/>
  <c r="AZ450" s="1"/>
  <c r="BL452"/>
  <c r="AZ452" s="1"/>
  <c r="BA453"/>
  <c r="AZ453" s="1"/>
  <c r="BA454"/>
  <c r="AZ454" s="1"/>
  <c r="BA455"/>
  <c r="AZ455" s="1"/>
  <c r="BA456"/>
  <c r="AZ456" s="1"/>
  <c r="BL458"/>
  <c r="AZ458" s="1"/>
  <c r="G461"/>
  <c r="G462"/>
  <c r="BL462"/>
  <c r="G465"/>
  <c r="BL465"/>
  <c r="BL467"/>
  <c r="AZ467" s="1"/>
  <c r="BA468"/>
  <c r="AZ468" s="1"/>
  <c r="BA469"/>
  <c r="AZ469" s="1"/>
  <c r="BL471"/>
  <c r="AZ471" s="1"/>
  <c r="BA472"/>
  <c r="AZ472" s="1"/>
  <c r="BL474"/>
  <c r="AZ474" s="1"/>
  <c r="G477"/>
  <c r="G478"/>
  <c r="BL478"/>
  <c r="AZ478" s="1"/>
  <c r="G305"/>
  <c r="G311"/>
  <c r="BL312"/>
  <c r="BA315"/>
  <c r="AZ315" s="1"/>
  <c r="BL319"/>
  <c r="AZ319" s="1"/>
  <c r="G325"/>
  <c r="BL326"/>
  <c r="AZ326" s="1"/>
  <c r="BL332"/>
  <c r="AZ332" s="1"/>
  <c r="BA334"/>
  <c r="AZ334" s="1"/>
  <c r="BA337"/>
  <c r="AZ337" s="1"/>
  <c r="BA341"/>
  <c r="AZ341" s="1"/>
  <c r="BL346"/>
  <c r="AZ346" s="1"/>
  <c r="BL351"/>
  <c r="AZ351" s="1"/>
  <c r="G363"/>
  <c r="G367"/>
  <c r="BA369"/>
  <c r="AZ369" s="1"/>
  <c r="G379"/>
  <c r="G383"/>
  <c r="BA385"/>
  <c r="AZ385" s="1"/>
  <c r="G388"/>
  <c r="G205"/>
  <c r="G206"/>
  <c r="BL206"/>
  <c r="G209"/>
  <c r="G210"/>
  <c r="BL210"/>
  <c r="BA211"/>
  <c r="AZ211" s="1"/>
  <c r="BA212"/>
  <c r="AZ212" s="1"/>
  <c r="BA213"/>
  <c r="AZ213" s="1"/>
  <c r="BL215"/>
  <c r="AZ215" s="1"/>
  <c r="BA216"/>
  <c r="AZ216" s="1"/>
  <c r="BA217"/>
  <c r="AZ217" s="1"/>
  <c r="G220"/>
  <c r="G221"/>
  <c r="G222"/>
  <c r="BL222"/>
  <c r="AZ222" s="1"/>
  <c r="G225"/>
  <c r="G226"/>
  <c r="BL226"/>
  <c r="BA227"/>
  <c r="AZ227" s="1"/>
  <c r="BA228"/>
  <c r="AZ228" s="1"/>
  <c r="BA229"/>
  <c r="AZ229" s="1"/>
  <c r="BL231"/>
  <c r="AZ231" s="1"/>
  <c r="BA232"/>
  <c r="AZ232" s="1"/>
  <c r="BA233"/>
  <c r="AZ233" s="1"/>
  <c r="G236"/>
  <c r="G237"/>
  <c r="G238"/>
  <c r="BL238"/>
  <c r="G241"/>
  <c r="G242"/>
  <c r="BL242"/>
  <c r="BA243"/>
  <c r="AZ243" s="1"/>
  <c r="BA244"/>
  <c r="AZ244" s="1"/>
  <c r="BA245"/>
  <c r="AZ245" s="1"/>
  <c r="BL247"/>
  <c r="AZ247" s="1"/>
  <c r="BA248"/>
  <c r="AZ248" s="1"/>
  <c r="BA249"/>
  <c r="AZ249" s="1"/>
  <c r="G252"/>
  <c r="AZ462"/>
  <c r="AZ206"/>
  <c r="AZ277"/>
  <c r="AZ117"/>
  <c r="AZ21"/>
  <c r="AZ103"/>
  <c r="BA253"/>
  <c r="AZ253" s="1"/>
  <c r="BL255"/>
  <c r="AZ255" s="1"/>
  <c r="BA256"/>
  <c r="AZ256" s="1"/>
  <c r="BA257"/>
  <c r="AZ257" s="1"/>
  <c r="G260"/>
  <c r="G261"/>
  <c r="G262"/>
  <c r="BL262"/>
  <c r="G265"/>
  <c r="G266"/>
  <c r="BL266"/>
  <c r="BA267"/>
  <c r="AZ267" s="1"/>
  <c r="BA268"/>
  <c r="AZ268" s="1"/>
  <c r="BL270"/>
  <c r="AZ270" s="1"/>
  <c r="BA271"/>
  <c r="AZ271" s="1"/>
  <c r="BL273"/>
  <c r="AZ273" s="1"/>
  <c r="G276"/>
  <c r="G277"/>
  <c r="BL277"/>
  <c r="G280"/>
  <c r="BL280"/>
  <c r="BL282"/>
  <c r="AZ282" s="1"/>
  <c r="BA283"/>
  <c r="AZ283" s="1"/>
  <c r="BA284"/>
  <c r="AZ284" s="1"/>
  <c r="BL286"/>
  <c r="AZ286" s="1"/>
  <c r="BA287"/>
  <c r="AZ287" s="1"/>
  <c r="BL289"/>
  <c r="AZ289" s="1"/>
  <c r="G292"/>
  <c r="G293"/>
  <c r="BL293"/>
  <c r="AZ293" s="1"/>
  <c r="BA294"/>
  <c r="AZ294" s="1"/>
  <c r="BA295"/>
  <c r="AZ295" s="1"/>
  <c r="G114"/>
  <c r="G117"/>
  <c r="BL117"/>
  <c r="G118"/>
  <c r="G121"/>
  <c r="G122"/>
  <c r="BL124"/>
  <c r="AZ124" s="1"/>
  <c r="BA125"/>
  <c r="AZ125" s="1"/>
  <c r="BL126"/>
  <c r="AZ126" s="1"/>
  <c r="BA128"/>
  <c r="AZ128" s="1"/>
  <c r="G131"/>
  <c r="G134"/>
  <c r="G137"/>
  <c r="G138"/>
  <c r="BL140"/>
  <c r="AZ140" s="1"/>
  <c r="BA141"/>
  <c r="AZ141" s="1"/>
  <c r="BL142"/>
  <c r="AZ142" s="1"/>
  <c r="BA144"/>
  <c r="AZ144" s="1"/>
  <c r="G147"/>
  <c r="G150"/>
  <c r="G152"/>
  <c r="G153"/>
  <c r="G156"/>
  <c r="BL156"/>
  <c r="AZ156" s="1"/>
  <c r="BA158"/>
  <c r="AZ158" s="1"/>
  <c r="BL159"/>
  <c r="AZ159" s="1"/>
  <c r="BA160"/>
  <c r="AZ160" s="1"/>
  <c r="BL161"/>
  <c r="AZ161" s="1"/>
  <c r="BA163"/>
  <c r="AZ163" s="1"/>
  <c r="BA164"/>
  <c r="AZ164" s="1"/>
  <c r="BL165"/>
  <c r="AZ165" s="1"/>
  <c r="G169"/>
  <c r="G172"/>
  <c r="BL172"/>
  <c r="AZ172" s="1"/>
  <c r="BA174"/>
  <c r="AZ174" s="1"/>
  <c r="BL175"/>
  <c r="AZ175" s="1"/>
  <c r="BA176"/>
  <c r="AZ176" s="1"/>
  <c r="BA177"/>
  <c r="AZ177" s="1"/>
  <c r="BL178"/>
  <c r="AZ178" s="1"/>
  <c r="G183"/>
  <c r="G184"/>
  <c r="G187"/>
  <c r="G188"/>
  <c r="G191"/>
  <c r="G192"/>
  <c r="G195"/>
  <c r="G196"/>
  <c r="G199"/>
  <c r="G200"/>
  <c r="G202"/>
  <c r="BL202"/>
  <c r="AZ202" s="1"/>
  <c r="G21"/>
  <c r="BL21"/>
  <c r="BA22"/>
  <c r="AZ22" s="1"/>
  <c r="BA23"/>
  <c r="AZ23" s="1"/>
  <c r="BA24"/>
  <c r="AZ24" s="1"/>
  <c r="G27"/>
  <c r="AZ45"/>
  <c r="BA27"/>
  <c r="AZ27" s="1"/>
  <c r="G30"/>
  <c r="BL30"/>
  <c r="BL32"/>
  <c r="AZ32" s="1"/>
  <c r="BA33"/>
  <c r="AZ33" s="1"/>
  <c r="BL35"/>
  <c r="AZ35" s="1"/>
  <c r="BA36"/>
  <c r="AZ36" s="1"/>
  <c r="G39"/>
  <c r="G40"/>
  <c r="G41"/>
  <c r="BL41"/>
  <c r="BA42"/>
  <c r="AZ42" s="1"/>
  <c r="BA43"/>
  <c r="AZ43" s="1"/>
  <c r="BL45"/>
  <c r="BA46"/>
  <c r="AZ46" s="1"/>
  <c r="BA47"/>
  <c r="AZ47" s="1"/>
  <c r="BA48"/>
  <c r="AZ48" s="1"/>
  <c r="G51"/>
  <c r="G52"/>
  <c r="BL52"/>
  <c r="AZ52" s="1"/>
  <c r="BA53"/>
  <c r="AZ53" s="1"/>
  <c r="BL55"/>
  <c r="AZ55" s="1"/>
  <c r="G58"/>
  <c r="BL58"/>
  <c r="AZ58" s="1"/>
  <c r="BA60"/>
  <c r="AZ60" s="1"/>
  <c r="BA62"/>
  <c r="AZ62" s="1"/>
  <c r="BA63"/>
  <c r="AZ63" s="1"/>
  <c r="BA65"/>
  <c r="AZ65" s="1"/>
  <c r="BA66"/>
  <c r="AZ66" s="1"/>
  <c r="BA68"/>
  <c r="AZ68" s="1"/>
  <c r="BL70"/>
  <c r="AZ70" s="1"/>
  <c r="BA72"/>
  <c r="AZ72" s="1"/>
  <c r="BL74"/>
  <c r="AZ74" s="1"/>
  <c r="BA75"/>
  <c r="AZ75" s="1"/>
  <c r="G78"/>
  <c r="G79"/>
  <c r="G80"/>
  <c r="AZ96"/>
  <c r="D51" i="46"/>
  <c r="J52"/>
  <c r="D52"/>
  <c r="D55"/>
  <c r="J55"/>
  <c r="C19" i="59"/>
  <c r="D18"/>
  <c r="E7"/>
  <c r="E6" s="1"/>
  <c r="E5" s="1"/>
  <c r="U8"/>
  <c r="I15" i="57"/>
  <c r="AA22" i="59"/>
  <c r="AG12" i="46"/>
  <c r="D8" i="59"/>
  <c r="L76" i="9"/>
  <c r="G82" i="3"/>
  <c r="G83"/>
  <c r="BL83"/>
  <c r="AZ83" s="1"/>
  <c r="G86"/>
  <c r="G87"/>
  <c r="BL87"/>
  <c r="AZ87" s="1"/>
  <c r="BA88"/>
  <c r="AZ88" s="1"/>
  <c r="BL90"/>
  <c r="AZ90" s="1"/>
  <c r="G93"/>
  <c r="BL93"/>
  <c r="AZ93" s="1"/>
  <c r="G96"/>
  <c r="BL96"/>
  <c r="BA97"/>
  <c r="AZ97" s="1"/>
  <c r="BA98"/>
  <c r="AZ98" s="1"/>
  <c r="BA99"/>
  <c r="AZ99" s="1"/>
  <c r="G102"/>
  <c r="G103"/>
  <c r="BL103"/>
  <c r="BA104"/>
  <c r="AZ104" s="1"/>
  <c r="BL106"/>
  <c r="AZ106" s="1"/>
  <c r="G109"/>
  <c r="BL109"/>
  <c r="AZ109" s="1"/>
  <c r="G112"/>
  <c r="K1" i="75"/>
  <c r="G1" i="78"/>
  <c r="S31" i="39"/>
  <c r="B85" i="46"/>
  <c r="L16" i="4"/>
  <c r="AA12" i="59"/>
  <c r="AA3"/>
  <c r="X9"/>
  <c r="X13"/>
  <c r="W33" i="33"/>
  <c r="S33"/>
  <c r="W44"/>
  <c r="AB44"/>
  <c r="S29"/>
  <c r="W30"/>
  <c r="F33" i="44"/>
  <c r="E53" i="40"/>
  <c r="E58" i="39"/>
  <c r="F27" i="6"/>
  <c r="F31" s="1"/>
  <c r="AZ484" i="3"/>
  <c r="BA5"/>
  <c r="E27" i="6" s="1"/>
  <c r="G65" i="40"/>
  <c r="F67"/>
  <c r="G70" i="39"/>
  <c r="F72"/>
  <c r="I14" i="66"/>
  <c r="B8" s="1"/>
  <c r="M83" i="9"/>
  <c r="N83" s="1"/>
  <c r="N89" s="1"/>
  <c r="O89" s="1"/>
  <c r="M85"/>
  <c r="N85" s="1"/>
  <c r="M87"/>
  <c r="N87" s="1"/>
  <c r="M88"/>
  <c r="N88" s="1"/>
  <c r="M84"/>
  <c r="N84" s="1"/>
  <c r="Q16" i="1"/>
  <c r="F18" i="11" s="1"/>
  <c r="C18" s="1"/>
  <c r="M44" i="9"/>
  <c r="D4" i="77"/>
  <c r="H5" i="3"/>
  <c r="B72" i="72"/>
  <c r="B62"/>
  <c r="B51"/>
  <c r="B72" i="46"/>
  <c r="E77" i="33"/>
  <c r="F77" s="1"/>
  <c r="G77" s="1"/>
  <c r="F15"/>
  <c r="F118" i="34"/>
  <c r="G118" s="1"/>
  <c r="H40"/>
  <c r="J43"/>
  <c r="H76" i="46"/>
  <c r="AB15" i="37"/>
  <c r="U12"/>
  <c r="S10" i="35"/>
  <c r="W31" i="34"/>
  <c r="AB28" i="36"/>
  <c r="BL13" i="3"/>
  <c r="B87" i="72"/>
  <c r="B87" i="46"/>
  <c r="J9" i="34"/>
  <c r="F9"/>
  <c r="AA9" s="1"/>
  <c r="F12" i="33"/>
  <c r="J36" i="35"/>
  <c r="F9" i="36"/>
  <c r="H9"/>
  <c r="H24"/>
  <c r="G553" i="3"/>
  <c r="G548"/>
  <c r="G527"/>
  <c r="G519"/>
  <c r="G503"/>
  <c r="G495"/>
  <c r="G486"/>
  <c r="G5" s="1"/>
  <c r="B3" s="1"/>
  <c r="AO6" s="1"/>
  <c r="AZ395"/>
  <c r="AZ402"/>
  <c r="AZ405"/>
  <c r="AZ411"/>
  <c r="AZ417"/>
  <c r="AZ420"/>
  <c r="AZ427"/>
  <c r="AZ447"/>
  <c r="AZ465"/>
  <c r="AZ210"/>
  <c r="AZ226"/>
  <c r="AZ238"/>
  <c r="AZ242"/>
  <c r="AZ254"/>
  <c r="AZ258"/>
  <c r="AZ272"/>
  <c r="AZ288"/>
  <c r="AZ296"/>
  <c r="AZ437"/>
  <c r="AZ457"/>
  <c r="AZ470"/>
  <c r="AZ473"/>
  <c r="AZ368"/>
  <c r="AZ384"/>
  <c r="AZ386"/>
  <c r="AZ214"/>
  <c r="AZ218"/>
  <c r="AZ234"/>
  <c r="AZ250"/>
  <c r="AZ262"/>
  <c r="AZ266"/>
  <c r="AZ280"/>
  <c r="AZ129"/>
  <c r="AZ132"/>
  <c r="AZ145"/>
  <c r="AZ148"/>
  <c r="AZ25"/>
  <c r="AZ30"/>
  <c r="AZ41"/>
  <c r="C2" i="65"/>
  <c r="G27" i="75"/>
  <c r="G28"/>
  <c r="G26"/>
  <c r="AZ61" i="3"/>
  <c r="AZ64"/>
  <c r="AZ67"/>
  <c r="AZ69"/>
  <c r="AZ73"/>
  <c r="AZ80"/>
  <c r="AZ89"/>
  <c r="AZ100"/>
  <c r="AZ105"/>
  <c r="O50" i="59"/>
  <c r="O49"/>
  <c r="D50"/>
  <c r="C31"/>
  <c r="D31" s="1"/>
  <c r="D30"/>
  <c r="D42"/>
  <c r="C43"/>
  <c r="P51"/>
  <c r="E50"/>
  <c r="B84" i="46"/>
  <c r="D47"/>
  <c r="D49"/>
  <c r="D53"/>
  <c r="D100"/>
  <c r="I21" i="57"/>
  <c r="D1" s="1"/>
  <c r="E10" s="1"/>
  <c r="D34" i="59"/>
  <c r="C35"/>
  <c r="Q50"/>
  <c r="Q49"/>
  <c r="S21" i="21"/>
  <c r="D51" i="59"/>
  <c r="N16" i="4"/>
  <c r="Y3" i="59"/>
  <c r="Z3" s="1"/>
  <c r="Y12"/>
  <c r="Z12" s="1"/>
  <c r="Y11"/>
  <c r="Z11" s="1"/>
  <c r="Y10"/>
  <c r="Z10" s="1"/>
  <c r="Y9"/>
  <c r="Z9" s="1"/>
  <c r="AA11"/>
  <c r="AA9"/>
  <c r="X12"/>
  <c r="X10"/>
  <c r="X3"/>
  <c r="B14"/>
  <c r="B15" s="1"/>
  <c r="B16" s="1"/>
  <c r="S16" s="1"/>
  <c r="C14"/>
  <c r="AA13"/>
  <c r="AB13"/>
  <c r="Y14"/>
  <c r="Z14" s="1"/>
  <c r="AB14"/>
  <c r="Y15"/>
  <c r="Z15" s="1"/>
  <c r="AB15"/>
  <c r="Y16"/>
  <c r="Z16" s="1"/>
  <c r="AB16"/>
  <c r="X17"/>
  <c r="Y17"/>
  <c r="Z17" s="1"/>
  <c r="E18"/>
  <c r="E19" s="1"/>
  <c r="E20" s="1"/>
  <c r="U20" s="1"/>
  <c r="F18"/>
  <c r="F19" s="1"/>
  <c r="F20" s="1"/>
  <c r="V20" s="1"/>
  <c r="X18"/>
  <c r="AA18"/>
  <c r="X19"/>
  <c r="AA19"/>
  <c r="X20"/>
  <c r="AA20"/>
  <c r="B22"/>
  <c r="B23" s="1"/>
  <c r="B24" s="1"/>
  <c r="S24" s="1"/>
  <c r="C22"/>
  <c r="AA21"/>
  <c r="Y22"/>
  <c r="Z22" s="1"/>
  <c r="B51"/>
  <c r="Y8"/>
  <c r="Z8" s="1"/>
  <c r="AB8"/>
  <c r="C6"/>
  <c r="D7"/>
  <c r="AA8"/>
  <c r="Y6"/>
  <c r="Z6" s="1"/>
  <c r="AB7"/>
  <c r="AB6"/>
  <c r="S12"/>
  <c r="B11"/>
  <c r="B10" s="1"/>
  <c r="U12"/>
  <c r="E11"/>
  <c r="E10" s="1"/>
  <c r="X7"/>
  <c r="AA7"/>
  <c r="X6"/>
  <c r="AA6"/>
  <c r="AA12" i="46"/>
  <c r="AE12"/>
  <c r="AI12"/>
  <c r="H1" i="65"/>
  <c r="T8" i="59"/>
  <c r="V8"/>
  <c r="K76" i="9"/>
  <c r="K77" s="1"/>
  <c r="K79" s="1"/>
  <c r="K81" s="1"/>
  <c r="C12" i="59"/>
  <c r="X8"/>
  <c r="Y7"/>
  <c r="Z7" s="1"/>
  <c r="Y5"/>
  <c r="Z5" s="1"/>
  <c r="AA5"/>
  <c r="AB5"/>
  <c r="N76" i="69"/>
  <c r="K76"/>
  <c r="K77" s="1"/>
  <c r="K79" s="1"/>
  <c r="K81" s="1"/>
  <c r="O76"/>
  <c r="L76"/>
  <c r="F12" i="59"/>
  <c r="X5"/>
  <c r="E5" i="52"/>
  <c r="S17" i="33"/>
  <c r="AC45" i="34"/>
  <c r="AB45"/>
  <c r="S45"/>
  <c r="AA30"/>
  <c r="W33"/>
  <c r="U31"/>
  <c r="AC28"/>
  <c r="AA27" i="33"/>
  <c r="U25"/>
  <c r="G111"/>
  <c r="J36" s="1"/>
  <c r="W36" s="1"/>
  <c r="U29"/>
  <c r="AC29"/>
  <c r="W44" i="34"/>
  <c r="AB43"/>
  <c r="AB41"/>
  <c r="AC41"/>
  <c r="AC40"/>
  <c r="AB38"/>
  <c r="G112"/>
  <c r="F37" s="1"/>
  <c r="U28"/>
  <c r="AA28"/>
  <c r="U27"/>
  <c r="AA27"/>
  <c r="F88"/>
  <c r="H25" s="1"/>
  <c r="U25" s="1"/>
  <c r="U23"/>
  <c r="S21"/>
  <c r="U15"/>
  <c r="W17"/>
  <c r="S17"/>
  <c r="U17"/>
  <c r="U11"/>
  <c r="AC11"/>
  <c r="W10"/>
  <c r="AB8"/>
  <c r="U9"/>
  <c r="C21" i="12"/>
  <c r="C34"/>
  <c r="D33" s="1"/>
  <c r="U30" i="33"/>
  <c r="S42"/>
  <c r="AC11"/>
  <c r="AB11"/>
  <c r="S43"/>
  <c r="AB43"/>
  <c r="S39"/>
  <c r="U37"/>
  <c r="AC37"/>
  <c r="S37"/>
  <c r="AB34"/>
  <c r="AB42"/>
  <c r="S35"/>
  <c r="E4" i="52"/>
  <c r="F101" i="33"/>
  <c r="G101" s="1"/>
  <c r="H101" s="1"/>
  <c r="I101" s="1"/>
  <c r="J101" s="1"/>
  <c r="K101" s="1"/>
  <c r="L101" s="1"/>
  <c r="M101" s="1"/>
  <c r="H32"/>
  <c r="AB32" s="1"/>
  <c r="F32"/>
  <c r="AA32" s="1"/>
  <c r="W32"/>
  <c r="AA34"/>
  <c r="W34"/>
  <c r="S32"/>
  <c r="S25"/>
  <c r="AC25"/>
  <c r="AB23"/>
  <c r="U19"/>
  <c r="B7" i="52"/>
  <c r="E7"/>
  <c r="B6"/>
  <c r="E6"/>
  <c r="C4" i="4" s="1"/>
  <c r="B20" i="55" s="1"/>
  <c r="B70" i="63" s="1"/>
  <c r="E14" i="52"/>
  <c r="AB15" i="33"/>
  <c r="B74" i="72"/>
  <c r="B65"/>
  <c r="B54"/>
  <c r="B54" i="46"/>
  <c r="B65"/>
  <c r="B64"/>
  <c r="B70" i="72"/>
  <c r="B48"/>
  <c r="B59"/>
  <c r="B58" i="46"/>
  <c r="B47"/>
  <c r="B69"/>
  <c r="B80"/>
  <c r="B76" i="72"/>
  <c r="B66"/>
  <c r="B55"/>
  <c r="B73"/>
  <c r="B64"/>
  <c r="B53"/>
  <c r="B73" i="46"/>
  <c r="AB10" i="33"/>
  <c r="S10"/>
  <c r="W10"/>
  <c r="W9"/>
  <c r="U9"/>
  <c r="A30" i="51"/>
  <c r="B22" i="63" s="1"/>
  <c r="A30" i="64"/>
  <c r="H49" i="46"/>
  <c r="H54"/>
  <c r="H52"/>
  <c r="H55"/>
  <c r="F72" i="69"/>
  <c r="F70"/>
  <c r="D86"/>
  <c r="F71"/>
  <c r="F66"/>
  <c r="P72" s="1"/>
  <c r="D111"/>
  <c r="D96"/>
  <c r="D111" i="9"/>
  <c r="D23" i="15"/>
  <c r="E86" i="3"/>
  <c r="E476"/>
  <c r="E68"/>
  <c r="E192"/>
  <c r="E135"/>
  <c r="E114"/>
  <c r="E147"/>
  <c r="E348"/>
  <c r="E22"/>
  <c r="E93"/>
  <c r="E439"/>
  <c r="E394"/>
  <c r="E459"/>
  <c r="E55"/>
  <c r="E117"/>
  <c r="E282"/>
  <c r="E231"/>
  <c r="E570"/>
  <c r="E528"/>
  <c r="E375"/>
  <c r="E470"/>
  <c r="E409"/>
  <c r="E349"/>
  <c r="E36"/>
  <c r="E149"/>
  <c r="E131"/>
  <c r="E295"/>
  <c r="E237"/>
  <c r="E249"/>
  <c r="E304"/>
  <c r="E89"/>
  <c r="E428"/>
  <c r="E549"/>
  <c r="E165"/>
  <c r="E201"/>
  <c r="E100"/>
  <c r="E460"/>
  <c r="E404"/>
  <c r="E170"/>
  <c r="E374"/>
  <c r="I3" i="6"/>
  <c r="E30" i="3"/>
  <c r="E213"/>
  <c r="E490"/>
  <c r="E536"/>
  <c r="E218"/>
  <c r="E397"/>
  <c r="E442"/>
  <c r="E462"/>
  <c r="E110"/>
  <c r="E47"/>
  <c r="E63"/>
  <c r="E545"/>
  <c r="E174"/>
  <c r="E184"/>
  <c r="E129"/>
  <c r="E482"/>
  <c r="E98"/>
  <c r="E473"/>
  <c r="E422"/>
  <c r="N6"/>
  <c r="E398"/>
  <c r="E232"/>
  <c r="E533"/>
  <c r="E189"/>
  <c r="E37"/>
  <c r="E507"/>
  <c r="E303"/>
  <c r="E275"/>
  <c r="AT6"/>
  <c r="L6"/>
  <c r="E467"/>
  <c r="E429"/>
  <c r="E67"/>
  <c r="E116"/>
  <c r="E214"/>
  <c r="E372"/>
  <c r="E486"/>
  <c r="E465"/>
  <c r="E543"/>
  <c r="E154"/>
  <c r="E264"/>
  <c r="E243"/>
  <c r="E369"/>
  <c r="E309"/>
  <c r="V6"/>
  <c r="E448"/>
  <c r="E105"/>
  <c r="E74"/>
  <c r="AG6"/>
  <c r="E121"/>
  <c r="E505"/>
  <c r="E224"/>
  <c r="E419"/>
  <c r="E61"/>
  <c r="E123"/>
  <c r="E229"/>
  <c r="E302"/>
  <c r="E433"/>
  <c r="E66"/>
  <c r="E120"/>
  <c r="E386"/>
  <c r="E529"/>
  <c r="E76"/>
  <c r="E191"/>
  <c r="E287"/>
  <c r="E300"/>
  <c r="E24"/>
  <c r="E555"/>
  <c r="E188"/>
  <c r="E379"/>
  <c r="E271"/>
  <c r="E355"/>
  <c r="E306"/>
  <c r="E530"/>
  <c r="E508"/>
  <c r="E499"/>
  <c r="E180"/>
  <c r="E538"/>
  <c r="E493"/>
  <c r="E558"/>
  <c r="E551"/>
  <c r="E403"/>
  <c r="E108"/>
  <c r="E173"/>
  <c r="E246"/>
  <c r="E217"/>
  <c r="E81"/>
  <c r="E436"/>
  <c r="E16"/>
  <c r="E177"/>
  <c r="E277"/>
  <c r="E260"/>
  <c r="E385"/>
  <c r="E307"/>
  <c r="E524"/>
  <c r="E432"/>
  <c r="E95"/>
  <c r="E90"/>
  <c r="E19"/>
  <c r="E153"/>
  <c r="E498"/>
  <c r="E210"/>
  <c r="E212"/>
  <c r="E339"/>
  <c r="E298"/>
  <c r="E106"/>
  <c r="E35"/>
  <c r="E14"/>
  <c r="E361"/>
  <c r="E169"/>
  <c r="E182"/>
  <c r="E118"/>
  <c r="E315"/>
  <c r="E226"/>
  <c r="E267"/>
  <c r="E378"/>
  <c r="E323"/>
  <c r="E163"/>
  <c r="E312"/>
  <c r="E364"/>
  <c r="E159"/>
  <c r="E413"/>
  <c r="G30" i="6"/>
  <c r="G31" s="1"/>
  <c r="E28"/>
  <c r="K20" s="1"/>
  <c r="O6" i="1"/>
  <c r="P6" s="1"/>
  <c r="E30" i="6"/>
  <c r="O9" i="1"/>
  <c r="P9" s="1"/>
  <c r="E12" i="6"/>
  <c r="E10"/>
  <c r="E11"/>
  <c r="E14"/>
  <c r="E15"/>
  <c r="E13"/>
  <c r="O8" i="1"/>
  <c r="P8" s="1"/>
  <c r="O13"/>
  <c r="P13" s="1"/>
  <c r="K19" i="6"/>
  <c r="S6" i="1" s="1"/>
  <c r="E31" i="6"/>
  <c r="K23"/>
  <c r="M23" s="1"/>
  <c r="I23" s="1"/>
  <c r="S23" s="1"/>
  <c r="K21"/>
  <c r="M21" s="1"/>
  <c r="I21" s="1"/>
  <c r="S21" s="1"/>
  <c r="O7" i="1"/>
  <c r="P7" s="1"/>
  <c r="O11"/>
  <c r="P11" s="1"/>
  <c r="BL5" i="3"/>
  <c r="AZ13"/>
  <c r="O12" i="1"/>
  <c r="P12" s="1"/>
  <c r="K24" i="6"/>
  <c r="M24" s="1"/>
  <c r="I24" s="1"/>
  <c r="S24" s="1"/>
  <c r="B113" i="72"/>
  <c r="Z11"/>
  <c r="Z13" s="1"/>
  <c r="AD11"/>
  <c r="AD13" s="1"/>
  <c r="AH11"/>
  <c r="AH13" s="1"/>
  <c r="G22"/>
  <c r="C23"/>
  <c r="F101"/>
  <c r="J101"/>
  <c r="N101"/>
  <c r="Y11"/>
  <c r="Y13" s="1"/>
  <c r="AC11"/>
  <c r="AC13" s="1"/>
  <c r="AG11"/>
  <c r="AG13" s="1"/>
  <c r="H22"/>
  <c r="E101"/>
  <c r="I101"/>
  <c r="M101"/>
  <c r="Z7"/>
  <c r="AB11"/>
  <c r="AB13" s="1"/>
  <c r="AF11"/>
  <c r="AF13" s="1"/>
  <c r="AJ11"/>
  <c r="AJ13" s="1"/>
  <c r="E22"/>
  <c r="J22"/>
  <c r="D101"/>
  <c r="H101"/>
  <c r="L101"/>
  <c r="AA11"/>
  <c r="AA13" s="1"/>
  <c r="AE11"/>
  <c r="AE13" s="1"/>
  <c r="AI11"/>
  <c r="AI13" s="1"/>
  <c r="F22"/>
  <c r="C101"/>
  <c r="G101"/>
  <c r="K101"/>
  <c r="G3" i="46"/>
  <c r="H51"/>
  <c r="H50"/>
  <c r="H53"/>
  <c r="H48"/>
  <c r="H47"/>
  <c r="G17"/>
  <c r="C16" s="1"/>
  <c r="D5" s="1"/>
  <c r="K17" i="4"/>
  <c r="AP16" i="1"/>
  <c r="F22" i="11" s="1"/>
  <c r="G6" i="1"/>
  <c r="G16" s="1"/>
  <c r="H70" i="39"/>
  <c r="G72"/>
  <c r="H65" i="40"/>
  <c r="G67"/>
  <c r="E48" i="35"/>
  <c r="F48" s="1"/>
  <c r="G48" s="1"/>
  <c r="H48" s="1"/>
  <c r="I48" s="1"/>
  <c r="J48" s="1"/>
  <c r="K48" s="1"/>
  <c r="L48" s="1"/>
  <c r="M48" s="1"/>
  <c r="N48" s="1"/>
  <c r="O48" s="1"/>
  <c r="E58" i="21"/>
  <c r="F58" s="1"/>
  <c r="G58" s="1"/>
  <c r="H58" s="1"/>
  <c r="I58" s="1"/>
  <c r="J58" s="1"/>
  <c r="K58" s="1"/>
  <c r="L58" s="1"/>
  <c r="M58" s="1"/>
  <c r="N58" s="1"/>
  <c r="O58" s="1"/>
  <c r="E58" i="33"/>
  <c r="F58" s="1"/>
  <c r="G58" s="1"/>
  <c r="H58" s="1"/>
  <c r="I58" s="1"/>
  <c r="J58" s="1"/>
  <c r="K58" s="1"/>
  <c r="L58" s="1"/>
  <c r="M58" s="1"/>
  <c r="N58" s="1"/>
  <c r="O58" s="1"/>
  <c r="H7"/>
  <c r="H46" i="36"/>
  <c r="I46" s="1"/>
  <c r="J46" s="1"/>
  <c r="K46" s="1"/>
  <c r="L46" s="1"/>
  <c r="M46" s="1"/>
  <c r="N46" s="1"/>
  <c r="O46" s="1"/>
  <c r="F7"/>
  <c r="E52" i="37"/>
  <c r="F52" s="1"/>
  <c r="G52" s="1"/>
  <c r="H52" s="1"/>
  <c r="I52" s="1"/>
  <c r="J52" s="1"/>
  <c r="K52" s="1"/>
  <c r="L52" s="1"/>
  <c r="M52" s="1"/>
  <c r="N52" s="1"/>
  <c r="O52" s="1"/>
  <c r="J7"/>
  <c r="H7"/>
  <c r="F7"/>
  <c r="F59" i="34"/>
  <c r="G59" s="1"/>
  <c r="H59" s="1"/>
  <c r="I59" s="1"/>
  <c r="J59" s="1"/>
  <c r="K59" s="1"/>
  <c r="L59" s="1"/>
  <c r="M59" s="1"/>
  <c r="N59" s="1"/>
  <c r="O59" s="1"/>
  <c r="H7"/>
  <c r="G19" i="72"/>
  <c r="N67" i="69"/>
  <c r="J7" i="36"/>
  <c r="H7"/>
  <c r="E22" i="52"/>
  <c r="B22"/>
  <c r="B10"/>
  <c r="B11"/>
  <c r="B4"/>
  <c r="E9"/>
  <c r="C36" i="44"/>
  <c r="C8"/>
  <c r="F63" i="15"/>
  <c r="F67"/>
  <c r="C4" i="65"/>
  <c r="B39" i="1" s="1"/>
  <c r="J60" i="44"/>
  <c r="J54"/>
  <c r="I55"/>
  <c r="J58"/>
  <c r="J56" s="1"/>
  <c r="J59" s="1"/>
  <c r="Q52" s="1"/>
  <c r="L57"/>
  <c r="J61"/>
  <c r="Q50" s="1"/>
  <c r="J22"/>
  <c r="Q72" i="15"/>
  <c r="I1" i="65"/>
  <c r="Q73" i="44"/>
  <c r="F64" i="15"/>
  <c r="L60" i="44"/>
  <c r="L59"/>
  <c r="C27" i="15"/>
  <c r="F65"/>
  <c r="F50"/>
  <c r="L59"/>
  <c r="L58"/>
  <c r="F49"/>
  <c r="M7"/>
  <c r="J6" s="1"/>
  <c r="C29" i="44"/>
  <c r="F70" i="15"/>
  <c r="M9" i="44"/>
  <c r="J8" s="1"/>
  <c r="I54" i="15"/>
  <c r="J57"/>
  <c r="J55" s="1"/>
  <c r="J58" s="1"/>
  <c r="Q51" s="1"/>
  <c r="J53"/>
  <c r="L56"/>
  <c r="E17" i="52"/>
  <c r="E11"/>
  <c r="E15"/>
  <c r="E4" i="4" s="1"/>
  <c r="B21" i="55" s="1"/>
  <c r="B72" i="63" s="1"/>
  <c r="E13" i="52"/>
  <c r="B14"/>
  <c r="E8"/>
  <c r="E16"/>
  <c r="B5"/>
  <c r="B9"/>
  <c r="B16"/>
  <c r="B8"/>
  <c r="B13"/>
  <c r="E10"/>
  <c r="E21"/>
  <c r="F58" i="15"/>
  <c r="M19" i="44"/>
  <c r="M17" i="15"/>
  <c r="F33" i="75"/>
  <c r="C15"/>
  <c r="D21"/>
  <c r="C16" i="15"/>
  <c r="C18" i="44"/>
  <c r="C17" i="15"/>
  <c r="F24" i="43" l="1"/>
  <c r="C26" s="1"/>
  <c r="D24" s="1"/>
  <c r="H7" i="35"/>
  <c r="U7" s="1"/>
  <c r="E235" i="3"/>
  <c r="E285"/>
  <c r="E162"/>
  <c r="E197"/>
  <c r="AQ6"/>
  <c r="E58"/>
  <c r="E453"/>
  <c r="E400"/>
  <c r="E517"/>
  <c r="E347"/>
  <c r="E220"/>
  <c r="E279"/>
  <c r="E480"/>
  <c r="E145"/>
  <c r="E88"/>
  <c r="E417"/>
  <c r="E393"/>
  <c r="E255"/>
  <c r="E288"/>
  <c r="E172"/>
  <c r="E107"/>
  <c r="E402"/>
  <c r="E39"/>
  <c r="E203"/>
  <c r="E261"/>
  <c r="E233"/>
  <c r="E111"/>
  <c r="E420"/>
  <c r="E560"/>
  <c r="E190"/>
  <c r="E293"/>
  <c r="W6"/>
  <c r="E469"/>
  <c r="E405"/>
  <c r="E412"/>
  <c r="E53"/>
  <c r="E27"/>
  <c r="E313"/>
  <c r="E148"/>
  <c r="E151"/>
  <c r="E185"/>
  <c r="E38"/>
  <c r="E109"/>
  <c r="E70"/>
  <c r="E468"/>
  <c r="E431"/>
  <c r="E410"/>
  <c r="AP6"/>
  <c r="E142"/>
  <c r="E84"/>
  <c r="E343"/>
  <c r="P6"/>
  <c r="E435"/>
  <c r="E140"/>
  <c r="E452"/>
  <c r="AH6"/>
  <c r="E423"/>
  <c r="E64"/>
  <c r="E54"/>
  <c r="E125"/>
  <c r="E199"/>
  <c r="E21"/>
  <c r="E537"/>
  <c r="R6"/>
  <c r="E225"/>
  <c r="E294"/>
  <c r="E253"/>
  <c r="E387"/>
  <c r="E187"/>
  <c r="E376"/>
  <c r="E321"/>
  <c r="X6"/>
  <c r="E391"/>
  <c r="E31"/>
  <c r="E195"/>
  <c r="E457"/>
  <c r="E359"/>
  <c r="E221"/>
  <c r="E115"/>
  <c r="E46"/>
  <c r="E91"/>
  <c r="E437"/>
  <c r="E333"/>
  <c r="E152"/>
  <c r="E132"/>
  <c r="E446"/>
  <c r="E206"/>
  <c r="E69"/>
  <c r="E421"/>
  <c r="E241"/>
  <c r="E475"/>
  <c r="M6"/>
  <c r="S9" i="34"/>
  <c r="C20" i="59"/>
  <c r="D19"/>
  <c r="AA25" i="37"/>
  <c r="S25"/>
  <c r="AA23" i="36"/>
  <c r="S23"/>
  <c r="AA34" i="35"/>
  <c r="S34"/>
  <c r="AA43" i="34"/>
  <c r="S43"/>
  <c r="W12" i="21"/>
  <c r="AC12"/>
  <c r="AZ5" i="3"/>
  <c r="F61" i="78"/>
  <c r="AB23" i="36"/>
  <c r="U23"/>
  <c r="AB34" i="35"/>
  <c r="U34"/>
  <c r="W9"/>
  <c r="AC9"/>
  <c r="AA9" i="33"/>
  <c r="S9"/>
  <c r="F11" i="78"/>
  <c r="M11"/>
  <c r="J10" s="1"/>
  <c r="C21" i="75"/>
  <c r="C34"/>
  <c r="D33" s="1"/>
  <c r="J7" i="33"/>
  <c r="J7" i="21"/>
  <c r="AC7" s="1"/>
  <c r="V48" s="1"/>
  <c r="I48" s="1"/>
  <c r="H7"/>
  <c r="J7" i="35"/>
  <c r="AC7" s="1"/>
  <c r="V38" s="1"/>
  <c r="I38" s="1"/>
  <c r="K25" i="6"/>
  <c r="M25" s="1"/>
  <c r="I25" s="1"/>
  <c r="S25" s="1"/>
  <c r="K22"/>
  <c r="M22" s="1"/>
  <c r="I22" s="1"/>
  <c r="S22" s="1"/>
  <c r="C5" i="59"/>
  <c r="D6"/>
  <c r="C23"/>
  <c r="D22"/>
  <c r="C15"/>
  <c r="D14"/>
  <c r="E495" i="3"/>
  <c r="E519"/>
  <c r="E548"/>
  <c r="AB24" i="36"/>
  <c r="U24"/>
  <c r="AA9"/>
  <c r="S9"/>
  <c r="S12" i="33"/>
  <c r="AA12"/>
  <c r="AC9" i="34"/>
  <c r="W9"/>
  <c r="AC43"/>
  <c r="W43"/>
  <c r="F11" i="59"/>
  <c r="F10" s="1"/>
  <c r="V12"/>
  <c r="D12"/>
  <c r="T12"/>
  <c r="C11"/>
  <c r="N51"/>
  <c r="B50"/>
  <c r="C36"/>
  <c r="D35"/>
  <c r="E47" i="46"/>
  <c r="B45" s="1"/>
  <c r="C24" s="1"/>
  <c r="P12" i="77" s="1"/>
  <c r="P49" i="59"/>
  <c r="P50"/>
  <c r="D43"/>
  <c r="C44"/>
  <c r="E297" i="3"/>
  <c r="E411"/>
  <c r="E395"/>
  <c r="E250"/>
  <c r="AN6"/>
  <c r="E41"/>
  <c r="E280"/>
  <c r="E471"/>
  <c r="E59"/>
  <c r="E418"/>
  <c r="E270"/>
  <c r="E408"/>
  <c r="E464"/>
  <c r="E92"/>
  <c r="E157"/>
  <c r="E238"/>
  <c r="E209"/>
  <c r="E414"/>
  <c r="E161"/>
  <c r="E44"/>
  <c r="E450"/>
  <c r="E202"/>
  <c r="E492"/>
  <c r="E83"/>
  <c r="E186"/>
  <c r="E124"/>
  <c r="E311"/>
  <c r="E222"/>
  <c r="E263"/>
  <c r="E388"/>
  <c r="E424"/>
  <c r="E430"/>
  <c r="E82"/>
  <c r="E146"/>
  <c r="E164"/>
  <c r="E77"/>
  <c r="E99"/>
  <c r="E434"/>
  <c r="E262"/>
  <c r="E552"/>
  <c r="E101"/>
  <c r="E57"/>
  <c r="E274"/>
  <c r="E463"/>
  <c r="E32"/>
  <c r="E292"/>
  <c r="E547"/>
  <c r="E426"/>
  <c r="E447"/>
  <c r="E60"/>
  <c r="E33"/>
  <c r="E75"/>
  <c r="Q6"/>
  <c r="E178"/>
  <c r="E119"/>
  <c r="J6"/>
  <c r="E500"/>
  <c r="E48"/>
  <c r="E97"/>
  <c r="E438"/>
  <c r="AE6"/>
  <c r="E455"/>
  <c r="E289"/>
  <c r="E363"/>
  <c r="E113"/>
  <c r="E79"/>
  <c r="E425"/>
  <c r="E401"/>
  <c r="E257"/>
  <c r="E272"/>
  <c r="E166"/>
  <c r="E102"/>
  <c r="O6"/>
  <c r="E25"/>
  <c r="E204"/>
  <c r="E258"/>
  <c r="E207"/>
  <c r="E479"/>
  <c r="E449"/>
  <c r="E43"/>
  <c r="E196"/>
  <c r="E276"/>
  <c r="E259"/>
  <c r="E370"/>
  <c r="E308"/>
  <c r="E526"/>
  <c r="E416"/>
  <c r="E477"/>
  <c r="E96"/>
  <c r="E540"/>
  <c r="E160"/>
  <c r="E134"/>
  <c r="E242"/>
  <c r="AI6"/>
  <c r="E133"/>
  <c r="E239"/>
  <c r="E87"/>
  <c r="E234"/>
  <c r="E458"/>
  <c r="E128"/>
  <c r="E29"/>
  <c r="E176"/>
  <c r="E256"/>
  <c r="E554"/>
  <c r="E491"/>
  <c r="E525"/>
  <c r="E319"/>
  <c r="K6"/>
  <c r="E456"/>
  <c r="E353"/>
  <c r="E569"/>
  <c r="E50"/>
  <c r="AJ6"/>
  <c r="E236"/>
  <c r="E546"/>
  <c r="E474"/>
  <c r="E15"/>
  <c r="E171"/>
  <c r="E251"/>
  <c r="E354"/>
  <c r="E56"/>
  <c r="E531"/>
  <c r="E122"/>
  <c r="E208"/>
  <c r="E344"/>
  <c r="E485"/>
  <c r="E335"/>
  <c r="E351"/>
  <c r="E514"/>
  <c r="E342"/>
  <c r="E501"/>
  <c r="AL6"/>
  <c r="E512"/>
  <c r="E522"/>
  <c r="E384"/>
  <c r="E368"/>
  <c r="E371"/>
  <c r="E572"/>
  <c r="E310"/>
  <c r="E510"/>
  <c r="E567"/>
  <c r="E516"/>
  <c r="E487"/>
  <c r="E504"/>
  <c r="E329"/>
  <c r="E227"/>
  <c r="AB6"/>
  <c r="E406"/>
  <c r="E26"/>
  <c r="E488"/>
  <c r="S6"/>
  <c r="E244"/>
  <c r="E322"/>
  <c r="E71"/>
  <c r="E511"/>
  <c r="E137"/>
  <c r="E17"/>
  <c r="E240"/>
  <c r="E377"/>
  <c r="E301"/>
  <c r="E18"/>
  <c r="E382"/>
  <c r="E358"/>
  <c r="E484"/>
  <c r="E509"/>
  <c r="E326"/>
  <c r="E20"/>
  <c r="E356"/>
  <c r="E564"/>
  <c r="E481"/>
  <c r="E561"/>
  <c r="E283"/>
  <c r="E23"/>
  <c r="E535"/>
  <c r="E443"/>
  <c r="E156"/>
  <c r="E265"/>
  <c r="E381"/>
  <c r="E194"/>
  <c r="E49"/>
  <c r="AM6"/>
  <c r="E427"/>
  <c r="E78"/>
  <c r="E193"/>
  <c r="E337"/>
  <c r="E278"/>
  <c r="E390"/>
  <c r="E104"/>
  <c r="E158"/>
  <c r="E94"/>
  <c r="E296"/>
  <c r="E534"/>
  <c r="E472"/>
  <c r="AA6"/>
  <c r="E127"/>
  <c r="AD6"/>
  <c r="E266"/>
  <c r="E299"/>
  <c r="E215"/>
  <c r="E327"/>
  <c r="I6"/>
  <c r="E103"/>
  <c r="E200"/>
  <c r="Z6"/>
  <c r="E62"/>
  <c r="E454"/>
  <c r="E389"/>
  <c r="E520"/>
  <c r="E230"/>
  <c r="AK6"/>
  <c r="E143"/>
  <c r="E223"/>
  <c r="E441"/>
  <c r="E205"/>
  <c r="E367"/>
  <c r="E399"/>
  <c r="E415"/>
  <c r="E478"/>
  <c r="E80"/>
  <c r="E317"/>
  <c r="E28"/>
  <c r="E357"/>
  <c r="E141"/>
  <c r="E179"/>
  <c r="E168"/>
  <c r="AS6"/>
  <c r="E34"/>
  <c r="E444"/>
  <c r="E407"/>
  <c r="E383"/>
  <c r="E550"/>
  <c r="E247"/>
  <c r="E136"/>
  <c r="E568"/>
  <c r="E85"/>
  <c r="E539"/>
  <c r="E332"/>
  <c r="E245"/>
  <c r="E139"/>
  <c r="E52"/>
  <c r="E445"/>
  <c r="E451"/>
  <c r="E556"/>
  <c r="U6"/>
  <c r="E291"/>
  <c r="E305"/>
  <c r="E73"/>
  <c r="E365"/>
  <c r="E126"/>
  <c r="E248"/>
  <c r="E211"/>
  <c r="E336"/>
  <c r="Y6"/>
  <c r="AR6"/>
  <c r="E466"/>
  <c r="E65"/>
  <c r="E51"/>
  <c r="E513"/>
  <c r="E198"/>
  <c r="E345"/>
  <c r="E281"/>
  <c r="E72"/>
  <c r="E290"/>
  <c r="E440"/>
  <c r="AF6"/>
  <c r="AC6" s="1"/>
  <c r="E331"/>
  <c r="E40"/>
  <c r="E362"/>
  <c r="E559"/>
  <c r="E150"/>
  <c r="E228"/>
  <c r="E314"/>
  <c r="E324"/>
  <c r="E502"/>
  <c r="E334"/>
  <c r="E489"/>
  <c r="E325"/>
  <c r="E286"/>
  <c r="E396"/>
  <c r="E183"/>
  <c r="E216"/>
  <c r="E320"/>
  <c r="E392"/>
  <c r="E45"/>
  <c r="E373"/>
  <c r="E284"/>
  <c r="E360"/>
  <c r="E42"/>
  <c r="T6"/>
  <c r="E181"/>
  <c r="E144"/>
  <c r="E269"/>
  <c r="E219"/>
  <c r="E338"/>
  <c r="E506"/>
  <c r="E562"/>
  <c r="E483"/>
  <c r="E366"/>
  <c r="E518"/>
  <c r="E532"/>
  <c r="E497"/>
  <c r="E330"/>
  <c r="E167"/>
  <c r="E340"/>
  <c r="E566"/>
  <c r="E350"/>
  <c r="E515"/>
  <c r="E521"/>
  <c r="E496"/>
  <c r="E494"/>
  <c r="E130"/>
  <c r="E273"/>
  <c r="E352"/>
  <c r="E542"/>
  <c r="E461"/>
  <c r="E563"/>
  <c r="E138"/>
  <c r="E254"/>
  <c r="E328"/>
  <c r="E112"/>
  <c r="E341"/>
  <c r="E155"/>
  <c r="E268"/>
  <c r="E252"/>
  <c r="E316"/>
  <c r="E346"/>
  <c r="E175"/>
  <c r="E544"/>
  <c r="E318"/>
  <c r="E541"/>
  <c r="E565"/>
  <c r="E523"/>
  <c r="E380"/>
  <c r="E557"/>
  <c r="E13"/>
  <c r="E503"/>
  <c r="E527"/>
  <c r="E553"/>
  <c r="AB9" i="36"/>
  <c r="U9"/>
  <c r="AC36" i="35"/>
  <c r="W36"/>
  <c r="U40" i="34"/>
  <c r="AB40"/>
  <c r="AA15" i="33"/>
  <c r="S15"/>
  <c r="E571" i="3"/>
  <c r="F36" i="33"/>
  <c r="H36"/>
  <c r="H111"/>
  <c r="I111" s="1"/>
  <c r="J111" s="1"/>
  <c r="K111" s="1"/>
  <c r="L111" s="1"/>
  <c r="M111" s="1"/>
  <c r="AC36"/>
  <c r="J37" i="34"/>
  <c r="H112"/>
  <c r="I112" s="1"/>
  <c r="J112" s="1"/>
  <c r="K112" s="1"/>
  <c r="L112" s="1"/>
  <c r="M112" s="1"/>
  <c r="H37"/>
  <c r="AA37"/>
  <c r="S37"/>
  <c r="J25"/>
  <c r="G88"/>
  <c r="H88" s="1"/>
  <c r="I88" s="1"/>
  <c r="J88" s="1"/>
  <c r="K88" s="1"/>
  <c r="L88" s="1"/>
  <c r="M88" s="1"/>
  <c r="F25"/>
  <c r="AB25"/>
  <c r="U32" i="33"/>
  <c r="M20" i="6"/>
  <c r="I20" s="1"/>
  <c r="S20" s="1"/>
  <c r="S7" i="1"/>
  <c r="H6" i="3"/>
  <c r="K26" i="6"/>
  <c r="M26" s="1"/>
  <c r="I26" s="1"/>
  <c r="S26" s="1"/>
  <c r="K14" i="1"/>
  <c r="E3" i="6"/>
  <c r="AY6" i="3"/>
  <c r="M19" i="6"/>
  <c r="E67" i="39"/>
  <c r="E62" i="40"/>
  <c r="E58"/>
  <c r="E63" i="39"/>
  <c r="E64"/>
  <c r="E59" i="40"/>
  <c r="E60"/>
  <c r="E65" i="39"/>
  <c r="E61" i="40"/>
  <c r="E66" i="39"/>
  <c r="E16" i="6"/>
  <c r="J107" i="72"/>
  <c r="J105"/>
  <c r="J103"/>
  <c r="J109"/>
  <c r="J104"/>
  <c r="J106"/>
  <c r="J102"/>
  <c r="AI11" i="46"/>
  <c r="AI13" s="1"/>
  <c r="AA11"/>
  <c r="AA13" s="1"/>
  <c r="C23"/>
  <c r="Y11"/>
  <c r="Y13" s="1"/>
  <c r="AG11"/>
  <c r="AG13" s="1"/>
  <c r="AC11"/>
  <c r="AC13" s="1"/>
  <c r="E22"/>
  <c r="H101"/>
  <c r="M101"/>
  <c r="D101"/>
  <c r="I101"/>
  <c r="G22"/>
  <c r="H22"/>
  <c r="AB11"/>
  <c r="AB13" s="1"/>
  <c r="AE11"/>
  <c r="AE13" s="1"/>
  <c r="AJ11"/>
  <c r="AJ13" s="1"/>
  <c r="AF11"/>
  <c r="AF13" s="1"/>
  <c r="AH11"/>
  <c r="AH13" s="1"/>
  <c r="AD11"/>
  <c r="AD13" s="1"/>
  <c r="Z11"/>
  <c r="Z13" s="1"/>
  <c r="F101"/>
  <c r="N101"/>
  <c r="K101"/>
  <c r="Z7"/>
  <c r="E101"/>
  <c r="F22"/>
  <c r="L101"/>
  <c r="N104" i="45"/>
  <c r="B113" i="46"/>
  <c r="J101"/>
  <c r="G101"/>
  <c r="C101"/>
  <c r="J22"/>
  <c r="K107" i="72"/>
  <c r="K105"/>
  <c r="K103"/>
  <c r="K109"/>
  <c r="K106"/>
  <c r="K104"/>
  <c r="K102"/>
  <c r="C107"/>
  <c r="C105"/>
  <c r="C103"/>
  <c r="C109"/>
  <c r="C106"/>
  <c r="C104"/>
  <c r="C102"/>
  <c r="H107"/>
  <c r="H105"/>
  <c r="H103"/>
  <c r="H109"/>
  <c r="H106"/>
  <c r="H104"/>
  <c r="H102"/>
  <c r="I107"/>
  <c r="I105"/>
  <c r="I103"/>
  <c r="I106"/>
  <c r="I104"/>
  <c r="I102"/>
  <c r="I109"/>
  <c r="G107"/>
  <c r="G105"/>
  <c r="G103"/>
  <c r="G106"/>
  <c r="G104"/>
  <c r="G102"/>
  <c r="G109"/>
  <c r="L107"/>
  <c r="L105"/>
  <c r="L103"/>
  <c r="L106"/>
  <c r="L104"/>
  <c r="L102"/>
  <c r="L109"/>
  <c r="D107"/>
  <c r="D105"/>
  <c r="D103"/>
  <c r="D106"/>
  <c r="D104"/>
  <c r="D102"/>
  <c r="D109"/>
  <c r="M107"/>
  <c r="M105"/>
  <c r="M103"/>
  <c r="M109"/>
  <c r="M106"/>
  <c r="M104"/>
  <c r="M102"/>
  <c r="E107"/>
  <c r="E105"/>
  <c r="E103"/>
  <c r="E109"/>
  <c r="E106"/>
  <c r="E104"/>
  <c r="E102"/>
  <c r="N107"/>
  <c r="N105"/>
  <c r="N103"/>
  <c r="N102"/>
  <c r="N106"/>
  <c r="N104"/>
  <c r="N109"/>
  <c r="F107"/>
  <c r="F105"/>
  <c r="F103"/>
  <c r="F106"/>
  <c r="F102"/>
  <c r="F109"/>
  <c r="F104"/>
  <c r="B118"/>
  <c r="C118" s="1"/>
  <c r="B117"/>
  <c r="C117" s="1"/>
  <c r="B116"/>
  <c r="C116" s="1"/>
  <c r="B115"/>
  <c r="G118"/>
  <c r="H118" s="1"/>
  <c r="I116"/>
  <c r="J116" s="1"/>
  <c r="K116" s="1"/>
  <c r="L116" s="1"/>
  <c r="M116" s="1"/>
  <c r="D118"/>
  <c r="E118" s="1"/>
  <c r="F118" s="1"/>
  <c r="D117"/>
  <c r="E117" s="1"/>
  <c r="F117" s="1"/>
  <c r="G117" s="1"/>
  <c r="H117" s="1"/>
  <c r="D116"/>
  <c r="E116" s="1"/>
  <c r="F116" s="1"/>
  <c r="G116" s="1"/>
  <c r="H116" s="1"/>
  <c r="D115"/>
  <c r="E115" s="1"/>
  <c r="F115" s="1"/>
  <c r="G115" s="1"/>
  <c r="H115" s="1"/>
  <c r="I118"/>
  <c r="J118" s="1"/>
  <c r="K118" s="1"/>
  <c r="L118" s="1"/>
  <c r="M118" s="1"/>
  <c r="I117"/>
  <c r="J117" s="1"/>
  <c r="K117" s="1"/>
  <c r="L117" s="1"/>
  <c r="M117" s="1"/>
  <c r="I115"/>
  <c r="J115" s="1"/>
  <c r="K115" s="1"/>
  <c r="L115" s="1"/>
  <c r="M115" s="1"/>
  <c r="D22"/>
  <c r="C21" s="1"/>
  <c r="C5" i="46"/>
  <c r="F12" i="40"/>
  <c r="J12"/>
  <c r="H12"/>
  <c r="H12" i="39"/>
  <c r="F12"/>
  <c r="J12"/>
  <c r="W7" i="36"/>
  <c r="AC7"/>
  <c r="V36" s="1"/>
  <c r="I36" s="1"/>
  <c r="P24" i="72"/>
  <c r="P21"/>
  <c r="O19"/>
  <c r="P22"/>
  <c r="P25"/>
  <c r="P23"/>
  <c r="U7" i="37"/>
  <c r="AB7"/>
  <c r="T42" s="1"/>
  <c r="G42" s="1"/>
  <c r="AC7" i="33"/>
  <c r="W7"/>
  <c r="W7" i="35"/>
  <c r="I65" i="40"/>
  <c r="H67"/>
  <c r="I70" i="39"/>
  <c r="H72"/>
  <c r="J7" i="34"/>
  <c r="F7"/>
  <c r="F7" i="33"/>
  <c r="F7" i="21"/>
  <c r="F7" i="35"/>
  <c r="AB7" i="36"/>
  <c r="T36" s="1"/>
  <c r="G36" s="1"/>
  <c r="U7"/>
  <c r="AB7" i="34"/>
  <c r="U7"/>
  <c r="AA7" i="37"/>
  <c r="R42" s="1"/>
  <c r="S7"/>
  <c r="AC7"/>
  <c r="V42" s="1"/>
  <c r="I42" s="1"/>
  <c r="W7"/>
  <c r="S7" i="36"/>
  <c r="AA7"/>
  <c r="R36" s="1"/>
  <c r="AB7" i="33"/>
  <c r="U7"/>
  <c r="W7" i="21"/>
  <c r="AB7"/>
  <c r="T48" s="1"/>
  <c r="G48" s="1"/>
  <c r="U7"/>
  <c r="AB7" i="35"/>
  <c r="T38" s="1"/>
  <c r="G38" s="1"/>
  <c r="C48" i="15"/>
  <c r="L47" i="44"/>
  <c r="Q61" i="15"/>
  <c r="Q74"/>
  <c r="Q76" i="44"/>
  <c r="Q63"/>
  <c r="Q54"/>
  <c r="F1"/>
  <c r="F13"/>
  <c r="C12" s="1"/>
  <c r="C7" s="1"/>
  <c r="M11" i="15"/>
  <c r="J10" s="1"/>
  <c r="J5" s="1"/>
  <c r="F11"/>
  <c r="M13" i="44"/>
  <c r="J12" s="1"/>
  <c r="J7" s="1"/>
  <c r="F1" i="15"/>
  <c r="Q53"/>
  <c r="Q75"/>
  <c r="Q62"/>
  <c r="Q75" i="44"/>
  <c r="Q62"/>
  <c r="J36" i="78"/>
  <c r="M26"/>
  <c r="F26"/>
  <c r="M24"/>
  <c r="L47"/>
  <c r="M28"/>
  <c r="F8"/>
  <c r="J7" i="65"/>
  <c r="AE6" i="1"/>
  <c r="J15" i="78"/>
  <c r="M29"/>
  <c r="M8"/>
  <c r="F7"/>
  <c r="F13"/>
  <c r="M6"/>
  <c r="I7" i="65"/>
  <c r="L48" i="78"/>
  <c r="I6" i="65"/>
  <c r="J6"/>
  <c r="F36" i="78"/>
  <c r="F42"/>
  <c r="F16"/>
  <c r="D16" i="75"/>
  <c r="I4" i="65"/>
  <c r="J4"/>
  <c r="F43" i="78"/>
  <c r="M23"/>
  <c r="F41" i="15"/>
  <c r="I3" i="65"/>
  <c r="I5"/>
  <c r="J5"/>
  <c r="F37" i="78"/>
  <c r="F40"/>
  <c r="M9"/>
  <c r="F38"/>
  <c r="F9"/>
  <c r="J3" i="65"/>
  <c r="D22" i="75"/>
  <c r="M22" i="78"/>
  <c r="Q12" i="77" l="1"/>
  <c r="Q16"/>
  <c r="AG6" i="1"/>
  <c r="F70" i="78"/>
  <c r="F64"/>
  <c r="C27"/>
  <c r="F49"/>
  <c r="M7"/>
  <c r="J6" s="1"/>
  <c r="J5" s="1"/>
  <c r="J24" s="1"/>
  <c r="Q72"/>
  <c r="L57"/>
  <c r="J57"/>
  <c r="J55" s="1"/>
  <c r="J58" s="1"/>
  <c r="Q51" s="1"/>
  <c r="J59"/>
  <c r="J53"/>
  <c r="L56"/>
  <c r="L60"/>
  <c r="I54"/>
  <c r="J60"/>
  <c r="Q49" s="1"/>
  <c r="F67"/>
  <c r="F63"/>
  <c r="L58"/>
  <c r="L59"/>
  <c r="F65"/>
  <c r="F50"/>
  <c r="C48" s="1"/>
  <c r="E6" i="3"/>
  <c r="D20" i="59"/>
  <c r="T20"/>
  <c r="V48" i="33"/>
  <c r="I48" s="1"/>
  <c r="C52" i="78"/>
  <c r="F68" i="15"/>
  <c r="E20" i="72"/>
  <c r="E20" i="46"/>
  <c r="C22" i="75"/>
  <c r="C20" s="1"/>
  <c r="D19"/>
  <c r="C19" s="1"/>
  <c r="C16"/>
  <c r="J1" i="65"/>
  <c r="T44" i="59"/>
  <c r="D44"/>
  <c r="T36"/>
  <c r="D36"/>
  <c r="C16"/>
  <c r="D15"/>
  <c r="C24"/>
  <c r="D23"/>
  <c r="D5"/>
  <c r="S16" i="1"/>
  <c r="N49" i="59"/>
  <c r="N50"/>
  <c r="D11"/>
  <c r="C10"/>
  <c r="D10" s="1"/>
  <c r="S36" i="33"/>
  <c r="AA36"/>
  <c r="AB36"/>
  <c r="T48" s="1"/>
  <c r="G48" s="1"/>
  <c r="U36"/>
  <c r="AB37" i="34"/>
  <c r="U37"/>
  <c r="AC37"/>
  <c r="W37"/>
  <c r="T49"/>
  <c r="G49" s="1"/>
  <c r="G53" s="1"/>
  <c r="H53" s="1"/>
  <c r="AA25"/>
  <c r="S25"/>
  <c r="AC25"/>
  <c r="W25"/>
  <c r="K27" i="6"/>
  <c r="M14" i="1"/>
  <c r="K16"/>
  <c r="AY13" i="3"/>
  <c r="AY504"/>
  <c r="BL6"/>
  <c r="AY537"/>
  <c r="AY103"/>
  <c r="AY100"/>
  <c r="AY64"/>
  <c r="AY53"/>
  <c r="AY21"/>
  <c r="AY83"/>
  <c r="AY154"/>
  <c r="AY73"/>
  <c r="AY52"/>
  <c r="AY47"/>
  <c r="AY42"/>
  <c r="AY74"/>
  <c r="AY191"/>
  <c r="AY182"/>
  <c r="AY160"/>
  <c r="AY144"/>
  <c r="AY204"/>
  <c r="AY126"/>
  <c r="AY515"/>
  <c r="AY98"/>
  <c r="AY92"/>
  <c r="AY45"/>
  <c r="AY75"/>
  <c r="AY57"/>
  <c r="AY31"/>
  <c r="AY106"/>
  <c r="AY175"/>
  <c r="AY136"/>
  <c r="AY118"/>
  <c r="AY217"/>
  <c r="AY277"/>
  <c r="AY262"/>
  <c r="AY234"/>
  <c r="AY291"/>
  <c r="AY264"/>
  <c r="AY232"/>
  <c r="AY209"/>
  <c r="AY383"/>
  <c r="AY384"/>
  <c r="AY349"/>
  <c r="AY317"/>
  <c r="AY361"/>
  <c r="AY467"/>
  <c r="AY448"/>
  <c r="AY416"/>
  <c r="AY427"/>
  <c r="AY425"/>
  <c r="AY397"/>
  <c r="AY402"/>
  <c r="AY422"/>
  <c r="AY479"/>
  <c r="AY49"/>
  <c r="AY55"/>
  <c r="AY170"/>
  <c r="AY202"/>
  <c r="AY149"/>
  <c r="AY181"/>
  <c r="AY146"/>
  <c r="AY139"/>
  <c r="AY381"/>
  <c r="AY250"/>
  <c r="AY214"/>
  <c r="AY286"/>
  <c r="AY379"/>
  <c r="AY343"/>
  <c r="AY324"/>
  <c r="AY364"/>
  <c r="AY326"/>
  <c r="AY560"/>
  <c r="AY476"/>
  <c r="AY398"/>
  <c r="AY463"/>
  <c r="AY65"/>
  <c r="AY39"/>
  <c r="AY70"/>
  <c r="AY178"/>
  <c r="AY141"/>
  <c r="AY116"/>
  <c r="AY169"/>
  <c r="AY135"/>
  <c r="AY265"/>
  <c r="AY258"/>
  <c r="AY238"/>
  <c r="AY294"/>
  <c r="AY310"/>
  <c r="AY366"/>
  <c r="AY348"/>
  <c r="AY372"/>
  <c r="AY350"/>
  <c r="AY315"/>
  <c r="BK6"/>
  <c r="AY550"/>
  <c r="AY459"/>
  <c r="AY548"/>
  <c r="AY72"/>
  <c r="AY62"/>
  <c r="AY50"/>
  <c r="AY168"/>
  <c r="AY115"/>
  <c r="AY269"/>
  <c r="AY226"/>
  <c r="AY256"/>
  <c r="AY241"/>
  <c r="AY376"/>
  <c r="AY346"/>
  <c r="AY464"/>
  <c r="AY435"/>
  <c r="AY389"/>
  <c r="AY400"/>
  <c r="AY81"/>
  <c r="AY30"/>
  <c r="AY155"/>
  <c r="AY161"/>
  <c r="AY295"/>
  <c r="AY230"/>
  <c r="AY302"/>
  <c r="AY340"/>
  <c r="AY342"/>
  <c r="AY542"/>
  <c r="AY450"/>
  <c r="AY101"/>
  <c r="AY194"/>
  <c r="AY132"/>
  <c r="AY122"/>
  <c r="AY272"/>
  <c r="AY279"/>
  <c r="AY382"/>
  <c r="AY307"/>
  <c r="AY305"/>
  <c r="AY16"/>
  <c r="AY420"/>
  <c r="AY457"/>
  <c r="AY405"/>
  <c r="AY438"/>
  <c r="AY555"/>
  <c r="AY412"/>
  <c r="AY429"/>
  <c r="AY278"/>
  <c r="AY188"/>
  <c r="BC6"/>
  <c r="AY442"/>
  <c r="AY336"/>
  <c r="AY143"/>
  <c r="AY201"/>
  <c r="AY43"/>
  <c r="AY253"/>
  <c r="AY157"/>
  <c r="AY543"/>
  <c r="AY572"/>
  <c r="AY352"/>
  <c r="AY308"/>
  <c r="AY330"/>
  <c r="AY501"/>
  <c r="AY35"/>
  <c r="AY528"/>
  <c r="AY91"/>
  <c r="AY99"/>
  <c r="AY124"/>
  <c r="AY236"/>
  <c r="AY449"/>
  <c r="AY481"/>
  <c r="AY525"/>
  <c r="AY516"/>
  <c r="AY273"/>
  <c r="AY207"/>
  <c r="AY428"/>
  <c r="BD6"/>
  <c r="AY494"/>
  <c r="AY510"/>
  <c r="AY526"/>
  <c r="AY567"/>
  <c r="AY566"/>
  <c r="AY40"/>
  <c r="AY48"/>
  <c r="AY276"/>
  <c r="AY212"/>
  <c r="AY401"/>
  <c r="AY19"/>
  <c r="AY538"/>
  <c r="AY488"/>
  <c r="AY281"/>
  <c r="AY215"/>
  <c r="AY436"/>
  <c r="BB6"/>
  <c r="AY495"/>
  <c r="AY513"/>
  <c r="AY534"/>
  <c r="AY568"/>
  <c r="AY322"/>
  <c r="AY61"/>
  <c r="AY113"/>
  <c r="AY251"/>
  <c r="AY267"/>
  <c r="AY347"/>
  <c r="AY557"/>
  <c r="AY451"/>
  <c r="AY395"/>
  <c r="AY23"/>
  <c r="AY192"/>
  <c r="AY296"/>
  <c r="AY363"/>
  <c r="AY345"/>
  <c r="AY478"/>
  <c r="AY54"/>
  <c r="AY189"/>
  <c r="AY237"/>
  <c r="AY387"/>
  <c r="AY353"/>
  <c r="AY545"/>
  <c r="D3" i="6"/>
  <c r="AY530" i="3"/>
  <c r="AY486"/>
  <c r="AY549"/>
  <c r="AY82"/>
  <c r="AY87"/>
  <c r="AY80"/>
  <c r="AY69"/>
  <c r="AY37"/>
  <c r="AY97"/>
  <c r="AY67"/>
  <c r="AY88"/>
  <c r="AY41"/>
  <c r="AY109"/>
  <c r="AY58"/>
  <c r="AY26"/>
  <c r="AY203"/>
  <c r="AY198"/>
  <c r="AY159"/>
  <c r="AY129"/>
  <c r="AY128"/>
  <c r="AY142"/>
  <c r="AY179"/>
  <c r="AY529"/>
  <c r="AY95"/>
  <c r="AY77"/>
  <c r="AY105"/>
  <c r="AY104"/>
  <c r="AY36"/>
  <c r="AY34"/>
  <c r="AY274"/>
  <c r="AY145"/>
  <c r="AY150"/>
  <c r="AY158"/>
  <c r="AY293"/>
  <c r="AY259"/>
  <c r="AY246"/>
  <c r="AY218"/>
  <c r="AY275"/>
  <c r="AY248"/>
  <c r="AY216"/>
  <c r="AY290"/>
  <c r="AY386"/>
  <c r="AY368"/>
  <c r="AY333"/>
  <c r="AY309"/>
  <c r="AY556"/>
  <c r="AY472"/>
  <c r="AY432"/>
  <c r="AY443"/>
  <c r="AY411"/>
  <c r="AY409"/>
  <c r="AY408"/>
  <c r="AY392"/>
  <c r="AY414"/>
  <c r="AY96"/>
  <c r="AY28"/>
  <c r="AY46"/>
  <c r="AY187"/>
  <c r="AY171"/>
  <c r="AY117"/>
  <c r="AY176"/>
  <c r="AY114"/>
  <c r="AY233"/>
  <c r="AY280"/>
  <c r="AY219"/>
  <c r="AY271"/>
  <c r="AY365"/>
  <c r="AY374"/>
  <c r="AY356"/>
  <c r="AY304"/>
  <c r="AY329"/>
  <c r="AY311"/>
  <c r="AY569"/>
  <c r="AY445"/>
  <c r="AY471"/>
  <c r="AY123"/>
  <c r="AY44"/>
  <c r="AY38"/>
  <c r="AY131"/>
  <c r="AY172"/>
  <c r="AY148"/>
  <c r="AY200"/>
  <c r="AY138"/>
  <c r="AY183"/>
  <c r="AY288"/>
  <c r="AY227"/>
  <c r="AY206"/>
  <c r="AY257"/>
  <c r="AY371"/>
  <c r="AY335"/>
  <c r="AY316"/>
  <c r="AY337"/>
  <c r="AY318"/>
  <c r="AY558"/>
  <c r="AY520"/>
  <c r="BS6"/>
  <c r="AY111"/>
  <c r="AY25"/>
  <c r="AY120"/>
  <c r="AY254"/>
  <c r="AY224"/>
  <c r="AY341"/>
  <c r="AY424"/>
  <c r="AY394"/>
  <c r="AY85"/>
  <c r="AY197"/>
  <c r="AY266"/>
  <c r="AY359"/>
  <c r="AY369"/>
  <c r="AY76"/>
  <c r="AY156"/>
  <c r="AY282"/>
  <c r="AY229"/>
  <c r="AY321"/>
  <c r="AY14"/>
  <c r="AY437"/>
  <c r="AY430"/>
  <c r="AY465"/>
  <c r="AY378"/>
  <c r="AY544"/>
  <c r="AY314"/>
  <c r="BH6"/>
  <c r="AY193"/>
  <c r="AY493"/>
  <c r="AY320"/>
  <c r="AY86"/>
  <c r="AY27"/>
  <c r="AY24"/>
  <c r="AY268"/>
  <c r="AY431"/>
  <c r="BN6"/>
  <c r="AY239"/>
  <c r="AY407"/>
  <c r="AY500"/>
  <c r="AY552"/>
  <c r="AY107"/>
  <c r="AY140"/>
  <c r="AY458"/>
  <c r="AY527"/>
  <c r="AY152"/>
  <c r="AY461"/>
  <c r="AY489"/>
  <c r="AY519"/>
  <c r="AY546"/>
  <c r="AY66"/>
  <c r="AY242"/>
  <c r="AY325"/>
  <c r="AY417"/>
  <c r="AY186"/>
  <c r="AY287"/>
  <c r="BF6"/>
  <c r="AY163"/>
  <c r="AY222"/>
  <c r="AY385"/>
  <c r="AY470"/>
  <c r="AY418"/>
  <c r="AY460"/>
  <c r="AY393"/>
  <c r="AY173"/>
  <c r="AY410"/>
  <c r="AY338"/>
  <c r="AY339"/>
  <c r="AY119"/>
  <c r="AY434"/>
  <c r="AY312"/>
  <c r="BO6"/>
  <c r="AY59"/>
  <c r="AY56"/>
  <c r="AY284"/>
  <c r="AY433"/>
  <c r="AY533"/>
  <c r="AY289"/>
  <c r="AY444"/>
  <c r="AY490"/>
  <c r="AY522"/>
  <c r="AY512"/>
  <c r="AY79"/>
  <c r="AY547"/>
  <c r="AY89"/>
  <c r="AY93"/>
  <c r="AY134"/>
  <c r="AY210"/>
  <c r="AY306"/>
  <c r="AY313"/>
  <c r="AY419"/>
  <c r="AY455"/>
  <c r="AY102"/>
  <c r="AY130"/>
  <c r="AY261"/>
  <c r="AY297"/>
  <c r="AY33"/>
  <c r="AY125"/>
  <c r="AY243"/>
  <c r="AY332"/>
  <c r="BG6"/>
  <c r="AY473"/>
  <c r="AY426"/>
  <c r="AY462"/>
  <c r="AY196"/>
  <c r="AY551"/>
  <c r="AY373"/>
  <c r="AY51"/>
  <c r="AY165"/>
  <c r="AY541"/>
  <c r="AY301"/>
  <c r="AY94"/>
  <c r="AY570"/>
  <c r="AY167"/>
  <c r="AY466"/>
  <c r="AY511"/>
  <c r="AY255"/>
  <c r="AY439"/>
  <c r="AY496"/>
  <c r="AY536"/>
  <c r="AY521"/>
  <c r="AY180"/>
  <c r="AY474"/>
  <c r="BJ6"/>
  <c r="AY354"/>
  <c r="AY477"/>
  <c r="AY482"/>
  <c r="AY517"/>
  <c r="BE6"/>
  <c r="AY292"/>
  <c r="AY441"/>
  <c r="AY535"/>
  <c r="AY121"/>
  <c r="AY452"/>
  <c r="AY491"/>
  <c r="AY523"/>
  <c r="AY508"/>
  <c r="BA6"/>
  <c r="AY29"/>
  <c r="AY147"/>
  <c r="AY249"/>
  <c r="AY283"/>
  <c r="AY367"/>
  <c r="AY561"/>
  <c r="AY453"/>
  <c r="AY446"/>
  <c r="AY166"/>
  <c r="AY162"/>
  <c r="AY225"/>
  <c r="AY380"/>
  <c r="AY413"/>
  <c r="AY22"/>
  <c r="AY184"/>
  <c r="AY211"/>
  <c r="AY319"/>
  <c r="AY562"/>
  <c r="BQ6"/>
  <c r="AY396"/>
  <c r="BT6"/>
  <c r="AY406"/>
  <c r="AY151"/>
  <c r="AY221"/>
  <c r="AY323"/>
  <c r="AY303"/>
  <c r="AY360"/>
  <c r="AY245"/>
  <c r="AY370"/>
  <c r="AY127"/>
  <c r="AY531"/>
  <c r="AY32"/>
  <c r="AY388"/>
  <c r="AY498"/>
  <c r="AY137"/>
  <c r="AY456"/>
  <c r="AY485"/>
  <c r="AY518"/>
  <c r="AY565"/>
  <c r="AY112"/>
  <c r="AY244"/>
  <c r="AY415"/>
  <c r="BP6"/>
  <c r="AY247"/>
  <c r="AY399"/>
  <c r="AY503"/>
  <c r="AY553"/>
  <c r="AY20"/>
  <c r="AY199"/>
  <c r="AY208"/>
  <c r="AY480"/>
  <c r="AY78"/>
  <c r="AY174"/>
  <c r="AY299"/>
  <c r="AY90"/>
  <c r="AY153"/>
  <c r="AY351"/>
  <c r="AY447"/>
  <c r="AY390"/>
  <c r="AY358"/>
  <c r="AY492"/>
  <c r="AY375"/>
  <c r="AY540"/>
  <c r="AY328"/>
  <c r="AY15"/>
  <c r="AY185"/>
  <c r="AY484"/>
  <c r="AY344"/>
  <c r="AY355"/>
  <c r="AY559"/>
  <c r="AY505"/>
  <c r="AY63"/>
  <c r="AY220"/>
  <c r="AY483"/>
  <c r="AY17"/>
  <c r="AY223"/>
  <c r="BR6"/>
  <c r="AY506"/>
  <c r="AY563"/>
  <c r="AY71"/>
  <c r="AY497"/>
  <c r="AY108"/>
  <c r="AY68"/>
  <c r="AY190"/>
  <c r="AY285"/>
  <c r="AY240"/>
  <c r="AY357"/>
  <c r="AY440"/>
  <c r="AY404"/>
  <c r="AY60"/>
  <c r="AY133"/>
  <c r="AY235"/>
  <c r="AY327"/>
  <c r="AY475"/>
  <c r="AY84"/>
  <c r="AY195"/>
  <c r="AY213"/>
  <c r="AY334"/>
  <c r="AY468"/>
  <c r="AY421"/>
  <c r="AY502"/>
  <c r="AY331"/>
  <c r="AY377"/>
  <c r="AY362"/>
  <c r="AY110"/>
  <c r="AY270"/>
  <c r="BI6"/>
  <c r="AY205"/>
  <c r="AY298"/>
  <c r="AY487"/>
  <c r="AY164"/>
  <c r="AY252"/>
  <c r="AY403"/>
  <c r="AY571"/>
  <c r="AY469"/>
  <c r="BM6"/>
  <c r="AY514"/>
  <c r="AY509"/>
  <c r="AY177"/>
  <c r="AY260"/>
  <c r="AY454"/>
  <c r="AY554"/>
  <c r="AY263"/>
  <c r="AY423"/>
  <c r="AY499"/>
  <c r="AY539"/>
  <c r="AY524"/>
  <c r="AY228"/>
  <c r="AY391"/>
  <c r="AY532"/>
  <c r="AY231"/>
  <c r="AY18"/>
  <c r="AY507"/>
  <c r="AY564"/>
  <c r="AY300"/>
  <c r="M27" i="6"/>
  <c r="I19"/>
  <c r="L38" i="69"/>
  <c r="D44"/>
  <c r="D46"/>
  <c r="D45"/>
  <c r="D16" i="43"/>
  <c r="C16" s="1"/>
  <c r="C21" i="4"/>
  <c r="O5" i="54" s="1"/>
  <c r="B45" i="63" s="1"/>
  <c r="D10" i="11"/>
  <c r="D44" i="9"/>
  <c r="D46"/>
  <c r="E6" i="6"/>
  <c r="L38" i="9"/>
  <c r="B14" i="66" s="1"/>
  <c r="B1" s="1"/>
  <c r="D45" i="9"/>
  <c r="C115" i="72"/>
  <c r="D113" s="1"/>
  <c r="C106" i="46"/>
  <c r="C105"/>
  <c r="C109"/>
  <c r="C103"/>
  <c r="C104"/>
  <c r="C107"/>
  <c r="C102"/>
  <c r="J104"/>
  <c r="J103"/>
  <c r="J105"/>
  <c r="J109"/>
  <c r="J106"/>
  <c r="J107"/>
  <c r="J102"/>
  <c r="N109"/>
  <c r="N103"/>
  <c r="N104"/>
  <c r="N106"/>
  <c r="N105"/>
  <c r="N102"/>
  <c r="N107"/>
  <c r="D106"/>
  <c r="D105"/>
  <c r="D107"/>
  <c r="D102"/>
  <c r="D104"/>
  <c r="D109"/>
  <c r="D103"/>
  <c r="H102"/>
  <c r="H107"/>
  <c r="H103"/>
  <c r="H104"/>
  <c r="H105"/>
  <c r="H106"/>
  <c r="H109"/>
  <c r="S7" i="72"/>
  <c r="S6"/>
  <c r="S4"/>
  <c r="S5"/>
  <c r="S2"/>
  <c r="S3"/>
  <c r="G104" i="46"/>
  <c r="G103"/>
  <c r="G106"/>
  <c r="G102"/>
  <c r="G107"/>
  <c r="G109"/>
  <c r="G105"/>
  <c r="D118"/>
  <c r="E118" s="1"/>
  <c r="F118" s="1"/>
  <c r="I115"/>
  <c r="J115" s="1"/>
  <c r="K115" s="1"/>
  <c r="L115" s="1"/>
  <c r="M115" s="1"/>
  <c r="B117"/>
  <c r="C117" s="1"/>
  <c r="D115"/>
  <c r="E115" s="1"/>
  <c r="F115" s="1"/>
  <c r="G115" s="1"/>
  <c r="H115" s="1"/>
  <c r="I118"/>
  <c r="J118" s="1"/>
  <c r="K118" s="1"/>
  <c r="L118" s="1"/>
  <c r="M118" s="1"/>
  <c r="D116"/>
  <c r="E116" s="1"/>
  <c r="F116" s="1"/>
  <c r="G116" s="1"/>
  <c r="H116" s="1"/>
  <c r="B118"/>
  <c r="C118" s="1"/>
  <c r="I116"/>
  <c r="J116" s="1"/>
  <c r="K116" s="1"/>
  <c r="L116" s="1"/>
  <c r="M116" s="1"/>
  <c r="I117"/>
  <c r="J117" s="1"/>
  <c r="K117" s="1"/>
  <c r="L117" s="1"/>
  <c r="M117" s="1"/>
  <c r="B115"/>
  <c r="B116"/>
  <c r="C116" s="1"/>
  <c r="G118"/>
  <c r="H118" s="1"/>
  <c r="D117"/>
  <c r="E117" s="1"/>
  <c r="F117" s="1"/>
  <c r="G117" s="1"/>
  <c r="H117" s="1"/>
  <c r="L106"/>
  <c r="L107"/>
  <c r="L109"/>
  <c r="L103"/>
  <c r="L102"/>
  <c r="L105"/>
  <c r="L104"/>
  <c r="E103"/>
  <c r="E107"/>
  <c r="E102"/>
  <c r="E104"/>
  <c r="E106"/>
  <c r="E105"/>
  <c r="E109"/>
  <c r="K109"/>
  <c r="K104"/>
  <c r="K105"/>
  <c r="K102"/>
  <c r="K106"/>
  <c r="K107"/>
  <c r="K103"/>
  <c r="F109"/>
  <c r="F107"/>
  <c r="F104"/>
  <c r="F106"/>
  <c r="F103"/>
  <c r="F105"/>
  <c r="F102"/>
  <c r="I105"/>
  <c r="I104"/>
  <c r="I103"/>
  <c r="I106"/>
  <c r="I102"/>
  <c r="I109"/>
  <c r="I107"/>
  <c r="M107"/>
  <c r="M102"/>
  <c r="M109"/>
  <c r="M106"/>
  <c r="M104"/>
  <c r="M103"/>
  <c r="M105"/>
  <c r="D22"/>
  <c r="C21" s="1"/>
  <c r="AA12" i="39"/>
  <c r="S12"/>
  <c r="AB12" i="40"/>
  <c r="U12"/>
  <c r="AA12"/>
  <c r="S12"/>
  <c r="AC12" i="39"/>
  <c r="W12"/>
  <c r="U12"/>
  <c r="AB12"/>
  <c r="W12" i="40"/>
  <c r="AC12"/>
  <c r="G42" i="35"/>
  <c r="H42" s="1"/>
  <c r="G43"/>
  <c r="H43" s="1"/>
  <c r="G52" i="21"/>
  <c r="H52" s="1"/>
  <c r="G53"/>
  <c r="H53" s="1"/>
  <c r="I46" i="37"/>
  <c r="J46" s="1"/>
  <c r="E42"/>
  <c r="I47" s="1"/>
  <c r="J47" s="1"/>
  <c r="R43"/>
  <c r="G40" i="36"/>
  <c r="H40" s="1"/>
  <c r="G41"/>
  <c r="H41" s="1"/>
  <c r="AA7" i="21"/>
  <c r="R48" s="1"/>
  <c r="S7"/>
  <c r="AA7" i="34"/>
  <c r="S7"/>
  <c r="G46" i="37"/>
  <c r="H46" s="1"/>
  <c r="G47"/>
  <c r="H47" s="1"/>
  <c r="I52" i="21"/>
  <c r="J52" s="1"/>
  <c r="E36" i="36"/>
  <c r="I41" s="1"/>
  <c r="J41" s="1"/>
  <c r="R37"/>
  <c r="S7" i="35"/>
  <c r="AA7"/>
  <c r="R38" s="1"/>
  <c r="AA7" i="33"/>
  <c r="R48" s="1"/>
  <c r="S7"/>
  <c r="AC7" i="34"/>
  <c r="V49" s="1"/>
  <c r="I49" s="1"/>
  <c r="W7"/>
  <c r="J70" i="39"/>
  <c r="I72"/>
  <c r="J65" i="40"/>
  <c r="I67"/>
  <c r="I42" i="35"/>
  <c r="J42" s="1"/>
  <c r="I52" i="33"/>
  <c r="J52" s="1"/>
  <c r="I40" i="36"/>
  <c r="J40" s="1"/>
  <c r="J28" i="44"/>
  <c r="J31" s="1"/>
  <c r="J26"/>
  <c r="J20"/>
  <c r="C34"/>
  <c r="C40"/>
  <c r="C52" i="15"/>
  <c r="C47" s="1"/>
  <c r="J26"/>
  <c r="J29" s="1"/>
  <c r="J24"/>
  <c r="J18"/>
  <c r="M27"/>
  <c r="E7" i="67"/>
  <c r="F7"/>
  <c r="L52" i="44"/>
  <c r="C17" i="78"/>
  <c r="D16" i="12"/>
  <c r="E3" i="65"/>
  <c r="E2"/>
  <c r="C16" i="78"/>
  <c r="G54" i="34" l="1"/>
  <c r="H54" s="1"/>
  <c r="J18" i="78"/>
  <c r="J26"/>
  <c r="Q75"/>
  <c r="Q62"/>
  <c r="Q67"/>
  <c r="Q58"/>
  <c r="Q53"/>
  <c r="F1"/>
  <c r="C47"/>
  <c r="C59" s="1"/>
  <c r="Q61"/>
  <c r="Q74"/>
  <c r="B40" i="1"/>
  <c r="F17" i="11"/>
  <c r="C17" s="1"/>
  <c r="C19" s="1"/>
  <c r="C20" s="1"/>
  <c r="C21" s="1"/>
  <c r="C22" s="1"/>
  <c r="C23" s="1"/>
  <c r="B2" s="1"/>
  <c r="B3" s="1"/>
  <c r="M19" i="46"/>
  <c r="T24" i="59"/>
  <c r="D24"/>
  <c r="M19" i="72" s="1"/>
  <c r="T16" i="59"/>
  <c r="D16"/>
  <c r="M20" i="72" s="1"/>
  <c r="C19" s="1"/>
  <c r="P17" i="46"/>
  <c r="N17"/>
  <c r="O17"/>
  <c r="M17"/>
  <c r="G20" s="1"/>
  <c r="M17" i="72"/>
  <c r="N17"/>
  <c r="G20" s="1"/>
  <c r="P17"/>
  <c r="O17"/>
  <c r="R49" i="34"/>
  <c r="E49" s="1"/>
  <c r="G53" i="33"/>
  <c r="H53" s="1"/>
  <c r="G52"/>
  <c r="H52" s="1"/>
  <c r="T13" i="1"/>
  <c r="T10"/>
  <c r="T6"/>
  <c r="T8"/>
  <c r="O14"/>
  <c r="O16" s="1"/>
  <c r="T7"/>
  <c r="T9"/>
  <c r="T11"/>
  <c r="T12"/>
  <c r="M16"/>
  <c r="N16" s="1"/>
  <c r="C29" i="43" s="1"/>
  <c r="D13" i="11"/>
  <c r="C13" s="1"/>
  <c r="I27" i="6"/>
  <c r="S19"/>
  <c r="S27" s="1"/>
  <c r="C7" i="66"/>
  <c r="C8"/>
  <c r="C6"/>
  <c r="D19" i="12"/>
  <c r="C19" s="1"/>
  <c r="C16"/>
  <c r="E63" i="40"/>
  <c r="C22" i="4"/>
  <c r="D19" i="6"/>
  <c r="F1" i="46" s="1"/>
  <c r="D21" i="6"/>
  <c r="D25"/>
  <c r="D10"/>
  <c r="D13"/>
  <c r="H21"/>
  <c r="H24"/>
  <c r="D6"/>
  <c r="D23"/>
  <c r="D14"/>
  <c r="D28"/>
  <c r="D20"/>
  <c r="F1" i="72" s="1"/>
  <c r="D8" i="6"/>
  <c r="H23"/>
  <c r="E45" i="9"/>
  <c r="F45"/>
  <c r="F44"/>
  <c r="F46"/>
  <c r="E46"/>
  <c r="E68" i="39"/>
  <c r="H19" i="6"/>
  <c r="K38" i="9"/>
  <c r="C14" i="66" s="1"/>
  <c r="B2" s="1"/>
  <c r="D24" i="6"/>
  <c r="R24" s="1"/>
  <c r="D26"/>
  <c r="D22"/>
  <c r="D11"/>
  <c r="D12"/>
  <c r="H20"/>
  <c r="H25"/>
  <c r="D9"/>
  <c r="D5"/>
  <c r="D29"/>
  <c r="H22"/>
  <c r="D15"/>
  <c r="H26"/>
  <c r="E44" i="9"/>
  <c r="K38" i="69"/>
  <c r="F44"/>
  <c r="E45"/>
  <c r="E46"/>
  <c r="E44"/>
  <c r="F45"/>
  <c r="F46"/>
  <c r="S5" i="46"/>
  <c r="S7"/>
  <c r="S6"/>
  <c r="S2"/>
  <c r="S3"/>
  <c r="S4"/>
  <c r="C115"/>
  <c r="D113" s="1"/>
  <c r="K65" i="40"/>
  <c r="J67"/>
  <c r="K70" i="39"/>
  <c r="J72"/>
  <c r="I53" i="34"/>
  <c r="J53" s="1"/>
  <c r="R49" i="33"/>
  <c r="E48"/>
  <c r="E40" i="36"/>
  <c r="F40" s="1"/>
  <c r="E41"/>
  <c r="F41" s="1"/>
  <c r="R50" i="34"/>
  <c r="R49" i="21"/>
  <c r="E48"/>
  <c r="E46" i="37"/>
  <c r="F46" s="1"/>
  <c r="E47"/>
  <c r="F47" s="1"/>
  <c r="E38" i="35"/>
  <c r="R39"/>
  <c r="C37" i="36"/>
  <c r="B3" s="1"/>
  <c r="B2" s="1"/>
  <c r="C36"/>
  <c r="C43" i="37"/>
  <c r="B3" s="1"/>
  <c r="B2" s="1"/>
  <c r="C42"/>
  <c r="E4" i="67"/>
  <c r="E3"/>
  <c r="Q69" i="44"/>
  <c r="L58"/>
  <c r="L61" s="1"/>
  <c r="C59" i="15"/>
  <c r="C65"/>
  <c r="Q49" i="44"/>
  <c r="Q55" s="1"/>
  <c r="Q67"/>
  <c r="Q58"/>
  <c r="C14" i="78"/>
  <c r="C16" i="44"/>
  <c r="D22" i="12"/>
  <c r="AE7" i="1"/>
  <c r="C13" i="75"/>
  <c r="C14" i="15"/>
  <c r="B7" i="67"/>
  <c r="AG7" i="1" l="1"/>
  <c r="C65" i="78"/>
  <c r="C60"/>
  <c r="C15"/>
  <c r="C18"/>
  <c r="M20" i="46"/>
  <c r="C19" s="1"/>
  <c r="F26" i="12"/>
  <c r="C27" s="1"/>
  <c r="D26" s="1"/>
  <c r="C32" s="1"/>
  <c r="D30" s="1"/>
  <c r="F24" i="78"/>
  <c r="F24" i="15"/>
  <c r="C24" s="1"/>
  <c r="F26" i="75"/>
  <c r="C27" s="1"/>
  <c r="D26" s="1"/>
  <c r="C32" s="1"/>
  <c r="D30" s="1"/>
  <c r="F21" i="43"/>
  <c r="C23" s="1"/>
  <c r="D21" s="1"/>
  <c r="F26" i="44"/>
  <c r="C26" s="1"/>
  <c r="B5" i="11"/>
  <c r="B4"/>
  <c r="C17" i="75"/>
  <c r="C14"/>
  <c r="E41" i="72"/>
  <c r="C41" s="1"/>
  <c r="C20"/>
  <c r="T4" s="1"/>
  <c r="V4" s="1"/>
  <c r="E41" i="46"/>
  <c r="C41" s="1"/>
  <c r="C38" s="1"/>
  <c r="E38" s="1"/>
  <c r="C20"/>
  <c r="C22" i="12"/>
  <c r="C20" s="1"/>
  <c r="H27" i="6"/>
  <c r="D16"/>
  <c r="D30"/>
  <c r="C15" i="15"/>
  <c r="C18"/>
  <c r="C17" i="44"/>
  <c r="C20"/>
  <c r="L16" i="1"/>
  <c r="C13" i="43"/>
  <c r="T16" i="1"/>
  <c r="P14"/>
  <c r="P16" s="1"/>
  <c r="D8" i="66"/>
  <c r="D6"/>
  <c r="D7"/>
  <c r="A6" i="51"/>
  <c r="B7" i="63" s="1"/>
  <c r="A6" i="64"/>
  <c r="A20"/>
  <c r="A20" i="51"/>
  <c r="B15" i="63" s="1"/>
  <c r="N5" i="54"/>
  <c r="B43" i="63" s="1"/>
  <c r="R26" i="6"/>
  <c r="R20"/>
  <c r="R7" i="1" s="1"/>
  <c r="R21" i="6"/>
  <c r="R19"/>
  <c r="D27"/>
  <c r="R22"/>
  <c r="R23"/>
  <c r="R25"/>
  <c r="E43" i="35"/>
  <c r="F43" s="1"/>
  <c r="E42"/>
  <c r="F42" s="1"/>
  <c r="I43"/>
  <c r="J43" s="1"/>
  <c r="C48" i="21"/>
  <c r="C49"/>
  <c r="B3" s="1"/>
  <c r="B2" s="1"/>
  <c r="C50" i="34"/>
  <c r="U7" i="1" s="1"/>
  <c r="C49" i="34"/>
  <c r="C48" i="33"/>
  <c r="C49"/>
  <c r="U6" i="1" s="1"/>
  <c r="L70" i="39"/>
  <c r="K72"/>
  <c r="L65" i="40"/>
  <c r="K67"/>
  <c r="C38" i="35"/>
  <c r="C39"/>
  <c r="B3" s="1"/>
  <c r="B2" s="1"/>
  <c r="E53" i="21"/>
  <c r="F53" s="1"/>
  <c r="E52"/>
  <c r="F52" s="1"/>
  <c r="I53"/>
  <c r="J53" s="1"/>
  <c r="E54" i="34"/>
  <c r="F54" s="1"/>
  <c r="E53"/>
  <c r="F53" s="1"/>
  <c r="E52" i="33"/>
  <c r="F52" s="1"/>
  <c r="E53"/>
  <c r="F53" s="1"/>
  <c r="I53"/>
  <c r="J53" s="1"/>
  <c r="I54" i="34"/>
  <c r="J54" s="1"/>
  <c r="B2" i="67"/>
  <c r="Q68" i="44"/>
  <c r="Q77" s="1"/>
  <c r="Q59"/>
  <c r="Q64" s="1"/>
  <c r="F41" i="78"/>
  <c r="M21"/>
  <c r="F6" i="15"/>
  <c r="M27" i="78"/>
  <c r="F6"/>
  <c r="F35"/>
  <c r="C13" i="12"/>
  <c r="F68" i="78" l="1"/>
  <c r="J29"/>
  <c r="C19"/>
  <c r="C20" s="1"/>
  <c r="C26" s="1"/>
  <c r="C6" i="15"/>
  <c r="C10" s="1"/>
  <c r="C5" s="1"/>
  <c r="F62" i="78"/>
  <c r="C61" s="1"/>
  <c r="C58" s="1"/>
  <c r="C34"/>
  <c r="J20"/>
  <c r="T7" i="46"/>
  <c r="V7" s="1"/>
  <c r="C6" i="78"/>
  <c r="C10" s="1"/>
  <c r="C5" s="1"/>
  <c r="C24"/>
  <c r="C23"/>
  <c r="C18" i="75"/>
  <c r="C23" s="1"/>
  <c r="T3" i="72"/>
  <c r="V3" s="1"/>
  <c r="T6"/>
  <c r="V6" s="1"/>
  <c r="T9"/>
  <c r="V9" s="1"/>
  <c r="T12"/>
  <c r="V12" s="1"/>
  <c r="T14" i="46"/>
  <c r="V14" s="1"/>
  <c r="T16"/>
  <c r="V16" s="1"/>
  <c r="T3"/>
  <c r="V3" s="1"/>
  <c r="G38"/>
  <c r="I38" s="1"/>
  <c r="C36"/>
  <c r="C34"/>
  <c r="T5"/>
  <c r="V5" s="1"/>
  <c r="D31" i="6"/>
  <c r="I5" s="1"/>
  <c r="C35" i="46"/>
  <c r="T10"/>
  <c r="V10" s="1"/>
  <c r="T9"/>
  <c r="V9" s="1"/>
  <c r="C37"/>
  <c r="C33"/>
  <c r="T12"/>
  <c r="V12" s="1"/>
  <c r="T11"/>
  <c r="V11" s="1"/>
  <c r="T10" i="72"/>
  <c r="V10" s="1"/>
  <c r="T14"/>
  <c r="V14" s="1"/>
  <c r="C33"/>
  <c r="T11"/>
  <c r="V11" s="1"/>
  <c r="C29" i="46"/>
  <c r="T13"/>
  <c r="V13" s="1"/>
  <c r="T8"/>
  <c r="V8" s="1"/>
  <c r="T15"/>
  <c r="V15" s="1"/>
  <c r="T6"/>
  <c r="V6" s="1"/>
  <c r="T2"/>
  <c r="V2" s="1"/>
  <c r="C38" i="72"/>
  <c r="C39"/>
  <c r="T4" i="46"/>
  <c r="V4" s="1"/>
  <c r="C39"/>
  <c r="C35" i="72"/>
  <c r="T8"/>
  <c r="V8" s="1"/>
  <c r="T7"/>
  <c r="V7" s="1"/>
  <c r="C37"/>
  <c r="C29"/>
  <c r="T15"/>
  <c r="V15" s="1"/>
  <c r="T5"/>
  <c r="V5" s="1"/>
  <c r="T2"/>
  <c r="V2" s="1"/>
  <c r="C34"/>
  <c r="T13"/>
  <c r="V13" s="1"/>
  <c r="T16"/>
  <c r="V16" s="1"/>
  <c r="C36"/>
  <c r="B3" i="34"/>
  <c r="B2" s="1"/>
  <c r="B3" i="33"/>
  <c r="B2" s="1"/>
  <c r="C19" i="15"/>
  <c r="C20" s="1"/>
  <c r="C26" s="1"/>
  <c r="R27" i="6"/>
  <c r="R6" i="1"/>
  <c r="C21" i="44"/>
  <c r="C22" s="1"/>
  <c r="C25" s="1"/>
  <c r="C14" i="12"/>
  <c r="C17"/>
  <c r="C14" i="43"/>
  <c r="C17"/>
  <c r="I6" i="6"/>
  <c r="L67" i="40"/>
  <c r="M65"/>
  <c r="M70" i="39"/>
  <c r="L72"/>
  <c r="B3" i="67"/>
  <c r="B4"/>
  <c r="F35" i="15"/>
  <c r="M21"/>
  <c r="J20" l="1"/>
  <c r="C34"/>
  <c r="F62"/>
  <c r="C61" s="1"/>
  <c r="R16" i="1"/>
  <c r="C32" i="15"/>
  <c r="C38"/>
  <c r="C33" i="78"/>
  <c r="C38"/>
  <c r="C32"/>
  <c r="C29"/>
  <c r="C56" s="1"/>
  <c r="C63" s="1"/>
  <c r="E34" i="46"/>
  <c r="G34"/>
  <c r="I34" s="1"/>
  <c r="E36"/>
  <c r="G36"/>
  <c r="I36" s="1"/>
  <c r="G34" i="72"/>
  <c r="I34" s="1"/>
  <c r="E34"/>
  <c r="E29"/>
  <c r="C30"/>
  <c r="E30" s="1"/>
  <c r="E35"/>
  <c r="G35"/>
  <c r="I35" s="1"/>
  <c r="G36"/>
  <c r="I36" s="1"/>
  <c r="E36"/>
  <c r="E37"/>
  <c r="G37"/>
  <c r="I37" s="1"/>
  <c r="G39" i="46"/>
  <c r="I39" s="1"/>
  <c r="E39"/>
  <c r="E39" i="72"/>
  <c r="G39"/>
  <c r="I39" s="1"/>
  <c r="E33" i="46"/>
  <c r="G33"/>
  <c r="I33" s="1"/>
  <c r="G35"/>
  <c r="I35" s="1"/>
  <c r="E35"/>
  <c r="E38" i="72"/>
  <c r="G38"/>
  <c r="I38" s="1"/>
  <c r="E29" i="46"/>
  <c r="C30"/>
  <c r="E30" s="1"/>
  <c r="G33" i="72"/>
  <c r="I33" s="1"/>
  <c r="E33"/>
  <c r="E37" i="46"/>
  <c r="G37"/>
  <c r="I37" s="1"/>
  <c r="C28" i="44"/>
  <c r="C31" s="1"/>
  <c r="C18" i="43"/>
  <c r="C19" s="1"/>
  <c r="C25" s="1"/>
  <c r="C24" s="1"/>
  <c r="C23" i="15"/>
  <c r="C29" s="1"/>
  <c r="C36" s="1"/>
  <c r="C18" i="12"/>
  <c r="N65" i="40"/>
  <c r="N67" s="1"/>
  <c r="M67"/>
  <c r="J9" s="1"/>
  <c r="H9"/>
  <c r="F9"/>
  <c r="N70" i="39"/>
  <c r="N72" s="1"/>
  <c r="M72"/>
  <c r="H9" s="1"/>
  <c r="C31" i="78" l="1"/>
  <c r="J19"/>
  <c r="J17" s="1"/>
  <c r="C13"/>
  <c r="C55" s="1"/>
  <c r="C64" s="1"/>
  <c r="C57" s="1"/>
  <c r="C66" s="1"/>
  <c r="C67" s="1"/>
  <c r="Q50"/>
  <c r="J14"/>
  <c r="J13" s="1"/>
  <c r="J23" s="1"/>
  <c r="C36"/>
  <c r="F9" i="39"/>
  <c r="AA9" s="1"/>
  <c r="R49" s="1"/>
  <c r="J9"/>
  <c r="AC9" s="1"/>
  <c r="V49" s="1"/>
  <c r="I49" s="1"/>
  <c r="C27" i="46"/>
  <c r="C27" i="72"/>
  <c r="C26" i="46"/>
  <c r="B2" s="1"/>
  <c r="C26" i="72"/>
  <c r="B2" s="1"/>
  <c r="J59" i="15"/>
  <c r="J60" s="1"/>
  <c r="Q49" s="1"/>
  <c r="C33"/>
  <c r="C31" s="1"/>
  <c r="Q51" i="44"/>
  <c r="C38"/>
  <c r="C15"/>
  <c r="C39" s="1"/>
  <c r="J21"/>
  <c r="J19" s="1"/>
  <c r="C13" i="15"/>
  <c r="J35" s="1"/>
  <c r="Q50"/>
  <c r="C35" i="44"/>
  <c r="C33" s="1"/>
  <c r="J16"/>
  <c r="J24" s="1"/>
  <c r="J19" i="15"/>
  <c r="J17" s="1"/>
  <c r="J14"/>
  <c r="J22" s="1"/>
  <c r="C56"/>
  <c r="C60" s="1"/>
  <c r="C58" s="1"/>
  <c r="C22" i="43"/>
  <c r="C21" s="1"/>
  <c r="C28" s="1"/>
  <c r="C30" s="1"/>
  <c r="C32" s="1"/>
  <c r="B2" s="1"/>
  <c r="B4" s="1"/>
  <c r="Q72" i="44"/>
  <c r="C23" i="12"/>
  <c r="AB9" i="39"/>
  <c r="T49" s="1"/>
  <c r="G49" s="1"/>
  <c r="U9"/>
  <c r="W9"/>
  <c r="AC9" i="40"/>
  <c r="V44" s="1"/>
  <c r="I44" s="1"/>
  <c r="W9"/>
  <c r="S9"/>
  <c r="AA9"/>
  <c r="R44" s="1"/>
  <c r="AB9"/>
  <c r="T44" s="1"/>
  <c r="G44" s="1"/>
  <c r="U9"/>
  <c r="D19" i="69"/>
  <c r="D19" i="9"/>
  <c r="Q71" i="78" l="1"/>
  <c r="J22"/>
  <c r="J16" s="1"/>
  <c r="J25" s="1"/>
  <c r="C37"/>
  <c r="C30" s="1"/>
  <c r="C39" s="1"/>
  <c r="J35"/>
  <c r="C70"/>
  <c r="L44" i="69"/>
  <c r="L44" i="9"/>
  <c r="S9" i="39"/>
  <c r="B4" i="46"/>
  <c r="B3"/>
  <c r="D4"/>
  <c r="D4" i="72"/>
  <c r="B3"/>
  <c r="B4"/>
  <c r="B5" i="43"/>
  <c r="J15" i="44"/>
  <c r="J25" s="1"/>
  <c r="J18" s="1"/>
  <c r="J27" s="1"/>
  <c r="C63" i="15"/>
  <c r="C37"/>
  <c r="C30" s="1"/>
  <c r="C39" s="1"/>
  <c r="Q70" s="1"/>
  <c r="Q71"/>
  <c r="C43" i="44"/>
  <c r="C32"/>
  <c r="C42" s="1"/>
  <c r="Q71" s="1"/>
  <c r="Q70" s="1"/>
  <c r="C55" i="15"/>
  <c r="C64" s="1"/>
  <c r="J13"/>
  <c r="J23" s="1"/>
  <c r="J16" s="1"/>
  <c r="J25" s="1"/>
  <c r="B3" i="43"/>
  <c r="G48" i="40"/>
  <c r="H48" s="1"/>
  <c r="G49"/>
  <c r="H49" s="1"/>
  <c r="I48"/>
  <c r="J48" s="1"/>
  <c r="I53" i="39"/>
  <c r="J53" s="1"/>
  <c r="G53"/>
  <c r="H53" s="1"/>
  <c r="G54"/>
  <c r="H54" s="1"/>
  <c r="E49"/>
  <c r="I54" s="1"/>
  <c r="J54" s="1"/>
  <c r="R50"/>
  <c r="E44" i="40"/>
  <c r="I49" s="1"/>
  <c r="J49" s="1"/>
  <c r="R45"/>
  <c r="D20" i="9"/>
  <c r="D21" i="69"/>
  <c r="D20"/>
  <c r="D21" i="9"/>
  <c r="L51" i="78"/>
  <c r="C40" l="1"/>
  <c r="C46" s="1"/>
  <c r="Q70"/>
  <c r="Q69" s="1"/>
  <c r="J39"/>
  <c r="J40" s="1"/>
  <c r="Q68"/>
  <c r="Q66"/>
  <c r="Q76" s="1"/>
  <c r="C4" i="77"/>
  <c r="C2"/>
  <c r="C57" i="15"/>
  <c r="C66" s="1"/>
  <c r="C67" s="1"/>
  <c r="C70" s="1"/>
  <c r="Q69"/>
  <c r="C40"/>
  <c r="C43" s="1"/>
  <c r="J39"/>
  <c r="J40" s="1"/>
  <c r="C44" i="44"/>
  <c r="C45" s="1"/>
  <c r="B2" s="1"/>
  <c r="B3" s="1"/>
  <c r="E48" i="40"/>
  <c r="F48" s="1"/>
  <c r="E49"/>
  <c r="F49" s="1"/>
  <c r="E54" i="39"/>
  <c r="F54" s="1"/>
  <c r="E53"/>
  <c r="F53" s="1"/>
  <c r="C44" i="40"/>
  <c r="C45"/>
  <c r="C50" i="39"/>
  <c r="C49"/>
  <c r="L51" i="15"/>
  <c r="M30" i="12" l="1"/>
  <c r="C8"/>
  <c r="B2" i="78"/>
  <c r="Q48"/>
  <c r="Q54" s="1"/>
  <c r="J42"/>
  <c r="J43" s="1"/>
  <c r="C43"/>
  <c r="Q57"/>
  <c r="Q63" s="1"/>
  <c r="Q68" i="15"/>
  <c r="L57"/>
  <c r="L60" s="1"/>
  <c r="J42"/>
  <c r="J43" s="1"/>
  <c r="Q48"/>
  <c r="Q54" s="1"/>
  <c r="C46"/>
  <c r="Q66"/>
  <c r="Q57"/>
  <c r="B5" i="44"/>
  <c r="B4"/>
  <c r="B55" i="40"/>
  <c r="F55" s="1"/>
  <c r="B60"/>
  <c r="F60" s="1"/>
  <c r="F63"/>
  <c r="B2" s="1"/>
  <c r="B61"/>
  <c r="F61" s="1"/>
  <c r="B54"/>
  <c r="F54" s="1"/>
  <c r="B53"/>
  <c r="F53" s="1"/>
  <c r="B56"/>
  <c r="F56" s="1"/>
  <c r="B58"/>
  <c r="F58" s="1"/>
  <c r="B57"/>
  <c r="F57" s="1"/>
  <c r="B59"/>
  <c r="F59" s="1"/>
  <c r="B62"/>
  <c r="F62" s="1"/>
  <c r="B66" i="39"/>
  <c r="F66" s="1"/>
  <c r="B61"/>
  <c r="F61" s="1"/>
  <c r="B59"/>
  <c r="F59" s="1"/>
  <c r="B63"/>
  <c r="F63" s="1"/>
  <c r="B60"/>
  <c r="F60" s="1"/>
  <c r="F68"/>
  <c r="B2" s="1"/>
  <c r="B64"/>
  <c r="F64" s="1"/>
  <c r="B65"/>
  <c r="F65" s="1"/>
  <c r="B58"/>
  <c r="F58" s="1"/>
  <c r="B62"/>
  <c r="F62" s="1"/>
  <c r="B67"/>
  <c r="F67" s="1"/>
  <c r="B3" i="78" l="1"/>
  <c r="C10" i="75"/>
  <c r="C8"/>
  <c r="Q67" i="15"/>
  <c r="Q76" s="1"/>
  <c r="L46"/>
  <c r="B2" s="1"/>
  <c r="Q58"/>
  <c r="Q63" s="1"/>
  <c r="B3" i="39"/>
  <c r="B4"/>
  <c r="B5"/>
  <c r="B3" i="40"/>
  <c r="B4"/>
  <c r="B5"/>
  <c r="C6" i="75" l="1"/>
  <c r="C24" s="1"/>
  <c r="B3" i="15"/>
  <c r="C10" i="12"/>
  <c r="C6" s="1"/>
  <c r="C24" s="1"/>
  <c r="C35" s="1"/>
  <c r="C33" s="1"/>
  <c r="C29" i="75" l="1"/>
  <c r="C28" i="12"/>
  <c r="C26" s="1"/>
  <c r="C29"/>
  <c r="C28" i="75"/>
  <c r="C26" s="1"/>
  <c r="C35"/>
  <c r="C33" s="1"/>
  <c r="C31" l="1"/>
  <c r="C30" s="1"/>
  <c r="C36" s="1"/>
  <c r="B2" s="1"/>
  <c r="C31" i="12"/>
  <c r="C30" s="1"/>
  <c r="C36" s="1"/>
  <c r="B2" s="1"/>
  <c r="B3" i="75"/>
  <c r="C19" i="69"/>
  <c r="C19" i="9"/>
  <c r="B4" i="75"/>
  <c r="B5" i="12"/>
  <c r="L43" i="69" l="1"/>
  <c r="D22"/>
  <c r="G19"/>
  <c r="G22" s="1"/>
  <c r="G19" i="9"/>
  <c r="L43"/>
  <c r="D22"/>
  <c r="B4" i="12"/>
  <c r="C21" i="69"/>
  <c r="B5" i="75"/>
  <c r="B3" i="12"/>
  <c r="C20" i="9"/>
  <c r="C21"/>
  <c r="C32" i="69" l="1"/>
  <c r="C42" s="1"/>
  <c r="N68" s="1"/>
  <c r="G21"/>
  <c r="C34"/>
  <c r="M38" s="1"/>
  <c r="K27" s="1"/>
  <c r="N43"/>
  <c r="G21" i="9"/>
  <c r="C5" i="77"/>
  <c r="E4" s="1"/>
  <c r="F4" s="1"/>
  <c r="I13" s="1"/>
  <c r="N13" s="1"/>
  <c r="G20" i="9"/>
  <c r="G22"/>
  <c r="N43"/>
  <c r="C32"/>
  <c r="C20" i="69"/>
  <c r="G20" l="1"/>
  <c r="C3" i="77"/>
  <c r="E2" s="1"/>
  <c r="E42" i="69"/>
  <c r="O43"/>
  <c r="C35"/>
  <c r="F42" s="1"/>
  <c r="C33"/>
  <c r="N38" s="1"/>
  <c r="K28" s="1"/>
  <c r="O38"/>
  <c r="D63"/>
  <c r="C90" s="1"/>
  <c r="C13" i="77"/>
  <c r="E13" s="1"/>
  <c r="C35" i="9"/>
  <c r="F42" s="1"/>
  <c r="O43"/>
  <c r="C34"/>
  <c r="O38"/>
  <c r="C33"/>
  <c r="C42"/>
  <c r="O13" i="77"/>
  <c r="R13"/>
  <c r="D71" i="69"/>
  <c r="D66" s="1"/>
  <c r="N72" s="1"/>
  <c r="C12" i="77" l="1"/>
  <c r="F2"/>
  <c r="I12" s="1"/>
  <c r="D42" i="69"/>
  <c r="K26"/>
  <c r="K25"/>
  <c r="C96"/>
  <c r="C91" s="1"/>
  <c r="C97" s="1"/>
  <c r="D77"/>
  <c r="N75" s="1"/>
  <c r="D70"/>
  <c r="C103"/>
  <c r="C111"/>
  <c r="C104" s="1"/>
  <c r="C82"/>
  <c r="C81" s="1"/>
  <c r="C85" s="1"/>
  <c r="C86" s="1"/>
  <c r="D72" s="1"/>
  <c r="D13" i="77"/>
  <c r="J13"/>
  <c r="H14"/>
  <c r="N38" i="9"/>
  <c r="K28" s="1"/>
  <c r="D42"/>
  <c r="Q5" i="54" s="1"/>
  <c r="B47" i="63" s="1"/>
  <c r="M38" i="9"/>
  <c r="K27" s="1"/>
  <c r="E42"/>
  <c r="P5" i="54" s="1"/>
  <c r="B46" i="63" s="1"/>
  <c r="N68" i="9"/>
  <c r="D63"/>
  <c r="D14" i="66"/>
  <c r="R5" i="54"/>
  <c r="B48" i="63" s="1"/>
  <c r="K25" i="9"/>
  <c r="K26"/>
  <c r="D12" i="77" l="1"/>
  <c r="E12"/>
  <c r="D14"/>
  <c r="J12"/>
  <c r="J14" s="1"/>
  <c r="N12"/>
  <c r="C113" i="69"/>
  <c r="C114" s="1"/>
  <c r="E114" s="1"/>
  <c r="E115" s="1"/>
  <c r="B5" i="66"/>
  <c r="E14"/>
  <c r="F14"/>
  <c r="C90" i="9"/>
  <c r="C82"/>
  <c r="C81" s="1"/>
  <c r="C85" s="1"/>
  <c r="C86" s="1"/>
  <c r="D72" s="1"/>
  <c r="D70"/>
  <c r="C103"/>
  <c r="C96"/>
  <c r="C91" s="1"/>
  <c r="D77"/>
  <c r="N75" s="1"/>
  <c r="C111"/>
  <c r="C104" s="1"/>
  <c r="D71"/>
  <c r="D66" s="1"/>
  <c r="N72" s="1"/>
  <c r="C115" i="69"/>
  <c r="D76" s="1"/>
  <c r="D74" s="1"/>
  <c r="N74" s="1"/>
  <c r="O77" s="1"/>
  <c r="O79" s="1"/>
  <c r="C98"/>
  <c r="E98" s="1"/>
  <c r="E99" s="1"/>
  <c r="C97" i="9" l="1"/>
  <c r="R12" i="77"/>
  <c r="R14" s="1"/>
  <c r="O12"/>
  <c r="C113" i="9"/>
  <c r="C114" s="1"/>
  <c r="E114" s="1"/>
  <c r="E115" s="1"/>
  <c r="C5" i="66"/>
  <c r="D5"/>
  <c r="C98" i="9"/>
  <c r="E98" s="1"/>
  <c r="E99" s="1"/>
  <c r="C99" i="69"/>
  <c r="O78"/>
  <c r="Q77"/>
  <c r="O80"/>
  <c r="O81"/>
  <c r="C99" i="9" l="1"/>
  <c r="C115"/>
  <c r="D76" s="1"/>
  <c r="D74" s="1"/>
  <c r="N74" s="1"/>
  <c r="O77" s="1"/>
  <c r="O79" l="1"/>
  <c r="Q77"/>
  <c r="O78"/>
  <c r="O80" l="1"/>
  <c r="O8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M7" authorId="0">
      <text>
        <r>
          <rPr>
            <b/>
            <sz val="9"/>
            <color indexed="81"/>
            <rFont val="Tahoma"/>
            <family val="2"/>
          </rPr>
          <t>USER:</t>
        </r>
        <r>
          <rPr>
            <b/>
            <sz val="9"/>
            <color indexed="81"/>
            <rFont val="宋体"/>
            <family val="3"/>
            <charset val="134"/>
          </rPr>
          <t>酒店</t>
        </r>
      </text>
    </comment>
    <comment ref="N8" authorId="0">
      <text>
        <r>
          <rPr>
            <b/>
            <sz val="9"/>
            <color indexed="81"/>
            <rFont val="Tahoma"/>
            <family val="2"/>
          </rPr>
          <t>USER:</t>
        </r>
        <r>
          <rPr>
            <sz val="9"/>
            <color indexed="81"/>
            <rFont val="Tahoma"/>
            <family val="2"/>
          </rPr>
          <t xml:space="preserve">
</t>
        </r>
        <r>
          <rPr>
            <sz val="9"/>
            <color indexed="81"/>
            <rFont val="宋体"/>
            <family val="3"/>
            <charset val="134"/>
          </rPr>
          <t>车库入口</t>
        </r>
      </text>
    </comment>
    <comment ref="E9" authorId="0">
      <text>
        <r>
          <rPr>
            <b/>
            <sz val="9"/>
            <color indexed="81"/>
            <rFont val="Tahoma"/>
            <family val="2"/>
          </rPr>
          <t>USER:</t>
        </r>
        <r>
          <rPr>
            <sz val="9"/>
            <color indexed="81"/>
            <rFont val="Tahoma"/>
            <family val="2"/>
          </rPr>
          <t xml:space="preserve">
</t>
        </r>
        <r>
          <rPr>
            <sz val="9"/>
            <color indexed="81"/>
            <rFont val="宋体"/>
            <family val="3"/>
            <charset val="134"/>
          </rPr>
          <t>连廊</t>
        </r>
      </text>
    </comment>
    <comment ref="G11" authorId="0">
      <text>
        <r>
          <rPr>
            <b/>
            <sz val="9"/>
            <color indexed="81"/>
            <rFont val="Tahoma"/>
            <family val="2"/>
          </rPr>
          <t>USER:</t>
        </r>
        <r>
          <rPr>
            <sz val="9"/>
            <color indexed="81"/>
            <rFont val="Tahoma"/>
            <family val="2"/>
          </rPr>
          <t xml:space="preserve">
</t>
        </r>
        <r>
          <rPr>
            <sz val="9"/>
            <color indexed="81"/>
            <rFont val="宋体"/>
            <family val="3"/>
            <charset val="134"/>
          </rPr>
          <t>车库入口</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<sst xmlns="http://schemas.openxmlformats.org/spreadsheetml/2006/main" count="8247" uniqueCount="3151">
  <si>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</si>
  <si>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</si>
  <si>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</si>
  <si>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</si>
  <si>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</si>
  <si>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</si>
  <si>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</si>
  <si>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</si>
  <si>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</si>
  <si>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</si>
  <si>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</si>
  <si>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</si>
  <si>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</si>
  <si>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</si>
  <si>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</si>
  <si>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</si>
  <si>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</si>
  <si>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</si>
  <si>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</si>
  <si>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</si>
  <si>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</si>
  <si>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</si>
  <si>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</si>
  <si>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</si>
  <si>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</si>
  <si>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</si>
  <si>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</si>
  <si>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</si>
  <si>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</si>
  <si>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</si>
  <si>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</si>
  <si>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</si>
  <si>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</si>
  <si>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</si>
  <si>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</si>
  <si>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</si>
  <si>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</si>
  <si>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</si>
  <si>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</si>
  <si>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</si>
  <si>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</si>
  <si>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</si>
  <si>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</si>
  <si>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</si>
  <si>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</si>
  <si>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</si>
  <si>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</si>
  <si>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</si>
  <si>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</si>
  <si>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</si>
  <si>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</si>
  <si>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</si>
  <si>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</si>
  <si>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</si>
  <si>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</si>
  <si>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</si>
  <si>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</si>
  <si>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</si>
  <si>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</si>
  <si>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</si>
  <si>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</si>
  <si>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</si>
  <si>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</si>
  <si>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</si>
  <si>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</si>
  <si>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</si>
  <si>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</si>
  <si>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</si>
  <si>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</si>
  <si>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</si>
  <si>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</si>
  <si>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</si>
  <si>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</si>
  <si>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</si>
  <si>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</si>
  <si>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</si>
  <si>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</si>
  <si>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</si>
  <si>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</si>
  <si>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</si>
  <si>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</si>
  <si>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</si>
  <si>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</si>
  <si>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</si>
  <si>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</si>
  <si>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</si>
  <si>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</si>
  <si>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</si>
  <si>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</si>
  <si>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</si>
  <si>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</si>
  <si>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</si>
  <si>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</si>
  <si>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</si>
  <si>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</si>
  <si>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</si>
  <si>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</si>
  <si>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</si>
  <si>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</si>
  <si>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</si>
  <si>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</si>
  <si>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</si>
  <si>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</si>
  <si>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</si>
  <si>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</si>
  <si>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</si>
  <si>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</si>
  <si>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</si>
  <si>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</si>
  <si>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</si>
  <si>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</si>
  <si>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</si>
  <si>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</si>
  <si>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</si>
  <si>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</si>
  <si>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</si>
  <si>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</si>
  <si>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</si>
  <si>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</si>
  <si>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</si>
  <si>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</si>
  <si>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</si>
  <si>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</si>
  <si>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</si>
  <si>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</si>
  <si>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</si>
  <si>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</si>
  <si>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</si>
  <si>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</si>
  <si>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</si>
  <si>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</si>
  <si>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</si>
  <si>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</si>
  <si>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</si>
  <si>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</si>
  <si>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</si>
  <si>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</si>
  <si>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</si>
  <si>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</si>
  <si>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</si>
  <si>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</si>
  <si>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</si>
  <si>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</si>
  <si>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</si>
  <si>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</si>
  <si>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</si>
  <si>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</si>
  <si>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</si>
  <si>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</si>
  <si>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</si>
  <si>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</si>
  <si>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</si>
  <si>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</si>
  <si>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</si>
  <si>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</si>
  <si>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</si>
  <si>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</si>
  <si>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</si>
  <si>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</si>
  <si>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</si>
  <si>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</si>
  <si>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</si>
  <si>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</si>
  <si>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</si>
  <si>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</si>
  <si>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</si>
  <si>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</si>
  <si>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</si>
  <si>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</si>
  <si>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</si>
  <si>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</si>
  <si>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</si>
  <si>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</si>
  <si>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</si>
  <si>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</si>
  <si>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</si>
  <si>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</si>
  <si>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</si>
  <si>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</si>
  <si>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</si>
  <si>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</si>
  <si>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</si>
  <si>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</si>
  <si>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</si>
  <si>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</si>
  <si>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</si>
  <si>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</si>
  <si>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</si>
  <si>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</si>
  <si>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</si>
  <si>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</si>
  <si>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</si>
  <si>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</si>
  <si>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</si>
  <si>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</si>
  <si>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</si>
  <si>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</si>
  <si>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</si>
  <si>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</si>
  <si>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</si>
  <si>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</si>
  <si>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</si>
  <si>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</si>
  <si>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</si>
  <si>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</si>
  <si>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</si>
  <si>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</si>
  <si>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</si>
  <si>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</si>
  <si>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</si>
  <si>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</si>
  <si>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</si>
  <si>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</si>
  <si>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</si>
  <si>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</si>
  <si>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</si>
  <si>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</si>
  <si>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</si>
  <si>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</si>
  <si>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</si>
  <si>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</si>
  <si>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</si>
  <si>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</si>
  <si>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</si>
  <si>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</si>
  <si>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</si>
  <si>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</si>
  <si>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</si>
  <si>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</si>
  <si>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</si>
  <si>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</si>
  <si>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</si>
  <si>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</si>
  <si>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</si>
  <si>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</si>
  <si>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</si>
  <si>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</si>
  <si>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</si>
  <si>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</si>
  <si>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</si>
  <si>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</si>
  <si>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</si>
  <si>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</si>
  <si>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</si>
  <si>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</si>
  <si>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</si>
  <si>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</si>
  <si>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</si>
  <si>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</si>
  <si>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</si>
  <si>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</si>
  <si>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</si>
  <si>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</si>
  <si>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</si>
  <si>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</si>
  <si>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</si>
  <si>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</si>
  <si>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</si>
  <si>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</si>
  <si>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</si>
  <si>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</si>
  <si>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</si>
  <si>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</si>
  <si>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</si>
  <si>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</si>
  <si>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</si>
  <si>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</si>
  <si>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</si>
  <si>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</si>
  <si>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</si>
  <si>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</si>
  <si>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</si>
  <si>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</si>
  <si>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</si>
  <si>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</si>
  <si>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</si>
  <si>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</si>
  <si>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</si>
  <si>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</si>
  <si>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</si>
  <si>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</si>
  <si>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</si>
  <si>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</si>
  <si>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</si>
  <si>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</si>
  <si>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</si>
  <si>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</si>
  <si>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</si>
  <si>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</si>
  <si>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</si>
  <si>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</si>
  <si>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</si>
  <si>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</si>
  <si>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</si>
  <si>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</si>
  <si>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</si>
  <si>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</si>
  <si>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</si>
  <si>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</si>
  <si>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</si>
  <si>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</si>
  <si>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</si>
  <si>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</si>
  <si>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</si>
  <si>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</si>
  <si>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</si>
  <si>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</si>
  <si>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</si>
  <si>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</si>
  <si>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</si>
  <si>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</si>
  <si>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</si>
  <si>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</si>
  <si>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</si>
  <si>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</si>
  <si>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</si>
  <si>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</si>
  <si>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</si>
  <si>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</si>
  <si>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</si>
  <si>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</si>
  <si>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</si>
  <si>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</si>
  <si>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</si>
  <si>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</si>
  <si>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</si>
  <si>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</si>
  <si>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</si>
  <si>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</si>
  <si>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</si>
  <si>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</si>
  <si>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</si>
  <si>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</si>
  <si>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</si>
  <si>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</si>
  <si>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</si>
  <si>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</si>
  <si>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</si>
  <si>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</si>
  <si>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</si>
  <si>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</si>
  <si>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</si>
  <si>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</si>
  <si>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</si>
  <si>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</si>
  <si>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</si>
  <si>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</si>
  <si>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</si>
  <si>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</si>
  <si>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</si>
  <si>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</si>
  <si>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</si>
  <si>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</si>
  <si>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</si>
  <si>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</si>
  <si>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</si>
  <si>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</si>
  <si>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</si>
  <si>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</si>
  <si>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</si>
  <si>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</si>
  <si>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</si>
  <si>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</si>
  <si>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</si>
  <si>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</si>
  <si>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</si>
  <si>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</si>
  <si>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</si>
  <si>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</si>
  <si>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</si>
  <si>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</si>
  <si>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</si>
  <si>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</si>
  <si>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</si>
  <si>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</si>
  <si>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</si>
  <si>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</si>
  <si>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</si>
  <si>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</si>
  <si>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</si>
  <si>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</si>
  <si>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</si>
  <si>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</si>
  <si>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</si>
  <si>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</si>
  <si>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</si>
  <si>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</si>
  <si>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</si>
  <si>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</si>
  <si>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</si>
  <si>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</si>
  <si>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</si>
  <si>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</si>
  <si>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</si>
  <si>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</si>
  <si>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</si>
  <si>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</si>
  <si>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</si>
  <si>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</si>
  <si>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</si>
  <si>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</si>
  <si>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</si>
  <si>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</si>
  <si>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</si>
  <si>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</si>
  <si>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</si>
  <si>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</si>
  <si>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</si>
  <si>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</si>
  <si>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</si>
  <si>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</si>
  <si>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</si>
  <si>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</si>
  <si>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</si>
  <si>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</si>
  <si>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</si>
  <si>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</si>
  <si>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</si>
  <si>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</si>
  <si>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</si>
  <si>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</si>
  <si>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</si>
  <si>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</si>
  <si>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</si>
  <si>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</si>
  <si>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</si>
  <si>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</si>
  <si>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</si>
  <si>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</si>
  <si>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</si>
  <si>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</si>
  <si>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</si>
  <si>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</si>
  <si>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</si>
  <si>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</si>
  <si>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</si>
  <si>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</si>
  <si>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</si>
  <si>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</si>
  <si>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</si>
  <si>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</si>
  <si>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</si>
  <si>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</si>
  <si>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</si>
  <si>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</si>
  <si>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</si>
  <si>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</si>
  <si>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</si>
  <si>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</si>
  <si>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</si>
  <si>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</si>
  <si>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</si>
  <si>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</si>
  <si>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</si>
  <si>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</si>
  <si>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</si>
  <si>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</si>
  <si>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</si>
  <si>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</si>
  <si>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</si>
  <si>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</si>
  <si>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</si>
  <si>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</si>
  <si>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</si>
  <si>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</si>
  <si>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</si>
  <si>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</si>
  <si>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</si>
  <si>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</si>
  <si>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</si>
  <si>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</si>
  <si>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</si>
  <si>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</si>
  <si>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</si>
  <si>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</si>
  <si>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</si>
  <si>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</si>
  <si>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</si>
  <si>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</si>
  <si>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</si>
  <si>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</si>
  <si>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</si>
  <si>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</si>
  <si>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</si>
  <si>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</si>
  <si>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</si>
  <si>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</si>
  <si>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</si>
  <si>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</si>
  <si>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</si>
  <si>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</si>
  <si>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</si>
  <si>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</si>
  <si>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</si>
  <si>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</si>
  <si>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</si>
  <si>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</si>
  <si>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</si>
  <si>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</si>
  <si>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</si>
  <si>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</si>
  <si>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</si>
  <si>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</si>
  <si>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</si>
  <si>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</si>
  <si>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</si>
  <si>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</si>
  <si>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</si>
  <si>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</si>
  <si>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</si>
  <si>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</si>
  <si>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</si>
  <si>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</si>
  <si>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</si>
  <si>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</si>
  <si>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</si>
  <si>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</si>
  <si>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</si>
  <si>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</si>
  <si>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</si>
  <si>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</si>
  <si>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</si>
  <si>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</si>
  <si>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</si>
  <si>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</si>
  <si>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</si>
  <si>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</si>
  <si>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</si>
  <si>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</si>
  <si>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</si>
  <si>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</si>
  <si>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</si>
  <si>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</si>
  <si>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</si>
  <si>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</si>
  <si>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</si>
  <si>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</si>
  <si>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</si>
  <si>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</si>
  <si>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</si>
  <si>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</si>
  <si>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</si>
  <si>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</si>
  <si>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</si>
  <si>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</si>
  <si>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</si>
  <si>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</si>
  <si>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</si>
  <si>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</si>
  <si>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</si>
  <si>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</si>
  <si>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</si>
  <si>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</si>
  <si>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</si>
  <si>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</si>
  <si>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</si>
  <si>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</si>
  <si>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</si>
  <si>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</si>
  <si>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</si>
  <si>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</si>
  <si>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</si>
  <si>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</si>
  <si>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</si>
  <si>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</si>
  <si>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</si>
  <si>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</si>
  <si>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</si>
  <si>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</si>
  <si>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</si>
  <si>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</si>
  <si>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</si>
  <si>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</si>
  <si>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</si>
  <si>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</si>
  <si>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</si>
  <si>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</si>
  <si>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</si>
  <si>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</si>
  <si>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</si>
  <si>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</si>
  <si>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</si>
  <si>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</si>
  <si>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</si>
  <si>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</si>
  <si>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</si>
  <si>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</si>
  <si>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</si>
  <si>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</si>
  <si>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</si>
  <si>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</si>
  <si>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</si>
  <si>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</si>
  <si>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</si>
  <si>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</si>
  <si>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</si>
  <si>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</si>
  <si>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</si>
  <si>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</si>
  <si>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</si>
  <si>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</si>
  <si>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</si>
  <si>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</si>
  <si>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</si>
  <si>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</si>
  <si>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</si>
  <si>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</si>
  <si>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</si>
  <si>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</si>
  <si>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</si>
  <si>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</si>
  <si>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</si>
  <si>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</si>
  <si>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</si>
  <si>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</si>
  <si>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</si>
  <si>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</si>
  <si>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</si>
  <si>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</si>
  <si>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</si>
  <si>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</si>
  <si>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</si>
  <si>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</si>
  <si>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</si>
  <si>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</si>
  <si>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</si>
  <si>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</si>
  <si>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</si>
  <si>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</si>
  <si>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</si>
  <si>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</si>
  <si>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</si>
  <si>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</si>
  <si>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</si>
  <si>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</si>
  <si>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</si>
  <si>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</si>
  <si>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</si>
  <si>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</si>
  <si>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</si>
  <si>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</si>
  <si>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</si>
  <si>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</si>
  <si>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</si>
  <si>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</si>
  <si>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</si>
  <si>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</si>
  <si>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</si>
  <si>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</si>
  <si>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</si>
  <si>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</si>
  <si>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</si>
  <si>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</si>
  <si>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</si>
  <si>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</si>
  <si>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</si>
  <si>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</si>
  <si>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</si>
  <si>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</si>
  <si>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</si>
  <si>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</si>
  <si>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</si>
  <si>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</si>
  <si>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</si>
  <si>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</si>
  <si>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</si>
  <si>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</si>
  <si>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</si>
  <si>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</si>
  <si>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</si>
  <si>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</si>
  <si>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</si>
  <si>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</si>
  <si>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</si>
  <si>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</si>
  <si>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</si>
  <si>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</si>
  <si>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</si>
  <si>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</si>
  <si>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</si>
  <si>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</si>
  <si>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</si>
  <si>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</si>
  <si>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</si>
  <si>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</si>
  <si>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</si>
  <si>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</si>
  <si>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</si>
  <si>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</si>
  <si>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</si>
  <si>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</si>
  <si>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</si>
  <si>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</si>
  <si>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</si>
  <si>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</si>
  <si>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</si>
  <si>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</si>
  <si>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</si>
  <si>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</si>
  <si>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</si>
  <si>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</si>
  <si>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</si>
  <si>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</si>
  <si>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</si>
  <si>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</si>
  <si>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</si>
  <si>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</si>
  <si>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</si>
  <si>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</si>
  <si>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</si>
  <si>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</si>
  <si>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</si>
  <si>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</si>
  <si>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</si>
  <si>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</si>
  <si>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</si>
  <si>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</si>
  <si>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</si>
  <si>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</si>
  <si>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</si>
  <si>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</si>
  <si>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</si>
  <si>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</si>
  <si>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</si>
  <si>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</si>
  <si>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</si>
  <si>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</si>
  <si>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</si>
  <si>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</si>
  <si>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</si>
  <si>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</si>
  <si>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</si>
  <si>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</si>
  <si>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</si>
  <si>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</si>
  <si>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</si>
  <si>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</si>
  <si>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</si>
  <si>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</si>
  <si>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</si>
  <si>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</si>
  <si>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</si>
  <si>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</si>
  <si>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</si>
  <si>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</si>
  <si>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</si>
  <si>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</si>
  <si>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</si>
  <si>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</si>
  <si>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</si>
  <si>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</si>
  <si>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</si>
  <si>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</si>
  <si>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</si>
  <si>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</si>
  <si>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</si>
  <si>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</si>
  <si>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</si>
  <si>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</si>
  <si>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</si>
  <si>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</si>
  <si>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</si>
  <si>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</si>
  <si>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</si>
  <si>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</si>
  <si>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</si>
  <si>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</si>
  <si>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</si>
  <si>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</si>
  <si>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</si>
  <si>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</si>
  <si>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</si>
  <si>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</si>
  <si>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</si>
  <si>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</si>
  <si>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</si>
  <si>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</si>
  <si>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</si>
  <si>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</si>
  <si>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</si>
  <si>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</si>
  <si>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</si>
  <si>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</si>
  <si>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</si>
  <si>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</si>
  <si>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</si>
  <si>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</si>
  <si>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</si>
  <si>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</si>
  <si>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</si>
  <si>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</si>
  <si>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</si>
  <si>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</si>
  <si>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</si>
  <si>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</si>
  <si>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</si>
  <si>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</si>
  <si>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</si>
  <si>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</si>
  <si>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</si>
  <si>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</si>
  <si>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</si>
  <si>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</si>
  <si>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</si>
  <si>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</si>
  <si>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</si>
  <si>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</si>
  <si>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</si>
  <si>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</si>
  <si>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</si>
  <si>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</si>
  <si>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</si>
  <si>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</si>
  <si>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</si>
  <si>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</si>
  <si>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</si>
  <si>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</si>
  <si>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</si>
  <si>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</si>
  <si>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</si>
  <si>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</si>
  <si>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</si>
  <si>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</si>
  <si>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</si>
  <si>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</si>
  <si>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</si>
  <si>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</si>
  <si>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</si>
  <si>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</si>
  <si>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</si>
  <si>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</si>
  <si>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</si>
  <si>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</si>
  <si>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</si>
  <si>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</si>
  <si>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</si>
  <si>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</si>
  <si>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</si>
  <si>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</si>
  <si>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</si>
  <si>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</si>
  <si>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</si>
  <si>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</si>
  <si>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</si>
  <si>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</si>
  <si>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</si>
  <si>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</si>
  <si>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</si>
  <si>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</si>
  <si>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</si>
  <si>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</si>
  <si>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</si>
  <si>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</si>
  <si>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</si>
  <si>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</si>
  <si>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</si>
  <si>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</si>
  <si>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</si>
  <si>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</si>
  <si>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</si>
  <si>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</si>
  <si>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</si>
  <si>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</si>
  <si>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</si>
  <si>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</si>
  <si>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</si>
  <si>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</si>
  <si>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</si>
  <si>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</si>
  <si>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</si>
  <si>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</si>
  <si>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</si>
  <si>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</si>
  <si>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</si>
  <si>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</si>
  <si>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</si>
  <si>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</si>
  <si>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</si>
  <si>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</si>
  <si>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</si>
  <si>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</si>
  <si>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</si>
  <si>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</si>
  <si>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</si>
  <si>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</si>
  <si>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</si>
  <si>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</si>
  <si>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</si>
  <si>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</si>
  <si>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</si>
  <si>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</si>
  <si>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</si>
  <si>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</si>
  <si>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</si>
  <si>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</si>
  <si>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</si>
  <si>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</si>
  <si>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</si>
  <si>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</si>
  <si>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</si>
  <si>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</si>
  <si>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</si>
  <si>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</si>
  <si>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</si>
  <si>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</si>
  <si>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</si>
  <si>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</si>
  <si>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</si>
  <si>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</si>
  <si>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</si>
  <si>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</si>
  <si>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</si>
  <si>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</si>
  <si>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</si>
  <si>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</si>
  <si>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</si>
  <si>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</si>
  <si>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</si>
  <si>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</si>
  <si>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</si>
  <si>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</si>
  <si>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</si>
  <si>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</si>
  <si>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</si>
  <si>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</si>
  <si>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</si>
  <si>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</si>
  <si>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</si>
  <si>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</si>
  <si>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</si>
  <si>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</si>
  <si>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</si>
  <si>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</si>
  <si>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</si>
  <si>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</si>
  <si>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</si>
  <si>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</si>
  <si>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</si>
  <si>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</si>
  <si>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</si>
  <si>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</si>
  <si>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</si>
  <si>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</si>
  <si>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</si>
  <si>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</si>
  <si>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</si>
  <si>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</si>
  <si>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</si>
  <si>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</si>
  <si>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</si>
  <si>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</si>
  <si>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</si>
  <si>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</si>
  <si>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</si>
  <si>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</si>
  <si>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</si>
  <si>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</si>
  <si>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</si>
  <si>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</si>
  <si>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</si>
  <si>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</si>
  <si>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</si>
  <si>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</si>
  <si>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</si>
  <si>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</si>
  <si>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</si>
  <si>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</si>
  <si>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</si>
  <si>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</si>
  <si>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</si>
  <si>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</si>
  <si>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</si>
  <si>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</si>
  <si>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</si>
  <si>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</si>
  <si>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</si>
  <si>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</si>
  <si>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</si>
  <si>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</si>
  <si>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</si>
  <si>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</si>
  <si>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</si>
  <si>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</si>
  <si>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</si>
  <si>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</si>
  <si>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</si>
  <si>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</si>
  <si>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</si>
  <si>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</si>
  <si>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</si>
  <si>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</si>
  <si>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</si>
  <si>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</si>
  <si>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</si>
  <si>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</si>
  <si>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</si>
  <si>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</si>
  <si>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</si>
  <si>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</si>
  <si>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</si>
  <si>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</si>
  <si>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</si>
  <si>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</si>
  <si>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</si>
  <si>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</si>
  <si>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</si>
  <si>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</si>
  <si>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</si>
  <si>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</si>
  <si>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</si>
  <si>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</si>
  <si>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</si>
  <si>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</si>
  <si>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</si>
  <si>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</si>
  <si>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</si>
  <si>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</si>
  <si>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</si>
  <si>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</si>
  <si>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</si>
  <si>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</si>
  <si>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</si>
  <si>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</si>
  <si>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</si>
  <si>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</si>
  <si>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</si>
  <si>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</si>
  <si>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</si>
  <si>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</si>
  <si>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</si>
  <si>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</si>
  <si>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</si>
  <si>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</si>
  <si>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</si>
  <si>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</si>
  <si>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</si>
  <si>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</si>
  <si>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</si>
  <si>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</si>
  <si>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</si>
  <si>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</si>
  <si>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</si>
  <si>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</si>
  <si>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</si>
  <si>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</si>
  <si>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</si>
  <si>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</si>
  <si>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</si>
  <si>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</si>
  <si>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</si>
  <si>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</si>
  <si>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</si>
  <si>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</si>
  <si>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</si>
  <si>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</si>
  <si>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</si>
  <si>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</si>
  <si>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</si>
  <si>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</si>
  <si>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</si>
  <si>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</si>
  <si>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</si>
  <si>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</si>
  <si>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</si>
  <si>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</si>
  <si>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</si>
  <si>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</si>
  <si>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</si>
  <si>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</si>
  <si>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</si>
  <si>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</si>
  <si>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</si>
  <si>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</si>
  <si>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</si>
  <si>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</si>
  <si>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</si>
  <si>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</si>
  <si>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</si>
  <si>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</si>
  <si>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</si>
  <si>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</si>
  <si>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</si>
  <si>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</si>
  <si>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</si>
  <si>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</si>
  <si>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</si>
  <si>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</si>
  <si>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</si>
  <si>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</si>
  <si>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</si>
  <si>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</si>
  <si>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</si>
  <si>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</si>
  <si>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</si>
  <si>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</si>
  <si>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</si>
  <si>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</si>
  <si>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</si>
  <si>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</si>
  <si>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</si>
  <si>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</si>
  <si>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</si>
  <si>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</si>
  <si>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</si>
  <si>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</si>
  <si>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</si>
  <si>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</si>
  <si>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</si>
  <si>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</si>
  <si>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</si>
  <si>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</si>
  <si>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</si>
  <si>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</si>
  <si>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</si>
  <si>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</si>
  <si>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</si>
  <si>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</si>
  <si>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</si>
  <si>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</si>
  <si>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</si>
  <si>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</si>
  <si>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</si>
  <si>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</si>
  <si>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</si>
  <si>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</si>
  <si>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</si>
  <si>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</si>
  <si>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</si>
  <si>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</si>
  <si>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</si>
  <si>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</si>
  <si>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</si>
  <si>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</si>
  <si>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</si>
  <si>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</si>
  <si>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</si>
  <si>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</si>
  <si>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</si>
  <si>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</si>
  <si>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</si>
  <si>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</si>
  <si>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</si>
  <si>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</si>
  <si>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</si>
  <si>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</si>
  <si>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</si>
  <si>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</si>
  <si>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</si>
  <si>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</si>
  <si>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</si>
  <si>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</si>
  <si>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</si>
  <si>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</si>
  <si>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</si>
  <si>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</si>
  <si>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</si>
  <si>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</si>
  <si>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</si>
  <si>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</si>
  <si>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</si>
  <si>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</si>
  <si>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</si>
  <si>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</si>
  <si>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</si>
  <si>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</si>
  <si>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</si>
  <si>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</si>
  <si>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</si>
  <si>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</si>
  <si>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</si>
  <si>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</si>
  <si>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</si>
  <si>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</si>
  <si>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</si>
  <si>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</si>
  <si>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</si>
  <si>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</si>
  <si>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</si>
  <si>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</si>
  <si>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</si>
  <si>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</si>
  <si>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</si>
  <si>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</si>
  <si>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</si>
  <si>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</si>
  <si>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</si>
  <si>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</si>
  <si>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</si>
  <si>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</si>
  <si>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</si>
  <si>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</si>
  <si>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</si>
  <si>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</si>
  <si>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</si>
  <si>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</si>
  <si>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</si>
  <si>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</si>
  <si>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</si>
  <si>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</si>
  <si>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</si>
  <si>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</si>
  <si>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</si>
  <si>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</si>
  <si>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</si>
  <si>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</si>
  <si>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</si>
  <si>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</si>
  <si>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</si>
  <si>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</si>
  <si>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</si>
  <si>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</si>
  <si>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</si>
  <si>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</si>
  <si>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</si>
  <si>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</si>
  <si>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</si>
  <si>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</si>
  <si>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</si>
  <si>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</si>
  <si>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</si>
  <si>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</si>
  <si>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</si>
  <si>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</si>
  <si>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</si>
  <si>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</si>
  <si>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</si>
  <si>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</si>
  <si>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</si>
  <si>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</si>
  <si>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</si>
  <si>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</si>
  <si>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</si>
  <si>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</si>
  <si>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</si>
  <si>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</si>
  <si>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</si>
  <si>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</si>
  <si>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</si>
  <si>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</si>
  <si>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</si>
  <si>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</si>
  <si>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</si>
  <si>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</si>
  <si>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</si>
  <si>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</si>
  <si>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</si>
  <si>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</si>
  <si>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</si>
  <si>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</si>
  <si>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</si>
  <si>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</si>
  <si>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</si>
  <si>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</si>
  <si>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</si>
  <si>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</si>
  <si>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</si>
  <si>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</si>
  <si>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</si>
  <si>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</si>
  <si>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</si>
  <si>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</si>
  <si>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</si>
  <si>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</si>
  <si>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</si>
  <si>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</si>
  <si>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</si>
  <si>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</si>
  <si>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</si>
  <si>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</si>
  <si>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</si>
  <si>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</si>
  <si>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</si>
  <si>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</si>
  <si>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</si>
  <si>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</si>
  <si>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</si>
  <si>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</si>
  <si>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</si>
  <si>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</si>
  <si>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</si>
  <si>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</si>
  <si>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</si>
  <si>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</si>
  <si>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</si>
  <si>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</si>
  <si>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</si>
  <si>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</si>
  <si>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</si>
  <si>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</si>
  <si>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</si>
  <si>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</si>
  <si>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</si>
  <si>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</si>
  <si>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</si>
  <si>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</si>
  <si>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</si>
  <si>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</si>
  <si>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</si>
  <si>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</si>
  <si>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</si>
  <si>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</si>
  <si>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</si>
  <si>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</si>
  <si>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</si>
  <si>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</si>
  <si>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</si>
  <si>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</si>
  <si>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</si>
  <si>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</si>
  <si>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</si>
  <si>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</si>
  <si>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</si>
  <si>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</si>
  <si>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</si>
  <si>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</si>
  <si>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</si>
  <si>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</si>
  <si>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</si>
  <si>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</si>
  <si>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</si>
  <si>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</si>
  <si>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</si>
  <si>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</si>
  <si>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</si>
  <si>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</si>
  <si>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</si>
  <si>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</si>
  <si>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</si>
  <si>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</si>
  <si>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</si>
  <si>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</si>
  <si>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</si>
  <si>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</si>
  <si>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</si>
  <si>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</si>
  <si>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</si>
  <si>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</si>
  <si>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</si>
  <si>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</si>
  <si>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</si>
  <si>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</si>
  <si>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</si>
  <si>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</si>
  <si>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</si>
  <si>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</si>
  <si>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</si>
  <si>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</si>
  <si>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</si>
  <si>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</si>
  <si>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</si>
  <si>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</si>
  <si>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</si>
  <si>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</si>
  <si>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</si>
  <si>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</si>
  <si>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</si>
  <si>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</si>
  <si>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</si>
  <si>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</si>
  <si>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</si>
  <si>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</si>
  <si>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</si>
  <si>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</si>
  <si>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</si>
  <si>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</si>
  <si>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</si>
  <si>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</si>
  <si>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</si>
  <si>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</si>
  <si>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</si>
  <si>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</si>
  <si>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</si>
  <si>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</si>
  <si>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</si>
  <si>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</si>
  <si>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</si>
  <si>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</si>
  <si>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</si>
  <si>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</si>
  <si>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</si>
  <si>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</si>
  <si>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</si>
  <si>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</si>
  <si>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</si>
  <si>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</si>
  <si>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</si>
  <si>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</si>
  <si>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</si>
  <si>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</si>
  <si>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</si>
  <si>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</si>
  <si>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</si>
  <si>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</si>
  <si>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</si>
  <si>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</si>
  <si>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</si>
  <si>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</si>
  <si>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</si>
  <si>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</si>
  <si>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</si>
  <si>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</si>
  <si>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</si>
  <si>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</si>
  <si>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</si>
  <si>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</si>
  <si>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</si>
  <si>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</si>
  <si>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</si>
  <si>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</si>
  <si>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</si>
  <si>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</si>
  <si>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</si>
  <si>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</si>
  <si>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</si>
  <si>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</si>
  <si>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</si>
  <si>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</si>
  <si>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</si>
  <si>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</si>
  <si>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</si>
  <si>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</si>
  <si>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</si>
  <si>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</si>
  <si>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</si>
  <si>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</si>
  <si>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</si>
  <si>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</si>
  <si>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</si>
  <si>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</si>
  <si>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</si>
  <si>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</si>
  <si>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</si>
  <si>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</si>
  <si>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</si>
  <si>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</si>
  <si>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</si>
  <si>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</si>
  <si>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</si>
  <si>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</si>
  <si>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</si>
  <si>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</si>
  <si>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</si>
  <si>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</si>
  <si>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</si>
  <si>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</si>
  <si>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</si>
  <si>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</si>
  <si>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</si>
  <si>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</si>
  <si>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</si>
  <si>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</si>
  <si>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</si>
  <si>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</si>
  <si>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</si>
  <si>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</si>
  <si>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</si>
  <si>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</si>
  <si>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</si>
  <si>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</si>
  <si>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</si>
  <si>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</si>
  <si>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</si>
  <si>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</si>
  <si>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</si>
  <si>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</si>
  <si>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</si>
  <si>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</si>
  <si>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</si>
  <si>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</si>
  <si>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</si>
  <si>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</si>
  <si>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</si>
  <si>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</si>
  <si>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</si>
  <si>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</si>
  <si>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</si>
  <si>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</si>
  <si>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</si>
  <si>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</si>
  <si>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</si>
  <si>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</si>
  <si>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</si>
  <si>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</si>
  <si>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</si>
  <si>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</si>
  <si>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</si>
  <si>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</si>
  <si>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</si>
  <si>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</si>
  <si>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</si>
  <si>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</si>
  <si>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</si>
  <si>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</si>
  <si>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</si>
  <si>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</si>
  <si>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</si>
  <si>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</si>
  <si>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</si>
  <si>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</si>
  <si>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</si>
  <si>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</si>
  <si>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</si>
  <si>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</si>
  <si>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</si>
  <si>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</si>
  <si>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</si>
  <si>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</si>
  <si>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</si>
  <si>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</si>
  <si>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</si>
  <si>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</si>
  <si>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</si>
  <si>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</si>
  <si>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</si>
  <si>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</si>
  <si>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</si>
  <si>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</si>
  <si>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</si>
  <si>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</si>
  <si>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</si>
  <si>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</si>
  <si>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</si>
  <si>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</si>
  <si>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</si>
  <si>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</si>
  <si>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</si>
  <si>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</si>
  <si>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</si>
  <si>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</si>
  <si>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</si>
  <si>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</si>
  <si>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</si>
  <si>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</si>
  <si>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</si>
  <si>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</si>
  <si>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</si>
  <si>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</si>
  <si>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</si>
  <si>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</si>
  <si>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</si>
  <si>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</si>
  <si>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</si>
  <si>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</si>
  <si>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</si>
  <si>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</si>
  <si>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</si>
  <si>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</si>
  <si>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</si>
  <si>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</si>
  <si>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</si>
  <si>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</si>
  <si>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</si>
  <si>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</si>
  <si>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</si>
  <si>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</si>
  <si>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</si>
  <si>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</si>
  <si>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</si>
  <si>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</si>
  <si>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</si>
  <si>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</si>
  <si>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</si>
  <si>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</si>
  <si>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</si>
  <si>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</si>
  <si>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</si>
  <si>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</si>
  <si>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</si>
  <si>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</si>
  <si>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</si>
  <si>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</si>
  <si>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</si>
  <si>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</si>
  <si>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</si>
  <si>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</si>
  <si>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</si>
  <si>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</si>
  <si>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</si>
  <si>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</si>
  <si>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</si>
  <si>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</si>
  <si>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</si>
  <si>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</si>
  <si>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</si>
  <si>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</si>
  <si>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</si>
  <si>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</si>
  <si>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</si>
  <si>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</si>
  <si>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</si>
  <si>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</si>
  <si>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</si>
  <si>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</si>
  <si>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</si>
  <si>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</si>
  <si>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</si>
  <si>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</si>
  <si>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</si>
  <si>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</si>
  <si>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</si>
  <si>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</si>
  <si>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</si>
  <si>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</si>
  <si>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</si>
  <si>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</si>
  <si>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</si>
  <si>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</si>
  <si>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</si>
  <si>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</si>
  <si>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</si>
  <si>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</si>
  <si>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</si>
  <si>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</si>
  <si>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</si>
  <si>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</si>
  <si>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</si>
  <si>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</si>
  <si>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</si>
  <si>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</si>
  <si>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</si>
  <si>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</si>
  <si>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</si>
  <si>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</si>
  <si>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</si>
  <si>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</si>
  <si>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</si>
  <si>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</si>
  <si>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</si>
  <si>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</si>
  <si>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</si>
  <si>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</si>
  <si>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</si>
  <si>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</si>
  <si>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</si>
  <si>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</si>
  <si>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</si>
  <si>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</si>
  <si>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</si>
  <si>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</si>
  <si>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</si>
  <si>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</si>
  <si>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</si>
  <si>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</si>
  <si>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</si>
  <si>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</si>
  <si>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</si>
  <si>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</si>
  <si>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</si>
  <si>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</si>
  <si>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</si>
  <si>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</si>
  <si>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</si>
  <si>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</si>
  <si>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</si>
  <si>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</si>
  <si>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</si>
  <si>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</si>
  <si>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</si>
  <si>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</si>
  <si>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</si>
  <si>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</si>
  <si>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</si>
  <si>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</si>
  <si>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</si>
  <si>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</si>
  <si>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</si>
  <si>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</si>
  <si>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</si>
  <si>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</si>
  <si>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</si>
  <si>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</si>
  <si>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</si>
  <si>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</si>
  <si>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</si>
  <si>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</si>
  <si>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</si>
  <si>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</si>
  <si>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</si>
  <si>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</si>
  <si>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</si>
  <si>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</si>
  <si>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</si>
  <si>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</si>
  <si>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</si>
  <si>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</si>
  <si>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</si>
  <si>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</si>
  <si>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</si>
  <si>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</si>
  <si>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</si>
  <si>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</si>
  <si>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</si>
  <si>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</si>
  <si>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</si>
  <si>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</si>
  <si>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</si>
  <si>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</si>
  <si>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</si>
  <si>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</si>
  <si>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</si>
  <si>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</si>
  <si>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</si>
  <si>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</si>
  <si>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</si>
  <si>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</si>
  <si>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</si>
  <si>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</si>
  <si>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</si>
  <si>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</si>
  <si>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</si>
  <si>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</si>
  <si>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</si>
  <si>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</si>
  <si>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</si>
  <si>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</si>
  <si>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</si>
  <si>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</si>
  <si>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</si>
  <si>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</si>
  <si>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</si>
  <si>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</si>
  <si>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</si>
  <si>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</si>
  <si>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</si>
  <si>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</si>
  <si>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</si>
  <si>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</si>
  <si>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</si>
  <si>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</si>
  <si>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</si>
  <si>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</si>
  <si>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</si>
  <si>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</si>
  <si>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</si>
  <si>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</si>
  <si>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</si>
  <si>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</si>
  <si>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</si>
  <si>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</si>
  <si>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</si>
  <si>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</si>
  <si>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</si>
  <si>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</si>
  <si>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</si>
  <si>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</si>
  <si>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</si>
  <si>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</si>
  <si>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</si>
  <si>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</si>
  <si>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</si>
  <si>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</si>
  <si>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</si>
  <si>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</si>
  <si>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</si>
  <si>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</si>
  <si>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</si>
  <si>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</si>
  <si>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</si>
  <si>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</si>
  <si>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</si>
  <si>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</si>
  <si>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</si>
  <si>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</si>
  <si>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</si>
  <si>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</si>
  <si>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</si>
  <si>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</si>
  <si>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</si>
  <si>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</si>
  <si>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</si>
  <si>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</si>
  <si>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</si>
  <si>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</si>
  <si>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</si>
  <si>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</si>
  <si>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</si>
  <si>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</si>
  <si>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</si>
  <si>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</si>
  <si>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</si>
  <si>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</si>
  <si>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</si>
  <si>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</si>
  <si>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</si>
  <si>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</si>
  <si>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</si>
  <si>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</si>
  <si>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</si>
  <si>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</si>
  <si>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</si>
  <si>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</si>
  <si>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</si>
  <si>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</si>
  <si>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</si>
  <si>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</si>
  <si>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</si>
  <si>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</si>
  <si>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</si>
  <si>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</si>
  <si>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</si>
  <si>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</si>
  <si>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</si>
  <si>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</si>
  <si>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</si>
  <si>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</si>
  <si>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</si>
  <si>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</si>
  <si>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</si>
  <si>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</si>
  <si>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</si>
  <si>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</si>
  <si>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</si>
  <si>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</si>
  <si>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</si>
  <si>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</si>
  <si>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</si>
  <si>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</si>
  <si>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</si>
  <si>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</si>
  <si>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</si>
  <si>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</si>
  <si>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</si>
  <si>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</si>
  <si>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</si>
  <si>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</si>
  <si>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</si>
  <si>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</si>
  <si>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</si>
  <si>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</si>
  <si>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</si>
  <si>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</si>
  <si>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</si>
  <si>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</si>
  <si>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</si>
  <si>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</si>
  <si>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</si>
  <si>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</si>
  <si>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</si>
  <si>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</si>
  <si>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</si>
  <si>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</si>
  <si>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</si>
  <si>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</si>
  <si>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</si>
  <si>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</si>
  <si>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</si>
  <si>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</si>
  <si>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</si>
  <si>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</si>
  <si>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</si>
  <si>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</si>
  <si>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</si>
  <si>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</si>
  <si>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</si>
  <si>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</si>
  <si>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</si>
  <si>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</si>
  <si>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</si>
  <si>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</si>
  <si>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</si>
  <si>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</si>
  <si>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</si>
  <si>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</si>
  <si>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</si>
  <si>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</si>
  <si>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</si>
  <si>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</si>
  <si>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</si>
  <si>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</si>
  <si>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</si>
  <si>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</si>
  <si>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</si>
  <si>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</si>
  <si>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</si>
  <si>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</si>
  <si>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</si>
  <si>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</si>
  <si>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</si>
  <si>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</si>
  <si>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</si>
  <si>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</si>
  <si>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</si>
  <si>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</si>
  <si>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</si>
  <si>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</si>
  <si>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</si>
  <si>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</si>
  <si>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</si>
  <si>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</si>
  <si>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</si>
  <si>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</si>
  <si>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</si>
  <si>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</si>
  <si>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</si>
  <si>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</si>
  <si>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</si>
  <si>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</si>
  <si>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</si>
  <si>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</si>
  <si>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</si>
  <si>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</si>
  <si>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</si>
  <si>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</si>
  <si>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</si>
  <si>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</si>
  <si>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</si>
  <si>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</si>
  <si>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</si>
  <si>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</si>
  <si>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</si>
  <si>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</si>
  <si>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</si>
  <si>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</si>
  <si>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</si>
  <si>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</si>
  <si>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</si>
  <si>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</si>
  <si>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</si>
  <si>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</si>
  <si>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</si>
  <si>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</si>
  <si>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</si>
  <si>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</si>
  <si>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</si>
  <si>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</si>
  <si>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</si>
  <si>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</si>
  <si>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</si>
  <si>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</si>
  <si>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</si>
  <si>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</si>
  <si>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</si>
  <si>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</si>
  <si>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</si>
  <si>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</si>
  <si>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</si>
  <si>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</si>
  <si>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</si>
  <si>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</si>
  <si>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</si>
  <si>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</si>
  <si>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</si>
  <si>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</si>
  <si>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</si>
  <si>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</si>
  <si>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</si>
  <si>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</si>
  <si>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</si>
  <si>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</si>
  <si>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</si>
  <si>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</si>
  <si>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</si>
  <si>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</si>
  <si>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</si>
  <si>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</si>
  <si>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</si>
  <si>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</si>
  <si>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</si>
  <si>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</si>
  <si>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</si>
  <si>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</si>
  <si>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</si>
  <si>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</si>
  <si>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</si>
  <si>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</si>
  <si>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</si>
  <si>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</si>
  <si>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</si>
  <si>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</si>
  <si>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</si>
  <si>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</si>
  <si>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</si>
  <si>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</si>
  <si>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</si>
  <si>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</si>
  <si>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</si>
  <si>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</si>
  <si>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</si>
  <si>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</si>
  <si>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</si>
  <si>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</si>
  <si>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</si>
  <si>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</si>
  <si>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</si>
  <si>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</si>
  <si>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</si>
  <si>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</si>
  <si>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</si>
  <si>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</si>
  <si>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</si>
  <si>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</si>
  <si>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</si>
  <si>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</si>
  <si>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</si>
  <si>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</si>
  <si>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</si>
  <si>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</si>
  <si>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</si>
  <si>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</si>
  <si>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</si>
  <si>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</si>
  <si>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</si>
  <si>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</si>
  <si>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</si>
  <si>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</si>
  <si>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</si>
  <si>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</si>
  <si>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</si>
  <si>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</si>
  <si>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</si>
  <si>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</si>
  <si>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</si>
  <si>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</si>
  <si>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</si>
  <si>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</si>
  <si>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</si>
  <si>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</si>
  <si>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</si>
  <si>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</si>
  <si>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</si>
  <si>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</si>
  <si>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</si>
  <si>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</si>
  <si>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</si>
  <si>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</si>
  <si>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</si>
  <si>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</si>
  <si>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</si>
  <si>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</si>
  <si>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</si>
  <si>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</si>
  <si>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</si>
  <si>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</si>
  <si>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</si>
  <si>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</si>
  <si>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</si>
  <si>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</si>
  <si>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</si>
  <si>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</si>
  <si>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</si>
  <si>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</si>
  <si>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</si>
  <si>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</si>
  <si>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</si>
  <si>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</si>
  <si>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</si>
  <si>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</si>
  <si>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</si>
  <si>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</si>
  <si>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</si>
  <si>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</si>
  <si>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</si>
  <si>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</si>
  <si>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</si>
  <si>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</si>
  <si>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</si>
  <si>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</si>
  <si>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</si>
  <si>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</si>
  <si>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</si>
  <si>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</si>
  <si>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</si>
  <si>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</si>
  <si>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</si>
  <si>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</si>
  <si>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</si>
  <si>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</si>
  <si>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</si>
  <si>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</si>
  <si>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</si>
  <si>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</si>
  <si>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</si>
  <si>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</si>
  <si>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</si>
  <si>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</si>
  <si>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</si>
  <si>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</si>
  <si>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</si>
  <si>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</si>
  <si>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</si>
  <si>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</si>
  <si>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</si>
  <si>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</si>
  <si>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</si>
  <si>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</si>
  <si>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</si>
  <si>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</si>
  <si>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</si>
  <si>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</si>
  <si>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</si>
  <si>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</si>
  <si>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</si>
  <si>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</si>
  <si>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</si>
  <si>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</si>
  <si>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</si>
  <si>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</si>
  <si>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</si>
  <si>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</si>
  <si>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</si>
  <si>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</si>
  <si>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</si>
  <si>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</si>
  <si>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</si>
  <si>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</si>
  <si>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</si>
  <si>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</si>
  <si>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</si>
  <si>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</si>
  <si>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</si>
  <si>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</si>
  <si>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</si>
  <si>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</si>
  <si>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</si>
  <si>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</si>
  <si>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</si>
  <si>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</si>
  <si>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</si>
  <si>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</si>
  <si>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</si>
  <si>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</si>
  <si>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</si>
  <si>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</si>
  <si>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</si>
  <si>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</si>
  <si>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</si>
  <si>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</si>
  <si>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</si>
  <si>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</si>
  <si>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</si>
  <si>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</si>
  <si>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</si>
  <si>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</si>
  <si>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</si>
  <si>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</si>
  <si>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</si>
  <si>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</si>
  <si>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</si>
  <si>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</si>
  <si>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</si>
  <si>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</si>
  <si>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</si>
  <si>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</si>
  <si>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</si>
  <si>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</si>
  <si>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</si>
  <si>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</si>
  <si>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</si>
  <si>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</si>
  <si>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</si>
  <si>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</si>
  <si>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</si>
  <si>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</si>
  <si>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</si>
  <si>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</si>
  <si>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</si>
  <si>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</si>
  <si>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</si>
  <si>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</si>
  <si>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</si>
  <si>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</si>
  <si>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</si>
  <si>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</si>
  <si>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</si>
  <si>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</si>
  <si>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</si>
  <si>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</si>
  <si>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</si>
  <si>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</si>
  <si>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</si>
  <si>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</si>
  <si>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</si>
  <si>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</si>
  <si>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</si>
  <si>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</si>
  <si>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</si>
  <si>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</si>
  <si>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</si>
  <si>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</si>
  <si>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</si>
  <si>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</si>
  <si>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</si>
  <si>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</si>
  <si>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</si>
  <si>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</si>
  <si>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</si>
  <si>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</si>
  <si>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</si>
  <si>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</si>
  <si>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</si>
  <si>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</si>
  <si>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</si>
  <si>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</si>
  <si>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</si>
  <si>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</si>
  <si>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</si>
  <si>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</si>
  <si>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</si>
  <si>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</si>
  <si>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</si>
  <si>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</si>
  <si>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</si>
  <si>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</si>
  <si>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</si>
  <si>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</si>
  <si>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</si>
  <si>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</si>
  <si>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</si>
  <si>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</si>
  <si>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</si>
  <si>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</si>
  <si>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</si>
  <si>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</si>
  <si>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</si>
  <si>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</si>
  <si>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</si>
  <si>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</si>
  <si>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</si>
  <si>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</si>
  <si>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</si>
  <si>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</si>
  <si>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</si>
  <si>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</si>
  <si>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</si>
  <si>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</si>
  <si>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</si>
  <si>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</si>
  <si>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</si>
  <si>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</si>
  <si>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</si>
  <si>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</si>
  <si>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</si>
  <si>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</si>
  <si>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</si>
  <si>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</si>
  <si>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</si>
  <si>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</si>
  <si>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</si>
  <si>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</si>
  <si>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</si>
  <si>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</si>
  <si>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</si>
  <si>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</si>
  <si>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</si>
  <si>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</si>
  <si>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</si>
  <si>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</si>
  <si>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</si>
  <si>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</si>
  <si>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</si>
  <si>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</si>
  <si>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</si>
  <si>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</si>
  <si>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</si>
  <si>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</si>
  <si>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</si>
  <si>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</si>
  <si>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</si>
  <si>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</si>
  <si>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</si>
  <si>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</si>
  <si>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</si>
  <si>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</si>
  <si>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</si>
  <si>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</si>
  <si>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</si>
  <si>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</si>
  <si>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</si>
  <si>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</si>
  <si>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</si>
  <si>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</si>
  <si>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</si>
  <si>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</si>
  <si>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</si>
  <si>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</si>
  <si>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</si>
  <si>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</si>
  <si>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</si>
  <si>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</si>
  <si>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</si>
  <si>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</si>
  <si>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</si>
  <si>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</si>
  <si>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</si>
  <si>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</si>
  <si>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</si>
  <si>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</si>
  <si>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</si>
  <si>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</si>
  <si>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</si>
  <si>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</si>
  <si>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</si>
  <si>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</si>
  <si>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</si>
  <si>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</si>
  <si>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</si>
  <si>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</si>
  <si>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</si>
  <si>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</si>
  <si>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</si>
  <si>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</si>
  <si>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</si>
  <si>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</si>
  <si>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</si>
  <si>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</si>
  <si>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</si>
  <si>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</si>
  <si>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</si>
  <si>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</si>
  <si>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</si>
  <si>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</si>
  <si>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</si>
  <si>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</si>
  <si>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</si>
  <si>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</si>
  <si>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</si>
  <si>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</si>
  <si>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</si>
  <si>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</si>
  <si>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</si>
  <si>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</si>
  <si>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</si>
  <si>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</si>
  <si>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</si>
  <si>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</si>
  <si>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</si>
  <si>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</si>
  <si>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</si>
  <si>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</si>
  <si>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</si>
  <si>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</si>
  <si>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</si>
  <si>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</si>
  <si>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</si>
  <si>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</si>
  <si>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</si>
  <si>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</si>
  <si>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</si>
  <si>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</si>
  <si>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</si>
  <si>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</si>
  <si>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</si>
  <si>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</si>
  <si>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</si>
  <si>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</si>
  <si>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</si>
  <si>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</si>
  <si>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</si>
  <si>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</si>
  <si>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</si>
  <si>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</si>
  <si>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</si>
  <si>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</si>
  <si>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</si>
  <si>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</si>
  <si>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</si>
  <si>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</si>
  <si>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</si>
  <si>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</si>
  <si>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</si>
  <si>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</si>
  <si>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</si>
  <si>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</si>
  <si>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</si>
  <si>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</si>
  <si>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</si>
  <si>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</si>
  <si>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</si>
  <si>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</si>
  <si>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</si>
  <si>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</si>
  <si>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</si>
  <si>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</si>
  <si>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</si>
  <si>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</si>
  <si>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</si>
  <si>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</si>
  <si>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</si>
  <si>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</si>
  <si>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</si>
  <si>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</si>
  <si>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</si>
  <si>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</si>
  <si>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</si>
  <si>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</si>
  <si>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</si>
  <si>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</si>
  <si>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</si>
  <si>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</si>
  <si>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</si>
  <si>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</si>
  <si>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</si>
  <si>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</si>
  <si>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</si>
  <si>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</si>
  <si>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</si>
  <si>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</si>
  <si>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</si>
  <si>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</si>
  <si>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</si>
  <si>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</si>
  <si>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</si>
  <si>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</si>
  <si>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</si>
  <si>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</si>
  <si>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</si>
  <si>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</si>
  <si>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</si>
  <si>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</si>
  <si>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</si>
  <si>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</si>
  <si>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</si>
  <si>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</si>
  <si>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</si>
  <si>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</si>
  <si>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</si>
  <si>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</si>
  <si>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</si>
  <si>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</si>
  <si>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</si>
  <si>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</si>
  <si>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</si>
  <si>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</si>
  <si>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</si>
  <si>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</si>
  <si>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</si>
  <si>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</si>
  <si>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</si>
  <si>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</si>
  <si>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</si>
  <si>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</si>
  <si>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</si>
  <si>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</si>
  <si>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</si>
  <si>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</si>
  <si>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</si>
  <si>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</si>
  <si>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</si>
  <si>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</si>
  <si>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</si>
  <si>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</si>
  <si>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</si>
  <si>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</si>
  <si>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</si>
  <si>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</si>
  <si>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</si>
  <si>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</si>
  <si>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</si>
  <si>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</si>
  <si>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</si>
  <si>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</si>
  <si>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</si>
  <si>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</si>
  <si>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</si>
  <si>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</si>
  <si>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</si>
  <si>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</si>
  <si>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</si>
  <si>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</si>
  <si>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</si>
  <si>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</si>
  <si>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</si>
  <si>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</si>
  <si>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</si>
  <si>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</si>
  <si>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</si>
  <si>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</si>
  <si>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</si>
  <si>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</si>
  <si>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</si>
  <si>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</si>
  <si>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</si>
  <si>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</si>
  <si>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</si>
  <si>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</si>
  <si>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</si>
  <si>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</si>
  <si>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</si>
  <si>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</si>
  <si>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</si>
  <si>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</si>
  <si>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</si>
  <si>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</si>
  <si>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</si>
  <si>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</si>
  <si>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</si>
  <si>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</si>
  <si>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</si>
  <si>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</si>
  <si>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</si>
  <si>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</si>
  <si>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</si>
  <si>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</si>
  <si>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</si>
  <si>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</si>
  <si>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</si>
  <si>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</si>
  <si>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</si>
  <si>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</si>
  <si>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</si>
  <si>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</si>
  <si>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</si>
  <si>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</si>
  <si>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</si>
  <si>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</si>
  <si>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</si>
  <si>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</si>
  <si>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</si>
  <si>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</si>
  <si>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</si>
  <si>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</si>
  <si>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</si>
  <si>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</si>
  <si>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</si>
  <si>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</si>
  <si>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</si>
  <si>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</si>
  <si>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</si>
  <si>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</si>
  <si>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</si>
  <si>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</si>
  <si>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</si>
  <si>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</si>
  <si>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</si>
  <si>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</si>
  <si>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</si>
  <si>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</si>
  <si>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</si>
  <si>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</si>
  <si>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</si>
  <si>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</si>
  <si>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</si>
  <si>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</si>
  <si>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</si>
  <si>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</si>
  <si>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</si>
  <si>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</si>
  <si>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</si>
  <si>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</si>
  <si>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</si>
  <si>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</si>
  <si>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</si>
  <si>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</si>
  <si>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</si>
  <si>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</si>
  <si>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</si>
  <si>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</si>
  <si>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</si>
  <si>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</si>
  <si>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</si>
  <si>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</si>
  <si>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</si>
  <si>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</si>
  <si>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</si>
  <si>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</si>
  <si>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</si>
  <si>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</si>
  <si>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</si>
  <si>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</si>
  <si>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</si>
  <si>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</si>
  <si>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</si>
  <si>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</si>
  <si>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</si>
  <si>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</si>
  <si>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</si>
  <si>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</si>
  <si>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</si>
  <si>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</si>
  <si>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</si>
  <si>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</si>
  <si>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</si>
  <si>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</si>
  <si>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</si>
  <si>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</si>
  <si>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</si>
  <si>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</si>
  <si>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</si>
  <si>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</si>
  <si>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</si>
  <si>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</si>
  <si>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</si>
  <si>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</si>
  <si>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</si>
  <si>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</si>
  <si>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</si>
  <si>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</si>
  <si>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</si>
  <si>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</si>
  <si>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</si>
  <si>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</si>
  <si>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</si>
  <si>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</si>
  <si>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</si>
  <si>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</si>
  <si>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</si>
  <si>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</si>
  <si>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</si>
  <si>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</si>
  <si>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</si>
  <si>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</si>
  <si>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</si>
  <si>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</si>
  <si>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</si>
  <si>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</si>
  <si>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</si>
  <si>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</si>
  <si>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</si>
  <si>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</si>
  <si>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</si>
  <si>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</si>
  <si>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</si>
  <si>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</si>
  <si>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</si>
  <si>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</si>
  <si>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</si>
  <si>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</si>
  <si>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</si>
  <si>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</si>
  <si>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</si>
  <si>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</si>
  <si>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</si>
  <si>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</si>
  <si>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</si>
  <si>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</si>
  <si>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</si>
  <si>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</si>
  <si>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</si>
  <si>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</si>
  <si>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</si>
  <si>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</si>
  <si>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</si>
  <si>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</si>
  <si>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</si>
  <si>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</si>
  <si>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</si>
  <si>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</si>
  <si>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</si>
  <si>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</si>
  <si>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</si>
  <si>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</si>
  <si>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</si>
  <si>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</si>
  <si>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</si>
  <si>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</si>
  <si>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</si>
  <si>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</si>
  <si>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</si>
  <si>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</si>
  <si>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</si>
  <si>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</si>
  <si>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</si>
  <si>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</si>
  <si>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</si>
  <si>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</si>
  <si>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</si>
  <si>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</si>
  <si>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</si>
  <si>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</si>
  <si>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</si>
  <si>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</si>
  <si>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</si>
  <si>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</si>
  <si>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</si>
  <si>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</si>
  <si>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</si>
  <si>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</si>
  <si>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</si>
  <si>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</si>
  <si>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</si>
  <si>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</si>
  <si>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</si>
  <si>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</si>
  <si>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</si>
  <si>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</si>
  <si>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</si>
  <si>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</si>
  <si>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</si>
  <si>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</si>
  <si>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</si>
  <si>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</si>
  <si>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</si>
  <si>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</si>
  <si>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</si>
  <si>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</si>
  <si>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</si>
  <si>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</si>
  <si>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</si>
  <si>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</si>
  <si>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</si>
  <si>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</si>
  <si>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</si>
  <si>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</si>
  <si>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</si>
  <si>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</si>
  <si>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</si>
  <si>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</si>
  <si>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</si>
  <si>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</si>
  <si>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</si>
  <si>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</si>
  <si>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</si>
  <si>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</si>
  <si>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</si>
  <si>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</si>
  <si>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</si>
  <si>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</si>
  <si>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</si>
  <si>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</si>
  <si>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</si>
  <si>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</si>
  <si>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</si>
  <si>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</si>
  <si>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</si>
  <si>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</si>
  <si>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</si>
  <si>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</si>
  <si>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</si>
  <si>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</si>
  <si>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</si>
  <si>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</si>
  <si>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</si>
  <si>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</si>
  <si>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</si>
  <si>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</si>
  <si>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</si>
  <si>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</si>
  <si>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</si>
  <si>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</si>
  <si>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</si>
  <si>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</si>
  <si>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</si>
  <si>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</si>
  <si>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</si>
  <si>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</si>
  <si>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</si>
  <si>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</si>
  <si>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</si>
  <si>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</si>
  <si>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</si>
  <si>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</si>
  <si>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</si>
  <si>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</si>
  <si>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</si>
  <si>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</si>
  <si>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</si>
  <si>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</si>
  <si>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</si>
  <si>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</si>
  <si>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</si>
  <si>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</si>
  <si>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</si>
  <si>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</si>
  <si>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</si>
  <si>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</si>
  <si>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</si>
  <si>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</si>
  <si>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</si>
  <si>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</si>
  <si>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</si>
  <si>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</si>
  <si>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</si>
  <si>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</si>
  <si>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</si>
  <si>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</si>
  <si>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</si>
  <si>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</si>
  <si>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</si>
  <si>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</si>
  <si>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</si>
  <si>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</si>
  <si>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</si>
  <si>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</si>
  <si>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</si>
  <si>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</si>
  <si>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</si>
  <si>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</si>
  <si>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</si>
  <si>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</si>
  <si>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</si>
  <si>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</si>
  <si>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</si>
  <si>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</si>
  <si>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</si>
  <si>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</si>
  <si>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</si>
  <si>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</si>
  <si>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</si>
  <si>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</si>
  <si>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</si>
  <si>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</si>
  <si>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</si>
  <si>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</si>
  <si>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</si>
  <si>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</si>
  <si>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</si>
  <si>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</si>
  <si>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</si>
  <si>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</si>
  <si>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</si>
  <si>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</si>
  <si>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</si>
  <si>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</si>
  <si>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</si>
  <si>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</si>
  <si>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</si>
  <si>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</si>
  <si>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</si>
  <si>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</si>
  <si>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</si>
  <si>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</si>
  <si>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</si>
  <si>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</si>
  <si>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</si>
  <si>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</si>
  <si>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</si>
  <si>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</si>
  <si>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</si>
  <si>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</si>
  <si>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</si>
  <si>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</si>
  <si>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</si>
  <si>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</si>
  <si>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</si>
  <si>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</si>
  <si>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</si>
  <si>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</si>
  <si>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</si>
  <si>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</si>
  <si>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</si>
  <si>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</si>
  <si>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</si>
  <si>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</si>
  <si>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</si>
  <si>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</si>
  <si>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</si>
  <si>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</si>
  <si>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</si>
  <si>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</si>
  <si>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</si>
  <si>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</si>
  <si>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</si>
  <si>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</si>
  <si>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</si>
  <si>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</si>
  <si>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</si>
  <si>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</si>
  <si>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</si>
  <si>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</si>
  <si>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</si>
  <si>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</si>
  <si>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</si>
  <si>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</si>
  <si>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</si>
  <si>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</si>
  <si>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</si>
  <si>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</si>
  <si>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</si>
  <si>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</si>
  <si>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</si>
  <si>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</si>
  <si>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</si>
  <si>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</si>
  <si>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</si>
  <si>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</si>
  <si>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</si>
  <si>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</si>
  <si>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</si>
  <si>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</si>
  <si>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</si>
  <si>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</si>
  <si>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</si>
  <si>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</si>
  <si>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</si>
  <si>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</si>
  <si>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</si>
  <si>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</si>
  <si>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</si>
  <si>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</si>
  <si>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</si>
  <si>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</si>
  <si>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</si>
  <si>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</si>
  <si>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</si>
  <si>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</si>
  <si>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</si>
  <si>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</si>
  <si>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</si>
  <si>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</si>
  <si>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</si>
  <si>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</si>
  <si>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</si>
  <si>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</si>
  <si>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</si>
  <si>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</si>
  <si>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</si>
  <si>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</si>
  <si>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</si>
  <si>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</si>
  <si>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</si>
  <si>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</si>
  <si>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</si>
  <si>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</si>
  <si>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</si>
  <si>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</si>
  <si>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</si>
  <si>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</si>
  <si>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</si>
  <si>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</si>
  <si>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</si>
  <si>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</si>
  <si>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</si>
  <si>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</si>
  <si>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</si>
  <si>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</si>
  <si>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</si>
  <si>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</si>
  <si>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</si>
  <si>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</si>
  <si>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</si>
  <si>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</si>
  <si>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</si>
  <si>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</si>
  <si>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</si>
  <si>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</si>
  <si>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</si>
  <si>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</si>
  <si>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</si>
  <si>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</si>
  <si>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</si>
  <si>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</si>
  <si>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</si>
  <si>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</si>
  <si>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</si>
  <si>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</si>
  <si>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</si>
  <si>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</si>
  <si>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</si>
  <si>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</si>
  <si>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</si>
  <si>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</si>
  <si>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</si>
  <si>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</si>
  <si>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</si>
  <si>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</si>
  <si>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</si>
  <si>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</si>
  <si>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</si>
  <si>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</si>
  <si>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</si>
  <si>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</si>
  <si>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</si>
  <si>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</si>
  <si>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</si>
  <si>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</si>
  <si>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</si>
  <si>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</si>
  <si>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</si>
  <si>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</si>
  <si>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</si>
  <si>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</si>
  <si>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</si>
  <si>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</si>
  <si>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</si>
  <si>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</si>
  <si>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</si>
  <si>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</si>
  <si>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</si>
  <si>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</si>
  <si>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</si>
  <si>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</si>
  <si>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</si>
  <si>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</si>
  <si>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</si>
  <si>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</si>
  <si>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</si>
  <si>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</si>
  <si>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</si>
  <si>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</si>
  <si>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</si>
  <si>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</si>
  <si>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</si>
  <si>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</si>
  <si>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</si>
  <si>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</si>
  <si>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</si>
  <si>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</si>
  <si>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</si>
  <si>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r>
      <rPr>
        <sz val="11"/>
        <color theme="1"/>
        <rFont val="宋体"/>
        <family val="3"/>
        <charset val="134"/>
      </rPr>
      <t>结果表</t>
    </r>
    <r>
      <rPr>
        <sz val="11"/>
        <color theme="1"/>
        <rFont val="Arial"/>
        <family val="2"/>
      </rPr>
      <t>-</t>
    </r>
    <r>
      <rPr>
        <sz val="11"/>
        <color theme="1"/>
        <rFont val="宋体"/>
        <family val="3"/>
        <charset val="134"/>
      </rPr>
      <t>住宅</t>
    </r>
    <phoneticPr fontId="3" type="noConversion"/>
  </si>
  <si>
    <r>
      <rPr>
        <sz val="11"/>
        <color theme="1"/>
        <rFont val="宋体"/>
        <family val="3"/>
        <charset val="134"/>
      </rPr>
      <t>结果表</t>
    </r>
    <r>
      <rPr>
        <sz val="11"/>
        <color theme="1"/>
        <rFont val="Arial"/>
        <family val="2"/>
      </rPr>
      <t>-</t>
    </r>
    <r>
      <rPr>
        <sz val="11"/>
        <color theme="1"/>
        <rFont val="宋体"/>
        <family val="3"/>
        <charset val="134"/>
      </rPr>
      <t>办公</t>
    </r>
    <phoneticPr fontId="3" type="noConversion"/>
  </si>
  <si>
    <r>
      <rPr>
        <sz val="11"/>
        <color theme="1"/>
        <rFont val="宋体"/>
        <family val="3"/>
        <charset val="134"/>
      </rPr>
      <t>结果表</t>
    </r>
    <r>
      <rPr>
        <sz val="11"/>
        <color theme="1"/>
        <rFont val="Arial"/>
        <family val="2"/>
      </rPr>
      <t>-</t>
    </r>
    <r>
      <rPr>
        <sz val="11"/>
        <color theme="1"/>
        <rFont val="宋体"/>
        <family val="3"/>
        <charset val="134"/>
      </rPr>
      <t>商业</t>
    </r>
    <phoneticPr fontId="3" type="noConversion"/>
  </si>
  <si>
    <r>
      <rPr>
        <sz val="11"/>
        <color theme="1"/>
        <rFont val="宋体"/>
        <family val="3"/>
        <charset val="134"/>
      </rPr>
      <t>基准地价</t>
    </r>
    <r>
      <rPr>
        <sz val="11"/>
        <color theme="1"/>
        <rFont val="Arial"/>
        <family val="2"/>
      </rPr>
      <t>-</t>
    </r>
    <r>
      <rPr>
        <sz val="11"/>
        <color theme="1"/>
        <rFont val="宋体"/>
        <family val="3"/>
        <charset val="134"/>
      </rPr>
      <t>商业</t>
    </r>
    <phoneticPr fontId="3"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</si>
  <si>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3" type="noConversion"/>
  </si>
  <si>
    <r>
      <rPr>
        <sz val="11"/>
        <color theme="1"/>
        <rFont val="宋体"/>
        <family val="3"/>
        <charset val="134"/>
      </rPr>
      <t>剩余法</t>
    </r>
    <r>
      <rPr>
        <sz val="11"/>
        <color theme="1"/>
        <rFont val="Arial"/>
        <family val="2"/>
      </rPr>
      <t>-</t>
    </r>
    <r>
      <rPr>
        <sz val="11"/>
        <color theme="1"/>
        <rFont val="宋体"/>
        <family val="3"/>
        <charset val="134"/>
      </rPr>
      <t>商业</t>
    </r>
    <phoneticPr fontId="3" type="noConversion"/>
  </si>
  <si>
    <r>
      <rPr>
        <sz val="11"/>
        <color theme="1"/>
        <rFont val="宋体"/>
        <family val="3"/>
        <charset val="134"/>
      </rPr>
      <t>剩余法</t>
    </r>
    <r>
      <rPr>
        <sz val="11"/>
        <color theme="1"/>
        <rFont val="Arial"/>
        <family val="2"/>
      </rPr>
      <t>-</t>
    </r>
    <r>
      <rPr>
        <sz val="11"/>
        <color theme="1"/>
        <rFont val="宋体"/>
        <family val="3"/>
        <charset val="134"/>
      </rPr>
      <t>办公</t>
    </r>
    <phoneticPr fontId="3" type="noConversion"/>
  </si>
  <si>
    <t>叶凌</t>
  </si>
  <si>
    <t>杨红英</t>
  </si>
  <si>
    <t>核定资产</t>
  </si>
  <si>
    <t>市场价格</t>
  </si>
  <si>
    <t>企业</t>
  </si>
  <si>
    <t>商业</t>
  </si>
  <si>
    <t>地上</t>
  </si>
  <si>
    <t>商业</t>
    <phoneticPr fontId="7" type="noConversion"/>
  </si>
  <si>
    <t>办公</t>
    <phoneticPr fontId="7" type="noConversion"/>
  </si>
  <si>
    <t>批发零售用地</t>
  </si>
  <si>
    <t>按公示增长率计算</t>
  </si>
  <si>
    <t>容积率修正</t>
  </si>
  <si>
    <t>商务金融用地（办公类）</t>
  </si>
  <si>
    <t>项目局部</t>
  </si>
  <si>
    <t>土地</t>
  </si>
  <si>
    <t>剩余法-商业</t>
  </si>
  <si>
    <t>基准地价-商业</t>
  </si>
  <si>
    <t>剩余法-办公</t>
  </si>
  <si>
    <t>基准地价-办公</t>
  </si>
  <si>
    <t>商业</t>
    <phoneticPr fontId="26" type="noConversion"/>
  </si>
  <si>
    <t>40-50（含）</t>
  </si>
  <si>
    <t>商业</t>
    <phoneticPr fontId="26" type="noConversion"/>
  </si>
  <si>
    <t>区域自然环境：；人文环境；综合评价环境状况较好</t>
    <phoneticPr fontId="3" type="noConversion"/>
  </si>
  <si>
    <t>较好</t>
  </si>
  <si>
    <t>较差</t>
  </si>
  <si>
    <t>七通</t>
  </si>
  <si>
    <t>单面临街</t>
  </si>
  <si>
    <t>多面临街</t>
    <phoneticPr fontId="26" type="noConversion"/>
  </si>
  <si>
    <t>商业综合体</t>
    <phoneticPr fontId="26" type="noConversion"/>
  </si>
  <si>
    <t>钢混</t>
  </si>
  <si>
    <t>钢混</t>
    <phoneticPr fontId="26" type="noConversion"/>
  </si>
  <si>
    <t>精装修</t>
  </si>
  <si>
    <t>精装修</t>
    <phoneticPr fontId="26" type="noConversion"/>
  </si>
  <si>
    <t>普通装修</t>
  </si>
  <si>
    <t>普通装修</t>
    <phoneticPr fontId="26" type="noConversion"/>
  </si>
  <si>
    <t>简单装修</t>
    <phoneticPr fontId="26" type="noConversion"/>
  </si>
  <si>
    <t>毛坯</t>
    <phoneticPr fontId="26" type="noConversion"/>
  </si>
  <si>
    <t>三通一平</t>
    <phoneticPr fontId="26" type="noConversion"/>
  </si>
  <si>
    <t>五通一平</t>
  </si>
  <si>
    <t>五通一平</t>
    <phoneticPr fontId="26" type="noConversion"/>
  </si>
  <si>
    <t>六通一平</t>
    <phoneticPr fontId="26" type="noConversion"/>
  </si>
  <si>
    <t>七通一平</t>
    <phoneticPr fontId="26" type="noConversion"/>
  </si>
  <si>
    <t>正常</t>
  </si>
  <si>
    <t>正常</t>
    <phoneticPr fontId="26" type="noConversion"/>
  </si>
  <si>
    <t>已部分缴纳</t>
  </si>
  <si>
    <t>办公</t>
    <phoneticPr fontId="27" type="noConversion"/>
  </si>
  <si>
    <t>30-40（含）</t>
  </si>
  <si>
    <t>高速路</t>
    <phoneticPr fontId="27" type="noConversion"/>
  </si>
  <si>
    <t>城市主干道</t>
    <phoneticPr fontId="27" type="noConversion"/>
  </si>
  <si>
    <t>城市次干道</t>
  </si>
  <si>
    <t>城市次干道</t>
    <phoneticPr fontId="27" type="noConversion"/>
  </si>
  <si>
    <t>城市支路</t>
    <phoneticPr fontId="27" type="noConversion"/>
  </si>
  <si>
    <t>将台路</t>
    <phoneticPr fontId="27" type="noConversion"/>
  </si>
  <si>
    <t>中楼层</t>
    <phoneticPr fontId="27" type="noConversion"/>
  </si>
  <si>
    <t>写字楼</t>
    <phoneticPr fontId="27" type="noConversion"/>
  </si>
  <si>
    <t>华仑大厦面积=（144+113+144）÷3×232户÷70%=约44000平方米</t>
    <phoneticPr fontId="228" type="noConversion"/>
  </si>
  <si>
    <t>钢混</t>
    <phoneticPr fontId="27" type="noConversion"/>
  </si>
  <si>
    <t>精装修</t>
    <phoneticPr fontId="27" type="noConversion"/>
  </si>
  <si>
    <t>物业公司管理</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</si>
  <si>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</si>
  <si>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</si>
  <si>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</si>
  <si>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</si>
  <si>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</si>
  <si>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正常</t>
    <phoneticPr fontId="27" type="noConversion"/>
  </si>
  <si>
    <t>临街道路</t>
    <phoneticPr fontId="26" type="noConversion"/>
  </si>
  <si>
    <t>一般</t>
    <phoneticPr fontId="26" type="noConversion"/>
  </si>
  <si>
    <t>较好</t>
    <phoneticPr fontId="26" type="noConversion"/>
  </si>
  <si>
    <t>地上一层</t>
    <phoneticPr fontId="26" type="noConversion"/>
  </si>
  <si>
    <t>建成年代</t>
    <phoneticPr fontId="27" type="noConversion"/>
  </si>
  <si>
    <r>
      <rPr>
        <sz val="11"/>
        <color indexed="8"/>
        <rFont val="宋体"/>
        <family val="3"/>
        <charset val="134"/>
      </rPr>
      <t>预计</t>
    </r>
    <r>
      <rPr>
        <sz val="11"/>
        <color indexed="8"/>
        <rFont val="Arial"/>
        <family val="2"/>
      </rPr>
      <t>2</t>
    </r>
    <r>
      <rPr>
        <sz val="11"/>
        <color indexed="8"/>
        <rFont val="宋体"/>
        <family val="3"/>
        <charset val="134"/>
      </rPr>
      <t>年后</t>
    </r>
    <phoneticPr fontId="27" type="noConversion"/>
  </si>
  <si>
    <t>现房</t>
    <phoneticPr fontId="27" type="noConversion"/>
  </si>
  <si>
    <t>现房</t>
    <phoneticPr fontId="27" type="noConversion"/>
  </si>
  <si>
    <t>地块1</t>
    <phoneticPr fontId="228" type="noConversion"/>
  </si>
  <si>
    <t>商业</t>
    <phoneticPr fontId="228" type="noConversion"/>
  </si>
  <si>
    <t>办公</t>
    <phoneticPr fontId="228" type="noConversion"/>
  </si>
  <si>
    <t>车库入口</t>
    <phoneticPr fontId="228" type="noConversion"/>
  </si>
  <si>
    <r>
      <t>1</t>
    </r>
    <r>
      <rPr>
        <sz val="11"/>
        <color theme="1"/>
        <rFont val="宋体"/>
        <family val="3"/>
        <charset val="134"/>
        <scheme val="minor"/>
      </rPr>
      <t>#</t>
    </r>
    <phoneticPr fontId="228" type="noConversion"/>
  </si>
  <si>
    <r>
      <t>2</t>
    </r>
    <r>
      <rPr>
        <sz val="11"/>
        <color theme="1"/>
        <rFont val="宋体"/>
        <family val="3"/>
        <charset val="134"/>
        <scheme val="minor"/>
      </rPr>
      <t>#</t>
    </r>
    <phoneticPr fontId="228" type="noConversion"/>
  </si>
  <si>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</si>
  <si>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</si>
  <si>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</si>
  <si>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r>
      <t>6#</t>
    </r>
    <r>
      <rPr>
        <sz val="11"/>
        <color theme="1"/>
        <rFont val="宋体"/>
        <family val="3"/>
        <charset val="134"/>
        <scheme val="minor"/>
      </rPr>
      <t/>
    </r>
  </si>
  <si>
    <r>
      <t>7#</t>
    </r>
    <r>
      <rPr>
        <sz val="11"/>
        <color theme="1"/>
        <rFont val="宋体"/>
        <family val="3"/>
        <charset val="134"/>
        <scheme val="minor"/>
      </rPr>
      <t/>
    </r>
  </si>
  <si>
    <t>合计</t>
    <phoneticPr fontId="228" type="noConversion"/>
  </si>
  <si>
    <t>地块2</t>
    <phoneticPr fontId="228" type="noConversion"/>
  </si>
  <si>
    <t>酒店</t>
    <phoneticPr fontId="228" type="noConversion"/>
  </si>
  <si>
    <t>建筑面积</t>
    <phoneticPr fontId="228" type="noConversion"/>
  </si>
  <si>
    <t>基准地价法</t>
    <phoneticPr fontId="228" type="noConversion"/>
  </si>
  <si>
    <t>剩余法</t>
    <phoneticPr fontId="228" type="noConversion"/>
  </si>
  <si>
    <t>绿隔产业（商业）</t>
  </si>
  <si>
    <t>绿隔产业（办公）</t>
  </si>
  <si>
    <t>用途</t>
  </si>
  <si>
    <t>出让建筑面积（㎡）</t>
    <phoneticPr fontId="228" type="noConversion"/>
  </si>
  <si>
    <t>楼面熟地单价（元/㎡）</t>
    <phoneticPr fontId="228" type="noConversion"/>
  </si>
  <si>
    <t>熟地总价(万元）</t>
    <phoneticPr fontId="228" type="noConversion"/>
  </si>
  <si>
    <t>地面熟地单价（元/㎡）</t>
    <phoneticPr fontId="228" type="noConversion"/>
  </si>
  <si>
    <t>——</t>
    <phoneticPr fontId="228" type="noConversion"/>
  </si>
  <si>
    <t>绿隔产业（商业）</t>
    <phoneticPr fontId="228" type="noConversion"/>
  </si>
  <si>
    <t>熟地价</t>
    <phoneticPr fontId="228" type="noConversion"/>
  </si>
  <si>
    <t>绿隔产业（办公）</t>
    <phoneticPr fontId="228" type="noConversion"/>
  </si>
  <si>
    <t>政府土地出让收益楼面单价（元/㎡）</t>
    <phoneticPr fontId="228" type="noConversion"/>
  </si>
  <si>
    <t>政府土地出让收益楼面总价（万元）</t>
    <phoneticPr fontId="228" type="noConversion"/>
  </si>
  <si>
    <t>权重楼面熟地单价</t>
    <phoneticPr fontId="228" type="noConversion"/>
  </si>
  <si>
    <t>政府土地收益楼面单价</t>
    <phoneticPr fontId="228" type="noConversion"/>
  </si>
  <si>
    <t>政府土地出让收益</t>
    <phoneticPr fontId="228" type="noConversion"/>
  </si>
  <si>
    <t>底价建议</t>
    <phoneticPr fontId="228" type="noConversion"/>
  </si>
  <si>
    <t>政府土地出让收益与应分摊成本合计楼面单价（元/㎡）</t>
    <phoneticPr fontId="228" type="noConversion"/>
  </si>
  <si>
    <t xml:space="preserve">所在基准地价级别低限楼面熟地价
（元/㎡）
</t>
    <phoneticPr fontId="228" type="noConversion"/>
  </si>
  <si>
    <t xml:space="preserve">所在基准地价级别低限政府土地出让收益
（元/㎡）
</t>
    <phoneticPr fontId="228" type="noConversion"/>
  </si>
  <si>
    <t xml:space="preserve">建议出让底价
总价(万元）
</t>
    <phoneticPr fontId="228" type="noConversion"/>
  </si>
  <si>
    <t>合计</t>
    <phoneticPr fontId="228" type="noConversion"/>
  </si>
  <si>
    <t>用途</t>
    <phoneticPr fontId="228" type="noConversion"/>
  </si>
  <si>
    <t>方法</t>
    <phoneticPr fontId="228" type="noConversion"/>
  </si>
  <si>
    <t>楼面熟地单价</t>
    <phoneticPr fontId="276" type="noConversion"/>
  </si>
  <si>
    <t>权重</t>
    <phoneticPr fontId="228" type="noConversion"/>
  </si>
  <si>
    <t>分摊成本</t>
    <phoneticPr fontId="228" type="noConversion"/>
  </si>
  <si>
    <t>不临58条商业街</t>
  </si>
  <si>
    <t>双面临街</t>
  </si>
  <si>
    <t>双面临街</t>
    <phoneticPr fontId="26" type="noConversion"/>
  </si>
  <si>
    <t>单面临街</t>
    <phoneticPr fontId="26" type="noConversion"/>
  </si>
  <si>
    <t>五通一平</t>
    <phoneticPr fontId="26" type="noConversion"/>
  </si>
  <si>
    <t>商业综合体</t>
  </si>
  <si>
    <t>押一</t>
  </si>
  <si>
    <t>土地（套用方法）</t>
  </si>
  <si>
    <t>工程进度</t>
  </si>
  <si>
    <t>按租金收入计税</t>
  </si>
  <si>
    <t>颐堤港</t>
    <phoneticPr fontId="3" type="noConversion"/>
  </si>
  <si>
    <t>低楼层</t>
    <phoneticPr fontId="27" type="noConversion"/>
  </si>
  <si>
    <t>高楼层</t>
    <phoneticPr fontId="27" type="noConversion"/>
  </si>
  <si>
    <t>中楼层</t>
    <phoneticPr fontId="27" type="noConversion"/>
  </si>
  <si>
    <t>低楼层</t>
    <phoneticPr fontId="27" type="noConversion"/>
  </si>
  <si>
    <t>方恒购物中心</t>
    <phoneticPr fontId="3" type="noConversion"/>
  </si>
  <si>
    <t>六佰本商业中心</t>
    <phoneticPr fontId="3" type="noConversion"/>
  </si>
  <si>
    <r>
      <rPr>
        <sz val="11"/>
        <color indexed="8"/>
        <rFont val="宋体"/>
        <family val="3"/>
        <charset val="134"/>
      </rPr>
      <t>预计</t>
    </r>
    <r>
      <rPr>
        <sz val="11"/>
        <color indexed="8"/>
        <rFont val="Arial"/>
        <family val="2"/>
      </rPr>
      <t>2</t>
    </r>
    <r>
      <rPr>
        <sz val="11"/>
        <color indexed="8"/>
        <rFont val="宋体"/>
        <family val="3"/>
        <charset val="134"/>
      </rPr>
      <t>年后</t>
    </r>
    <phoneticPr fontId="26" type="noConversion"/>
  </si>
  <si>
    <t>现房</t>
    <phoneticPr fontId="26" type="noConversion"/>
  </si>
  <si>
    <t>现房</t>
    <phoneticPr fontId="26" type="noConversion"/>
  </si>
  <si>
    <r>
      <rPr>
        <sz val="11"/>
        <color indexed="8"/>
        <rFont val="宋体"/>
        <family val="3"/>
        <charset val="134"/>
      </rPr>
      <t>预计</t>
    </r>
    <r>
      <rPr>
        <sz val="11"/>
        <color indexed="8"/>
        <rFont val="Arial"/>
        <family val="2"/>
      </rPr>
      <t>2</t>
    </r>
    <r>
      <rPr>
        <sz val="11"/>
        <color indexed="8"/>
        <rFont val="宋体"/>
        <family val="3"/>
        <charset val="134"/>
      </rPr>
      <t>年后</t>
    </r>
    <phoneticPr fontId="26" type="noConversion"/>
  </si>
  <si>
    <t>丽都水岸</t>
    <phoneticPr fontId="3" type="noConversion"/>
  </si>
  <si>
    <t>城市支路—</t>
    <phoneticPr fontId="26" type="noConversion"/>
  </si>
  <si>
    <t>城市次干道—阜通东大街</t>
    <phoneticPr fontId="26" type="noConversion"/>
  </si>
  <si>
    <t>城市次干道—广顺北大街</t>
    <phoneticPr fontId="26" type="noConversion"/>
  </si>
  <si>
    <t>住宅底商</t>
    <phoneticPr fontId="26" type="noConversion"/>
  </si>
  <si>
    <t>商业街商铺</t>
    <phoneticPr fontId="26" type="noConversion"/>
  </si>
  <si>
    <t>不动产收益法-商业</t>
  </si>
  <si>
    <t>不动产收益法-办公</t>
  </si>
  <si>
    <t>估价对象位于酒仙桥商圈，周边商业氛围较成熟，人流量较大，商业繁华度较好</t>
    <phoneticPr fontId="3" type="noConversion"/>
  </si>
  <si>
    <t>估价对象周边有445路、516路、659路、983路等多条公交线路经过，距14号线地铁（将台站）约300米，道路状况较好、公共交通通达情况较好、综合评价交通便捷度较好。</t>
    <phoneticPr fontId="3" type="noConversion"/>
  </si>
  <si>
    <t>城市次干道—将台路</t>
    <phoneticPr fontId="26" type="noConversion"/>
  </si>
  <si>
    <t>估价对象所在区域公共配套设施齐备度较好</t>
    <phoneticPr fontId="3" type="noConversion"/>
  </si>
  <si>
    <t>估价对象位于酒仙桥商圈，周边办公楼项目较多，入驻率高，办公集聚程度较好</t>
    <phoneticPr fontId="3" type="noConversion"/>
  </si>
  <si>
    <t>20-30（含）</t>
  </si>
  <si>
    <t>七通一平</t>
  </si>
  <si>
    <t>一致</t>
  </si>
  <si>
    <t>好</t>
  </si>
  <si>
    <t>估价对象所在区域基础设施水平达到七通一平</t>
    <phoneticPr fontId="3"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</si>
</sst>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indexed="81"/>
      <name val="Tahoma"/>
      <family val="2"/>
    </font>
    <font>
      <b/>
      <sz val="9"/>
      <color indexed="81"/>
      <name val="Tahoma"/>
      <family val="2"/>
    </font>
    <font>
      <sz val="9"/>
      <name val="宋体"/>
      <family val="2"/>
      <charset val="134"/>
      <scheme val="minor"/>
    </font>
    <font>
      <b/>
      <sz val="20"/>
      <color theme="1"/>
      <name val="华文楷体"/>
      <family val="3"/>
      <charset val="134"/>
    </font>
    <font>
      <b/>
      <sz val="11"/>
      <color theme="1"/>
      <name val="Adobe 黑体 Std R"/>
      <family val="2"/>
      <charset val="134"/>
    </font>
    <font>
      <b/>
      <sz val="11"/>
      <color theme="1"/>
      <name val="Adobe 黑体 Std R"/>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8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78" fillId="2" borderId="20" xfId="0" applyFont="1" applyFill="1" applyBorder="1" applyAlignment="1" applyProtection="1">
      <alignment horizontal="left" vertical="center" wrapText="1"/>
      <protection locked="0"/>
    </xf>
    <xf numFmtId="0" fontId="75" fillId="5" borderId="2" xfId="0" applyFont="1" applyFill="1" applyBorder="1" applyAlignment="1" applyProtection="1">
      <alignment horizontal="center" vertical="center"/>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49" fillId="0" borderId="0" xfId="0" applyFont="1" applyBorder="1" applyAlignment="1" applyProtection="1">
      <alignment horizontal="center" vertical="center"/>
      <protection locked="0"/>
    </xf>
    <xf numFmtId="0" fontId="81" fillId="6" borderId="6" xfId="2"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5" fillId="0" borderId="0" xfId="0" applyFont="1">
      <alignment vertical="center"/>
    </xf>
    <xf numFmtId="0" fontId="144" fillId="2" borderId="11"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0" fillId="6" borderId="0" xfId="0" applyFill="1">
      <alignment vertical="center"/>
    </xf>
    <xf numFmtId="0" fontId="145" fillId="0" borderId="2" xfId="0" applyFont="1" applyBorder="1">
      <alignment vertical="center"/>
    </xf>
    <xf numFmtId="0" fontId="0" fillId="9" borderId="2" xfId="0" applyFill="1" applyBorder="1">
      <alignment vertical="center"/>
    </xf>
    <xf numFmtId="0" fontId="0" fillId="6" borderId="2" xfId="0" applyFill="1" applyBorder="1">
      <alignment vertical="center"/>
    </xf>
    <xf numFmtId="0" fontId="145" fillId="9" borderId="2" xfId="0" applyFont="1" applyFill="1" applyBorder="1">
      <alignment vertical="center"/>
    </xf>
    <xf numFmtId="0" fontId="145" fillId="6" borderId="2" xfId="0" applyFont="1" applyFill="1" applyBorder="1">
      <alignment vertical="center"/>
    </xf>
    <xf numFmtId="0" fontId="145" fillId="17" borderId="2" xfId="0" applyFont="1" applyFill="1" applyBorder="1">
      <alignment vertical="center"/>
    </xf>
    <xf numFmtId="0" fontId="0" fillId="17" borderId="2" xfId="0" applyFill="1" applyBorder="1">
      <alignment vertical="center"/>
    </xf>
    <xf numFmtId="0" fontId="145" fillId="17" borderId="13" xfId="0" applyFont="1" applyFill="1" applyBorder="1">
      <alignment vertical="center"/>
    </xf>
    <xf numFmtId="0" fontId="147" fillId="0" borderId="2" xfId="0" applyFont="1" applyBorder="1">
      <alignment vertical="center"/>
    </xf>
    <xf numFmtId="0" fontId="147" fillId="0" borderId="0" xfId="0" applyFont="1">
      <alignment vertical="center"/>
    </xf>
    <xf numFmtId="0" fontId="145" fillId="6" borderId="2" xfId="0" applyFont="1" applyFill="1" applyBorder="1" applyAlignment="1">
      <alignment vertical="center" wrapText="1"/>
    </xf>
    <xf numFmtId="0" fontId="0" fillId="6" borderId="2" xfId="0" applyFill="1" applyBorder="1" applyAlignment="1">
      <alignment vertical="center" wrapText="1"/>
    </xf>
    <xf numFmtId="0" fontId="145" fillId="9" borderId="2" xfId="0" applyFont="1" applyFill="1" applyBorder="1" applyAlignment="1">
      <alignment vertical="center" wrapText="1"/>
    </xf>
    <xf numFmtId="0" fontId="0" fillId="9" borderId="2" xfId="0" applyFill="1" applyBorder="1" applyAlignment="1">
      <alignment vertical="center" wrapText="1"/>
    </xf>
    <xf numFmtId="0" fontId="176" fillId="0" borderId="82" xfId="0" applyFont="1" applyBorder="1" applyAlignment="1">
      <alignment horizontal="center" vertical="center" wrapText="1"/>
    </xf>
    <xf numFmtId="0" fontId="277" fillId="0" borderId="0" xfId="0" applyFont="1" applyFill="1" applyBorder="1" applyAlignment="1">
      <alignment vertical="center" wrapText="1"/>
    </xf>
    <xf numFmtId="0" fontId="199" fillId="0" borderId="35" xfId="0" applyFont="1" applyBorder="1" applyAlignment="1">
      <alignment vertical="center" wrapText="1"/>
    </xf>
    <xf numFmtId="0" fontId="199" fillId="0" borderId="79" xfId="0" applyFont="1" applyBorder="1" applyAlignment="1">
      <alignment vertical="center" wrapText="1"/>
    </xf>
    <xf numFmtId="0" fontId="199" fillId="0" borderId="80" xfId="0" applyFont="1" applyBorder="1" applyAlignment="1">
      <alignment vertical="center" wrapText="1"/>
    </xf>
    <xf numFmtId="0" fontId="160" fillId="0" borderId="11" xfId="0" applyFont="1" applyBorder="1" applyAlignment="1">
      <alignment vertical="center" wrapText="1"/>
    </xf>
    <xf numFmtId="0" fontId="149" fillId="0" borderId="2" xfId="0" applyFont="1" applyBorder="1" applyAlignment="1">
      <alignment horizontal="center" vertical="center" wrapText="1"/>
    </xf>
    <xf numFmtId="0" fontId="149" fillId="0" borderId="12" xfId="0" applyFont="1" applyBorder="1" applyAlignment="1">
      <alignment horizontal="center" vertical="center" wrapText="1"/>
    </xf>
    <xf numFmtId="0" fontId="160" fillId="0" borderId="82" xfId="0" applyFont="1" applyBorder="1" applyAlignment="1">
      <alignment vertical="center" wrapText="1"/>
    </xf>
    <xf numFmtId="0" fontId="149" fillId="0" borderId="82" xfId="0" applyFont="1" applyBorder="1" applyAlignment="1">
      <alignment horizontal="center" vertical="center" wrapText="1"/>
    </xf>
    <xf numFmtId="0" fontId="160" fillId="0" borderId="60" xfId="0" applyFont="1" applyBorder="1" applyAlignment="1">
      <alignment vertical="center" wrapText="1"/>
    </xf>
    <xf numFmtId="0" fontId="149" fillId="0" borderId="44" xfId="0" applyFont="1" applyBorder="1" applyAlignment="1">
      <alignment horizontal="center" vertical="center" wrapText="1"/>
    </xf>
    <xf numFmtId="0" fontId="149" fillId="0" borderId="46" xfId="0" applyFont="1" applyBorder="1" applyAlignment="1">
      <alignment horizontal="center" vertical="center" wrapText="1"/>
    </xf>
    <xf numFmtId="0" fontId="278" fillId="17" borderId="2" xfId="0" applyFont="1" applyFill="1" applyBorder="1" applyAlignment="1">
      <alignment horizontal="center" vertical="center" wrapText="1"/>
    </xf>
    <xf numFmtId="0" fontId="279" fillId="17" borderId="2" xfId="0" applyFont="1" applyFill="1" applyBorder="1" applyAlignment="1">
      <alignment horizontal="center" vertical="center" wrapText="1"/>
    </xf>
    <xf numFmtId="0" fontId="149" fillId="0" borderId="82" xfId="0" applyFont="1" applyFill="1" applyBorder="1" applyAlignment="1">
      <alignment horizontal="center" vertical="center" wrapText="1"/>
    </xf>
    <xf numFmtId="0" fontId="176" fillId="0" borderId="82" xfId="0" applyFont="1" applyFill="1" applyBorder="1" applyAlignment="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3" fillId="2" borderId="18" xfId="0" applyNumberFormat="1" applyFont="1" applyFill="1" applyBorder="1" applyAlignment="1" applyProtection="1">
      <alignment horizontal="center" vertical="center" wrapText="1"/>
      <protection locked="0"/>
    </xf>
    <xf numFmtId="0" fontId="106" fillId="9"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277" fillId="0" borderId="0" xfId="0" applyFont="1" applyFill="1" applyBorder="1" applyAlignment="1">
      <alignment horizontal="center" vertical="center" wrapText="1"/>
    </xf>
    <xf numFmtId="0" fontId="199" fillId="0" borderId="82" xfId="0" applyFont="1" applyBorder="1" applyAlignment="1">
      <alignment horizontal="center" vertical="center" wrapText="1"/>
    </xf>
    <xf numFmtId="0" fontId="277" fillId="0" borderId="61" xfId="0" applyFont="1" applyFill="1" applyBorder="1" applyAlignment="1">
      <alignment horizontal="center" vertical="center" wrapText="1"/>
    </xf>
    <xf numFmtId="0" fontId="199" fillId="0" borderId="35" xfId="0" applyFont="1" applyBorder="1" applyAlignment="1">
      <alignment horizontal="center" vertical="center" wrapText="1"/>
    </xf>
    <xf numFmtId="0" fontId="199" fillId="0" borderId="79" xfId="0" applyFont="1" applyBorder="1" applyAlignment="1">
      <alignment horizontal="center" vertical="center" wrapText="1"/>
    </xf>
    <xf numFmtId="0" fontId="199" fillId="0" borderId="80" xfId="0" applyFont="1" applyBorder="1" applyAlignment="1">
      <alignment horizontal="center" vertical="center" wrapText="1"/>
    </xf>
    <xf numFmtId="0" fontId="199" fillId="0" borderId="53" xfId="0" applyFont="1" applyBorder="1" applyAlignment="1">
      <alignment horizontal="center" vertical="center" wrapText="1"/>
    </xf>
    <xf numFmtId="0" fontId="199" fillId="0" borderId="24" xfId="0" applyFont="1" applyBorder="1" applyAlignment="1">
      <alignment horizontal="center" vertical="center" wrapText="1"/>
    </xf>
    <xf numFmtId="0" fontId="199" fillId="0" borderId="50" xfId="0" applyFont="1" applyBorder="1" applyAlignment="1">
      <alignment horizontal="center" vertical="center" wrapText="1"/>
    </xf>
    <xf numFmtId="0" fontId="199" fillId="0" borderId="27" xfId="0" applyFont="1" applyBorder="1" applyAlignment="1">
      <alignment horizontal="center" vertical="center" wrapText="1"/>
    </xf>
    <xf numFmtId="0" fontId="199" fillId="0" borderId="3" xfId="0" applyFont="1" applyBorder="1" applyAlignment="1">
      <alignment horizontal="center" vertical="center" wrapText="1"/>
    </xf>
    <xf numFmtId="0" fontId="199" fillId="0" borderId="21" xfId="0" applyFont="1" applyBorder="1" applyAlignment="1">
      <alignment horizontal="center" vertical="center" wrapText="1"/>
    </xf>
    <xf numFmtId="0" fontId="199" fillId="0" borderId="41" xfId="0" applyFont="1" applyBorder="1" applyAlignment="1">
      <alignment horizontal="center" vertical="center" wrapText="1"/>
    </xf>
    <xf numFmtId="0" fontId="199" fillId="0" borderId="52" xfId="0" applyFont="1" applyBorder="1" applyAlignment="1">
      <alignment horizontal="center" vertical="center" wrapText="1"/>
    </xf>
    <xf numFmtId="0" fontId="199" fillId="0" borderId="51" xfId="0" applyFont="1" applyBorder="1" applyAlignment="1">
      <alignment horizontal="center" vertical="center" wrapText="1"/>
    </xf>
    <xf numFmtId="0" fontId="145" fillId="6" borderId="2" xfId="0" applyFont="1" applyFill="1" applyBorder="1" applyAlignment="1">
      <alignment horizontal="center" vertical="center" wrapText="1"/>
    </xf>
    <xf numFmtId="0" fontId="0" fillId="6" borderId="10" xfId="0" applyFill="1" applyBorder="1" applyAlignment="1">
      <alignment horizontal="center" vertical="center" wrapText="1"/>
    </xf>
    <xf numFmtId="0" fontId="0" fillId="6" borderId="21" xfId="0" applyFill="1" applyBorder="1" applyAlignment="1">
      <alignment horizontal="center" vertical="center" wrapText="1"/>
    </xf>
    <xf numFmtId="0" fontId="0" fillId="6" borderId="10" xfId="0" applyFill="1" applyBorder="1" applyAlignment="1">
      <alignment horizontal="center" vertical="center"/>
    </xf>
    <xf numFmtId="0" fontId="0" fillId="6" borderId="21" xfId="0" applyFill="1" applyBorder="1" applyAlignment="1">
      <alignment horizontal="center" vertical="center"/>
    </xf>
    <xf numFmtId="0" fontId="145" fillId="9" borderId="2" xfId="0" applyFont="1" applyFill="1" applyBorder="1" applyAlignment="1">
      <alignment horizontal="center" vertical="center" wrapText="1"/>
    </xf>
    <xf numFmtId="0" fontId="0" fillId="9" borderId="10" xfId="0" applyFill="1" applyBorder="1" applyAlignment="1">
      <alignment horizontal="center" vertical="center" wrapText="1"/>
    </xf>
    <xf numFmtId="0" fontId="0" fillId="9" borderId="21" xfId="0" applyFill="1" applyBorder="1" applyAlignment="1">
      <alignment horizontal="center" vertical="center" wrapText="1"/>
    </xf>
    <xf numFmtId="0" fontId="0" fillId="9" borderId="10" xfId="0" applyFill="1" applyBorder="1" applyAlignment="1">
      <alignment horizontal="center" vertical="center"/>
    </xf>
    <xf numFmtId="0" fontId="0" fillId="9" borderId="21" xfId="0" applyFill="1" applyBorder="1" applyAlignment="1">
      <alignment horizontal="center" vertical="center"/>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152" fillId="5" borderId="2"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166" fillId="5" borderId="21"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6" fillId="5" borderId="22" xfId="0" applyFont="1" applyFill="1" applyBorder="1" applyAlignment="1" applyProtection="1">
      <alignment horizontal="left"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84" fillId="5" borderId="2" xfId="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1" xfId="0" applyFont="1" applyFill="1" applyBorder="1" applyAlignment="1" applyProtection="1">
      <alignment horizontal="center" vertical="center" textRotation="255" wrapText="1"/>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262" fillId="0" borderId="11"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181" fontId="71" fillId="17" borderId="2" xfId="0" applyNumberFormat="1" applyFont="1" applyFill="1" applyBorder="1" applyAlignment="1" applyProtection="1">
      <alignment vertical="center"/>
      <protection locked="0"/>
    </xf>
    <xf numFmtId="9" fontId="76" fillId="17" borderId="5" xfId="0" applyNumberFormat="1"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457200</xdr:colOff>
      <xdr:row>8</xdr:row>
      <xdr:rowOff>142875</xdr:rowOff>
    </xdr:to>
    <xdr:pic>
      <xdr:nvPicPr>
        <xdr:cNvPr id="7372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001000" cy="1514475"/>
        </a:xfrm>
        <a:prstGeom prst="rect">
          <a:avLst/>
        </a:prstGeom>
        <a:noFill/>
        <a:ln w="1">
          <a:noFill/>
          <a:miter lim="800000"/>
          <a:headEnd/>
          <a:tailEnd type="none" w="med" len="med"/>
        </a:ln>
        <a:effectLst/>
      </xdr:spPr>
    </xdr:pic>
    <xdr:clientData/>
  </xdr:twoCellAnchor>
  <xdr:twoCellAnchor editAs="oneCell">
    <xdr:from>
      <xdr:col>0</xdr:col>
      <xdr:colOff>0</xdr:colOff>
      <xdr:row>10</xdr:row>
      <xdr:rowOff>0</xdr:rowOff>
    </xdr:from>
    <xdr:to>
      <xdr:col>11</xdr:col>
      <xdr:colOff>276225</xdr:colOff>
      <xdr:row>17</xdr:row>
      <xdr:rowOff>0</xdr:rowOff>
    </xdr:to>
    <xdr:pic>
      <xdr:nvPicPr>
        <xdr:cNvPr id="7373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714500"/>
          <a:ext cx="7820025" cy="1200150"/>
        </a:xfrm>
        <a:prstGeom prst="rect">
          <a:avLst/>
        </a:prstGeom>
        <a:noFill/>
        <a:ln w="1">
          <a:noFill/>
          <a:miter lim="800000"/>
          <a:headEnd/>
          <a:tailEnd type="none" w="med" len="med"/>
        </a:ln>
        <a:effectLst/>
      </xdr:spPr>
    </xdr:pic>
    <xdr:clientData/>
  </xdr:twoCellAnchor>
  <xdr:twoCellAnchor editAs="oneCell">
    <xdr:from>
      <xdr:col>0</xdr:col>
      <xdr:colOff>38100</xdr:colOff>
      <xdr:row>18</xdr:row>
      <xdr:rowOff>28575</xdr:rowOff>
    </xdr:from>
    <xdr:to>
      <xdr:col>11</xdr:col>
      <xdr:colOff>333375</xdr:colOff>
      <xdr:row>25</xdr:row>
      <xdr:rowOff>104775</xdr:rowOff>
    </xdr:to>
    <xdr:pic>
      <xdr:nvPicPr>
        <xdr:cNvPr id="73732"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38100" y="3114675"/>
          <a:ext cx="7839075" cy="127635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314325</xdr:colOff>
      <xdr:row>21</xdr:row>
      <xdr:rowOff>161925</xdr:rowOff>
    </xdr:from>
    <xdr:to>
      <xdr:col>16</xdr:col>
      <xdr:colOff>485775</xdr:colOff>
      <xdr:row>42</xdr:row>
      <xdr:rowOff>123825</xdr:rowOff>
    </xdr:to>
    <xdr:pic>
      <xdr:nvPicPr>
        <xdr:cNvPr id="5939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486525" y="3762375"/>
          <a:ext cx="4972050" cy="356235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9</xdr:col>
      <xdr:colOff>304800</xdr:colOff>
      <xdr:row>27</xdr:row>
      <xdr:rowOff>66674</xdr:rowOff>
    </xdr:to>
    <xdr:pic>
      <xdr:nvPicPr>
        <xdr:cNvPr id="3" name="图片 2"/>
        <xdr:cNvPicPr/>
      </xdr:nvPicPr>
      <xdr:blipFill>
        <a:blip xmlns:r="http://schemas.openxmlformats.org/officeDocument/2006/relationships" r:embed="rId2" cstate="print"/>
        <a:stretch>
          <a:fillRect/>
        </a:stretch>
      </xdr:blipFill>
      <xdr:spPr>
        <a:xfrm>
          <a:off x="0" y="0"/>
          <a:ext cx="6477000" cy="4695824"/>
        </a:xfrm>
        <a:prstGeom prst="rect">
          <a:avLst/>
        </a:prstGeom>
      </xdr:spPr>
    </xdr:pic>
    <xdr:clientData/>
  </xdr:twoCellAnchor>
  <xdr:twoCellAnchor editAs="oneCell">
    <xdr:from>
      <xdr:col>0</xdr:col>
      <xdr:colOff>28575</xdr:colOff>
      <xdr:row>29</xdr:row>
      <xdr:rowOff>123825</xdr:rowOff>
    </xdr:from>
    <xdr:to>
      <xdr:col>9</xdr:col>
      <xdr:colOff>409575</xdr:colOff>
      <xdr:row>59</xdr:row>
      <xdr:rowOff>0</xdr:rowOff>
    </xdr:to>
    <xdr:pic>
      <xdr:nvPicPr>
        <xdr:cNvPr id="4" name="图片 3"/>
        <xdr:cNvPicPr/>
      </xdr:nvPicPr>
      <xdr:blipFill>
        <a:blip xmlns:r="http://schemas.openxmlformats.org/officeDocument/2006/relationships" r:embed="rId3" cstate="print"/>
        <a:stretch>
          <a:fillRect/>
        </a:stretch>
      </xdr:blipFill>
      <xdr:spPr>
        <a:xfrm>
          <a:off x="28575" y="5095875"/>
          <a:ext cx="6553200" cy="5019675"/>
        </a:xfrm>
        <a:prstGeom prst="rect">
          <a:avLst/>
        </a:prstGeom>
      </xdr:spPr>
    </xdr:pic>
    <xdr:clientData/>
  </xdr:twoCellAnchor>
  <xdr:twoCellAnchor editAs="oneCell">
    <xdr:from>
      <xdr:col>0</xdr:col>
      <xdr:colOff>0</xdr:colOff>
      <xdr:row>59</xdr:row>
      <xdr:rowOff>114299</xdr:rowOff>
    </xdr:from>
    <xdr:to>
      <xdr:col>9</xdr:col>
      <xdr:colOff>66674</xdr:colOff>
      <xdr:row>66</xdr:row>
      <xdr:rowOff>47624</xdr:rowOff>
    </xdr:to>
    <xdr:pic>
      <xdr:nvPicPr>
        <xdr:cNvPr id="5" name="图片 4"/>
        <xdr:cNvPicPr/>
      </xdr:nvPicPr>
      <xdr:blipFill>
        <a:blip xmlns:r="http://schemas.openxmlformats.org/officeDocument/2006/relationships" r:embed="rId4" cstate="print"/>
        <a:stretch>
          <a:fillRect/>
        </a:stretch>
      </xdr:blipFill>
      <xdr:spPr>
        <a:xfrm>
          <a:off x="0" y="10229849"/>
          <a:ext cx="6238874" cy="1133475"/>
        </a:xfrm>
        <a:prstGeom prst="rect">
          <a:avLst/>
        </a:prstGeom>
      </xdr:spPr>
    </xdr:pic>
    <xdr:clientData/>
  </xdr:twoCellAnchor>
  <xdr:twoCellAnchor editAs="oneCell">
    <xdr:from>
      <xdr:col>0</xdr:col>
      <xdr:colOff>0</xdr:colOff>
      <xdr:row>67</xdr:row>
      <xdr:rowOff>161924</xdr:rowOff>
    </xdr:from>
    <xdr:to>
      <xdr:col>9</xdr:col>
      <xdr:colOff>600074</xdr:colOff>
      <xdr:row>101</xdr:row>
      <xdr:rowOff>38099</xdr:rowOff>
    </xdr:to>
    <xdr:pic>
      <xdr:nvPicPr>
        <xdr:cNvPr id="6" name="图片 5"/>
        <xdr:cNvPicPr/>
      </xdr:nvPicPr>
      <xdr:blipFill>
        <a:blip xmlns:r="http://schemas.openxmlformats.org/officeDocument/2006/relationships" r:embed="rId5" cstate="print"/>
        <a:stretch>
          <a:fillRect/>
        </a:stretch>
      </xdr:blipFill>
      <xdr:spPr>
        <a:xfrm>
          <a:off x="0" y="11649074"/>
          <a:ext cx="6772274" cy="5705475"/>
        </a:xfrm>
        <a:prstGeom prst="rect">
          <a:avLst/>
        </a:prstGeom>
      </xdr:spPr>
    </xdr:pic>
    <xdr:clientData/>
  </xdr:twoCellAnchor>
  <xdr:twoCellAnchor editAs="oneCell">
    <xdr:from>
      <xdr:col>9</xdr:col>
      <xdr:colOff>561975</xdr:colOff>
      <xdr:row>0</xdr:row>
      <xdr:rowOff>0</xdr:rowOff>
    </xdr:from>
    <xdr:to>
      <xdr:col>19</xdr:col>
      <xdr:colOff>66675</xdr:colOff>
      <xdr:row>21</xdr:row>
      <xdr:rowOff>113332</xdr:rowOff>
    </xdr:to>
    <xdr:pic>
      <xdr:nvPicPr>
        <xdr:cNvPr id="7"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6734175" y="0"/>
          <a:ext cx="6362700" cy="3713782"/>
        </a:xfrm>
        <a:prstGeom prst="rect">
          <a:avLst/>
        </a:prstGeom>
        <a:noFill/>
        <a:ln w="1">
          <a:noFill/>
          <a:miter lim="800000"/>
          <a:headEnd/>
          <a:tailEnd type="none" w="med" len="med"/>
        </a:ln>
        <a:effectLst/>
      </xdr:spPr>
    </xdr:pic>
    <xdr:clientData/>
  </xdr:twoCellAnchor>
  <xdr:twoCellAnchor editAs="oneCell">
    <xdr:from>
      <xdr:col>10</xdr:col>
      <xdr:colOff>38099</xdr:colOff>
      <xdr:row>43</xdr:row>
      <xdr:rowOff>51986</xdr:rowOff>
    </xdr:from>
    <xdr:to>
      <xdr:col>18</xdr:col>
      <xdr:colOff>638174</xdr:colOff>
      <xdr:row>65</xdr:row>
      <xdr:rowOff>0</xdr:rowOff>
    </xdr:to>
    <xdr:pic>
      <xdr:nvPicPr>
        <xdr:cNvPr id="5939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896099" y="7424336"/>
          <a:ext cx="6086475" cy="3719914"/>
        </a:xfrm>
        <a:prstGeom prst="rect">
          <a:avLst/>
        </a:prstGeom>
        <a:noFill/>
        <a:ln w="1">
          <a:noFill/>
          <a:miter lim="800000"/>
          <a:headEnd/>
          <a:tailEnd type="none" w="med" len="med"/>
        </a:ln>
        <a:effectLst/>
      </xdr:spPr>
    </xdr:pic>
    <xdr:clientData/>
  </xdr:twoCellAnchor>
  <xdr:twoCellAnchor editAs="oneCell">
    <xdr:from>
      <xdr:col>18</xdr:col>
      <xdr:colOff>104775</xdr:colOff>
      <xdr:row>47</xdr:row>
      <xdr:rowOff>121275</xdr:rowOff>
    </xdr:from>
    <xdr:to>
      <xdr:col>23</xdr:col>
      <xdr:colOff>295275</xdr:colOff>
      <xdr:row>65</xdr:row>
      <xdr:rowOff>104774</xdr:rowOff>
    </xdr:to>
    <xdr:pic>
      <xdr:nvPicPr>
        <xdr:cNvPr id="59395" name="Picture 3"/>
        <xdr:cNvPicPr>
          <a:picLocks noChangeAspect="1" noChangeArrowheads="1"/>
        </xdr:cNvPicPr>
      </xdr:nvPicPr>
      <xdr:blipFill>
        <a:blip xmlns:r="http://schemas.openxmlformats.org/officeDocument/2006/relationships" r:embed="rId8" cstate="print"/>
        <a:srcRect/>
        <a:stretch>
          <a:fillRect/>
        </a:stretch>
      </xdr:blipFill>
      <xdr:spPr bwMode="auto">
        <a:xfrm>
          <a:off x="12449175" y="8179425"/>
          <a:ext cx="3619500" cy="3069599"/>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209550</xdr:colOff>
      <xdr:row>20</xdr:row>
      <xdr:rowOff>164597</xdr:rowOff>
    </xdr:from>
    <xdr:to>
      <xdr:col>16</xdr:col>
      <xdr:colOff>536780</xdr:colOff>
      <xdr:row>42</xdr:row>
      <xdr:rowOff>104775</xdr:rowOff>
    </xdr:to>
    <xdr:pic>
      <xdr:nvPicPr>
        <xdr:cNvPr id="6041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067550" y="3593597"/>
          <a:ext cx="4442030" cy="3712078"/>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10</xdr:col>
      <xdr:colOff>123824</xdr:colOff>
      <xdr:row>26</xdr:row>
      <xdr:rowOff>133350</xdr:rowOff>
    </xdr:to>
    <xdr:pic>
      <xdr:nvPicPr>
        <xdr:cNvPr id="3" name="图片 2"/>
        <xdr:cNvPicPr/>
      </xdr:nvPicPr>
      <xdr:blipFill>
        <a:blip xmlns:r="http://schemas.openxmlformats.org/officeDocument/2006/relationships" r:embed="rId2" cstate="print"/>
        <a:stretch>
          <a:fillRect/>
        </a:stretch>
      </xdr:blipFill>
      <xdr:spPr>
        <a:xfrm>
          <a:off x="0" y="0"/>
          <a:ext cx="6981824" cy="4591050"/>
        </a:xfrm>
        <a:prstGeom prst="rect">
          <a:avLst/>
        </a:prstGeom>
      </xdr:spPr>
    </xdr:pic>
    <xdr:clientData/>
  </xdr:twoCellAnchor>
  <xdr:twoCellAnchor editAs="oneCell">
    <xdr:from>
      <xdr:col>0</xdr:col>
      <xdr:colOff>0</xdr:colOff>
      <xdr:row>27</xdr:row>
      <xdr:rowOff>95250</xdr:rowOff>
    </xdr:from>
    <xdr:to>
      <xdr:col>10</xdr:col>
      <xdr:colOff>180975</xdr:colOff>
      <xdr:row>61</xdr:row>
      <xdr:rowOff>66674</xdr:rowOff>
    </xdr:to>
    <xdr:pic>
      <xdr:nvPicPr>
        <xdr:cNvPr id="4" name="图片 3"/>
        <xdr:cNvPicPr/>
      </xdr:nvPicPr>
      <xdr:blipFill>
        <a:blip xmlns:r="http://schemas.openxmlformats.org/officeDocument/2006/relationships" r:embed="rId3" cstate="print"/>
        <a:stretch>
          <a:fillRect/>
        </a:stretch>
      </xdr:blipFill>
      <xdr:spPr>
        <a:xfrm>
          <a:off x="0" y="4724400"/>
          <a:ext cx="7038975" cy="5800724"/>
        </a:xfrm>
        <a:prstGeom prst="rect">
          <a:avLst/>
        </a:prstGeom>
      </xdr:spPr>
    </xdr:pic>
    <xdr:clientData/>
  </xdr:twoCellAnchor>
  <xdr:twoCellAnchor editAs="oneCell">
    <xdr:from>
      <xdr:col>0</xdr:col>
      <xdr:colOff>0</xdr:colOff>
      <xdr:row>64</xdr:row>
      <xdr:rowOff>0</xdr:rowOff>
    </xdr:from>
    <xdr:to>
      <xdr:col>10</xdr:col>
      <xdr:colOff>238124</xdr:colOff>
      <xdr:row>88</xdr:row>
      <xdr:rowOff>95250</xdr:rowOff>
    </xdr:to>
    <xdr:pic>
      <xdr:nvPicPr>
        <xdr:cNvPr id="5" name="图片 4"/>
        <xdr:cNvPicPr/>
      </xdr:nvPicPr>
      <xdr:blipFill>
        <a:blip xmlns:r="http://schemas.openxmlformats.org/officeDocument/2006/relationships" r:embed="rId4" cstate="print"/>
        <a:stretch>
          <a:fillRect/>
        </a:stretch>
      </xdr:blipFill>
      <xdr:spPr>
        <a:xfrm>
          <a:off x="0" y="10972800"/>
          <a:ext cx="7096124" cy="4210050"/>
        </a:xfrm>
        <a:prstGeom prst="rect">
          <a:avLst/>
        </a:prstGeom>
      </xdr:spPr>
    </xdr:pic>
    <xdr:clientData/>
  </xdr:twoCellAnchor>
  <xdr:twoCellAnchor editAs="oneCell">
    <xdr:from>
      <xdr:col>0</xdr:col>
      <xdr:colOff>0</xdr:colOff>
      <xdr:row>91</xdr:row>
      <xdr:rowOff>171449</xdr:rowOff>
    </xdr:from>
    <xdr:to>
      <xdr:col>10</xdr:col>
      <xdr:colOff>314324</xdr:colOff>
      <xdr:row>125</xdr:row>
      <xdr:rowOff>47624</xdr:rowOff>
    </xdr:to>
    <xdr:pic>
      <xdr:nvPicPr>
        <xdr:cNvPr id="6" name="图片 5"/>
        <xdr:cNvPicPr/>
      </xdr:nvPicPr>
      <xdr:blipFill>
        <a:blip xmlns:r="http://schemas.openxmlformats.org/officeDocument/2006/relationships" r:embed="rId5" cstate="print"/>
        <a:stretch>
          <a:fillRect/>
        </a:stretch>
      </xdr:blipFill>
      <xdr:spPr>
        <a:xfrm>
          <a:off x="0" y="15773399"/>
          <a:ext cx="7172324" cy="5705475"/>
        </a:xfrm>
        <a:prstGeom prst="rect">
          <a:avLst/>
        </a:prstGeom>
      </xdr:spPr>
    </xdr:pic>
    <xdr:clientData/>
  </xdr:twoCellAnchor>
  <xdr:twoCellAnchor editAs="oneCell">
    <xdr:from>
      <xdr:col>10</xdr:col>
      <xdr:colOff>66675</xdr:colOff>
      <xdr:row>0</xdr:row>
      <xdr:rowOff>0</xdr:rowOff>
    </xdr:from>
    <xdr:to>
      <xdr:col>18</xdr:col>
      <xdr:colOff>666101</xdr:colOff>
      <xdr:row>20</xdr:row>
      <xdr:rowOff>21468</xdr:rowOff>
    </xdr:to>
    <xdr:pic>
      <xdr:nvPicPr>
        <xdr:cNvPr id="7"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6924675" y="0"/>
          <a:ext cx="6085826" cy="3450468"/>
        </a:xfrm>
        <a:prstGeom prst="rect">
          <a:avLst/>
        </a:prstGeom>
        <a:noFill/>
        <a:ln w="1">
          <a:noFill/>
          <a:miter lim="800000"/>
          <a:headEnd/>
          <a:tailEnd type="none" w="med" len="med"/>
        </a:ln>
        <a:effectLst/>
      </xdr:spPr>
    </xdr:pic>
    <xdr:clientData/>
  </xdr:twoCellAnchor>
  <xdr:twoCellAnchor editAs="oneCell">
    <xdr:from>
      <xdr:col>10</xdr:col>
      <xdr:colOff>28575</xdr:colOff>
      <xdr:row>43</xdr:row>
      <xdr:rowOff>85724</xdr:rowOff>
    </xdr:from>
    <xdr:to>
      <xdr:col>15</xdr:col>
      <xdr:colOff>648544</xdr:colOff>
      <xdr:row>63</xdr:row>
      <xdr:rowOff>76199</xdr:rowOff>
    </xdr:to>
    <xdr:pic>
      <xdr:nvPicPr>
        <xdr:cNvPr id="8"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6886575" y="7458074"/>
          <a:ext cx="4048969" cy="3419475"/>
        </a:xfrm>
        <a:prstGeom prst="rect">
          <a:avLst/>
        </a:prstGeom>
        <a:noFill/>
        <a:ln w="1">
          <a:noFill/>
          <a:miter lim="800000"/>
          <a:headEnd/>
          <a:tailEnd type="none" w="med" len="med"/>
        </a:ln>
        <a:effectLst/>
      </xdr:spPr>
    </xdr:pic>
    <xdr:clientData/>
  </xdr:twoCellAnchor>
  <xdr:twoCellAnchor editAs="oneCell">
    <xdr:from>
      <xdr:col>16</xdr:col>
      <xdr:colOff>28575</xdr:colOff>
      <xdr:row>43</xdr:row>
      <xdr:rowOff>92630</xdr:rowOff>
    </xdr:from>
    <xdr:to>
      <xdr:col>21</xdr:col>
      <xdr:colOff>419100</xdr:colOff>
      <xdr:row>64</xdr:row>
      <xdr:rowOff>19050</xdr:rowOff>
    </xdr:to>
    <xdr:pic>
      <xdr:nvPicPr>
        <xdr:cNvPr id="9" name="Picture 2"/>
        <xdr:cNvPicPr>
          <a:picLocks noChangeAspect="1" noChangeArrowheads="1"/>
        </xdr:cNvPicPr>
      </xdr:nvPicPr>
      <xdr:blipFill>
        <a:blip xmlns:r="http://schemas.openxmlformats.org/officeDocument/2006/relationships" r:embed="rId8" cstate="print"/>
        <a:srcRect/>
        <a:stretch>
          <a:fillRect/>
        </a:stretch>
      </xdr:blipFill>
      <xdr:spPr bwMode="auto">
        <a:xfrm>
          <a:off x="11001375" y="7464980"/>
          <a:ext cx="3819525" cy="3526870"/>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11</xdr:col>
      <xdr:colOff>657225</xdr:colOff>
      <xdr:row>10</xdr:row>
      <xdr:rowOff>38100</xdr:rowOff>
    </xdr:to>
    <xdr:pic>
      <xdr:nvPicPr>
        <xdr:cNvPr id="7270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85725"/>
          <a:ext cx="8201025" cy="1666875"/>
        </a:xfrm>
        <a:prstGeom prst="rect">
          <a:avLst/>
        </a:prstGeom>
        <a:noFill/>
        <a:ln w="1">
          <a:noFill/>
          <a:miter lim="800000"/>
          <a:headEnd/>
          <a:tailEnd type="none" w="med" len="med"/>
        </a:ln>
        <a:effectLst/>
      </xdr:spPr>
    </xdr:pic>
    <xdr:clientData/>
  </xdr:twoCellAnchor>
  <xdr:twoCellAnchor editAs="oneCell">
    <xdr:from>
      <xdr:col>0</xdr:col>
      <xdr:colOff>0</xdr:colOff>
      <xdr:row>11</xdr:row>
      <xdr:rowOff>0</xdr:rowOff>
    </xdr:from>
    <xdr:to>
      <xdr:col>11</xdr:col>
      <xdr:colOff>638175</xdr:colOff>
      <xdr:row>20</xdr:row>
      <xdr:rowOff>76200</xdr:rowOff>
    </xdr:to>
    <xdr:pic>
      <xdr:nvPicPr>
        <xdr:cNvPr id="72708"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0" y="4972050"/>
          <a:ext cx="8181975" cy="1619250"/>
        </a:xfrm>
        <a:prstGeom prst="rect">
          <a:avLst/>
        </a:prstGeom>
        <a:noFill/>
        <a:ln w="1">
          <a:noFill/>
          <a:miter lim="800000"/>
          <a:headEnd/>
          <a:tailEnd type="none" w="med" len="med"/>
        </a:ln>
        <a:effectLst/>
      </xdr:spPr>
    </xdr:pic>
    <xdr:clientData/>
  </xdr:twoCellAnchor>
  <xdr:twoCellAnchor editAs="oneCell">
    <xdr:from>
      <xdr:col>0</xdr:col>
      <xdr:colOff>0</xdr:colOff>
      <xdr:row>21</xdr:row>
      <xdr:rowOff>0</xdr:rowOff>
    </xdr:from>
    <xdr:to>
      <xdr:col>11</xdr:col>
      <xdr:colOff>619125</xdr:colOff>
      <xdr:row>30</xdr:row>
      <xdr:rowOff>19050</xdr:rowOff>
    </xdr:to>
    <xdr:pic>
      <xdr:nvPicPr>
        <xdr:cNvPr id="72709"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0" y="4800600"/>
          <a:ext cx="8162925" cy="1562100"/>
        </a:xfrm>
        <a:prstGeom prst="rect">
          <a:avLst/>
        </a:prstGeom>
        <a:noFill/>
        <a:ln w="1">
          <a:noFill/>
          <a:miter lim="800000"/>
          <a:headEnd/>
          <a:tailEnd type="none" w="med" len="med"/>
        </a:ln>
        <a:effectLst/>
      </xdr:spPr>
    </xdr:pic>
    <xdr:clientData/>
  </xdr:twoCellAnchor>
  <xdr:twoCellAnchor editAs="oneCell">
    <xdr:from>
      <xdr:col>0</xdr:col>
      <xdr:colOff>0</xdr:colOff>
      <xdr:row>31</xdr:row>
      <xdr:rowOff>38100</xdr:rowOff>
    </xdr:from>
    <xdr:to>
      <xdr:col>11</xdr:col>
      <xdr:colOff>600075</xdr:colOff>
      <xdr:row>38</xdr:row>
      <xdr:rowOff>85725</xdr:rowOff>
    </xdr:to>
    <xdr:pic>
      <xdr:nvPicPr>
        <xdr:cNvPr id="7"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0" y="5353050"/>
          <a:ext cx="8143875" cy="12477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北京市国有建设用地使用权市场价格预评估</v>
      </c>
      <c r="AX2" s="2875"/>
      <c r="AZ2" s="2875"/>
      <c r="BA2" s="2876"/>
      <c r="BC2" s="2876"/>
    </row>
    <row r="3" spans="1:55" s="2877" customFormat="1">
      <c r="A3" s="2856" t="s">
        <v>2662</v>
      </c>
      <c r="B3" s="2859">
        <f>'预评函-封皮'!B40</f>
        <v>0</v>
      </c>
    </row>
    <row r="4" spans="1:55" s="2858" customFormat="1">
      <c r="A4" s="2856" t="s">
        <v>2663</v>
      </c>
      <c r="B4" s="2857" t="str">
        <f>'预评函-封皮'!B46</f>
        <v>叶凌、杨红英</v>
      </c>
      <c r="N4" s="2858" t="str">
        <f>'预评函-1'!A28</f>
        <v>——</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受贵公司委托，我公司对北京市国有建设用地使用权市场价格进行了预评估。</v>
      </c>
      <c r="AM6" s="2881"/>
    </row>
    <row r="7" spans="1:55" s="2855" customFormat="1">
      <c r="A7" s="2856" t="s">
        <v>2658</v>
      </c>
      <c r="B7" s="2857" t="str">
        <f>'预评函-1'!A6</f>
        <v>估价对象为使用的、位于北京市国有建设用地使用权。根据《国有土地使用证》[]，估价对象（分摊）国有建设用地使用权面积为78298.68平方米。根据《建设工程规划许可证》[]、《出让合同》[]，估价对象规划建筑面积为400500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本次评估为委托估价方了解标的物之市场价格提供参考依据而评估国有建设用地使用权市场价格。</v>
      </c>
    </row>
    <row r="10" spans="1:55" s="2855" customFormat="1">
      <c r="A10" s="2856" t="s">
        <v>2660</v>
      </c>
      <c r="B10" s="2857" t="str">
        <f>'预评函-1'!A11</f>
        <v>2018年10月15日</v>
      </c>
    </row>
    <row r="11" spans="1:55" s="2855" customFormat="1">
      <c r="A11" s="2856" t="s">
        <v>2666</v>
      </c>
      <c r="B11" s="2857" t="str">
        <f>'预评函-1'!A14</f>
        <v>根据《国有土地使用证》[]，本次评估估价对象证载（地类）用途为。</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根据《国有土地使用证》[]，估价对象（分摊）出让国有建设用地使用权面积为78298.68平方米。根据《建设工程规划许可证》[]、《出让合同》[]，估价对象规划建筑面积为400500平方米。</v>
      </c>
    </row>
    <row r="16" spans="1:55" s="2855" customFormat="1">
      <c r="A16" s="2856" t="s">
        <v>2670</v>
      </c>
      <c r="B16" s="2857" t="str">
        <f>'预评函-1'!A22</f>
        <v>本次估价对象国有建设用地使用权类型为划拨，无土地使用年限限制。</v>
      </c>
    </row>
    <row r="17" spans="1:48" s="2855" customFormat="1">
      <c r="A17" s="2856" t="s">
        <v>2671</v>
      </c>
      <c r="B17" s="2857" t="str">
        <f>'预评函-1'!A23</f>
        <v/>
      </c>
    </row>
    <row r="18" spans="1:48" s="2855" customFormat="1">
      <c r="A18" s="2856" t="s">
        <v>2672</v>
      </c>
      <c r="B18" s="2857"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2018年10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855" customFormat="1">
      <c r="A19" s="2856" t="s">
        <v>2673</v>
      </c>
      <c r="B19" s="2857" t="str">
        <f>'预评函-1'!A26</f>
        <v>——</v>
      </c>
    </row>
    <row r="20" spans="1:48" s="2855" customFormat="1">
      <c r="A20" s="2856" t="s">
        <v>2674</v>
      </c>
      <c r="B20" s="2857" t="str">
        <f>'预评函-1'!A27</f>
        <v>——</v>
      </c>
    </row>
    <row r="21" spans="1:48" s="2871" customFormat="1" ht="15" thickBot="1">
      <c r="A21" s="2878" t="s">
        <v>2675</v>
      </c>
      <c r="B21" s="2879" t="str">
        <f>'预评函-1'!A28</f>
        <v>——</v>
      </c>
    </row>
    <row r="22" spans="1:48" ht="15" thickTop="1">
      <c r="A22" s="2867" t="s">
        <v>2676</v>
      </c>
      <c r="B22" s="2868"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国有建设用地使用权预评估价格详见估价结果一览表。</v>
      </c>
    </row>
    <row r="23" spans="1:48">
      <c r="A23" s="2856" t="s">
        <v>2677</v>
      </c>
      <c r="B23" s="2857" t="str">
        <f>'预评函-2'!K2</f>
        <v>估价期日：2018年10月15日</v>
      </c>
    </row>
    <row r="24" spans="1:48">
      <c r="A24" s="2856" t="s">
        <v>2678</v>
      </c>
      <c r="B24" s="2857" t="str">
        <f>'预评函-2'!R2</f>
        <v>估价期日的国有建设用地使用权性质：</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f>'预评函-2'!E5</f>
        <v>0</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t="str">
        <f>'预评函-2'!M5</f>
        <v>——</v>
      </c>
    </row>
    <row r="42" spans="1:2">
      <c r="A42" s="2856" t="s">
        <v>2740</v>
      </c>
      <c r="B42" s="2857" t="str">
        <f>'预评函-2'!N3</f>
        <v>（分摊）国有建设用地使用权面积/㎡</v>
      </c>
    </row>
    <row r="43" spans="1:2">
      <c r="A43" s="2856" t="s">
        <v>2722</v>
      </c>
      <c r="B43" s="2857">
        <f>'预评函-2'!N5</f>
        <v>78298.679999999993</v>
      </c>
    </row>
    <row r="44" spans="1:2">
      <c r="A44" s="2856" t="s">
        <v>2741</v>
      </c>
      <c r="B44" s="2857" t="str">
        <f>'预评函-2'!O3</f>
        <v>规划建筑面积/㎡</v>
      </c>
    </row>
    <row r="45" spans="1:2">
      <c r="A45" s="2856" t="s">
        <v>2723</v>
      </c>
      <c r="B45" s="2857">
        <f>'预评函-2'!O5</f>
        <v>400500</v>
      </c>
    </row>
    <row r="46" spans="1:2">
      <c r="A46" s="2856" t="s">
        <v>2724</v>
      </c>
      <c r="B46" s="2857">
        <f ca="1">'预评函-2'!P5</f>
        <v>77614</v>
      </c>
    </row>
    <row r="47" spans="1:2">
      <c r="A47" s="2856" t="s">
        <v>2725</v>
      </c>
      <c r="B47" s="2857">
        <f ca="1">'预评函-2'!Q5</f>
        <v>15174</v>
      </c>
    </row>
    <row r="48" spans="1:2">
      <c r="A48" s="2856" t="s">
        <v>2726</v>
      </c>
      <c r="B48" s="2857">
        <f ca="1">'预评函-2'!R5</f>
        <v>607711</v>
      </c>
    </row>
    <row r="49" spans="1:2">
      <c r="A49" s="2856" t="s">
        <v>2742</v>
      </c>
      <c r="B49" s="2857" t="str">
        <f>'预评函-2'!A6</f>
        <v>——</v>
      </c>
    </row>
    <row r="50" spans="1:2">
      <c r="A50" s="2856" t="s">
        <v>2727</v>
      </c>
      <c r="B50" s="2857" t="str">
        <f>'预评函-2'!R6</f>
        <v>——</v>
      </c>
    </row>
    <row r="51" spans="1:2">
      <c r="A51" s="2856" t="s">
        <v>2743</v>
      </c>
      <c r="B51" s="2857" t="str">
        <f>'预评函-2'!A7</f>
        <v>——</v>
      </c>
    </row>
    <row r="52" spans="1:2">
      <c r="A52" s="2856" t="s">
        <v>2728</v>
      </c>
      <c r="B52" s="2857" t="str">
        <f>'预评函-2'!R7</f>
        <v>——</v>
      </c>
    </row>
    <row r="53" spans="1:2">
      <c r="A53" s="2856" t="s">
        <v>2744</v>
      </c>
      <c r="B53" s="2857" t="str">
        <f>'预评函-2'!A8</f>
        <v>——</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2.本次评估设定估价对象宗地权属无争议，未被查封或者以其他形式限制其房地产权利，未设定抵押权等他项权利，不涉及第三方权利义务。</v>
      </c>
    </row>
    <row r="60" spans="1:2">
      <c r="A60" s="2856" t="s">
        <v>2683</v>
      </c>
      <c r="B60" s="2857" t="str">
        <f>'预评函-3'!A9</f>
        <v>——</v>
      </c>
    </row>
    <row r="61" spans="1:2">
      <c r="A61" s="2856" t="s">
        <v>2685</v>
      </c>
      <c r="B61" s="2857" t="str">
        <f>'预评函-3'!A10</f>
        <v>——</v>
      </c>
    </row>
    <row r="62" spans="1:2">
      <c r="A62" s="2856" t="s">
        <v>2684</v>
      </c>
      <c r="B62" s="2857" t="str">
        <f>'预评函-3'!A11</f>
        <v>——</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v>
      </c>
    </row>
    <row r="66" spans="1:2">
      <c r="A66" s="2856" t="s">
        <v>2689</v>
      </c>
      <c r="B66" s="286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叶凌</v>
      </c>
    </row>
    <row r="70" spans="1:2">
      <c r="A70" s="2856" t="s">
        <v>2691</v>
      </c>
      <c r="B70" s="2863">
        <f ca="1">'预评函-3'!B20</f>
        <v>94010078</v>
      </c>
    </row>
    <row r="71" spans="1:2">
      <c r="A71" s="2856" t="s">
        <v>2692</v>
      </c>
      <c r="B71" s="2857" t="str">
        <f>'预评函-3'!A21</f>
        <v>杨红英</v>
      </c>
    </row>
    <row r="72" spans="1:2" s="2871" customFormat="1" ht="15" thickBot="1">
      <c r="A72" s="2878" t="s">
        <v>2692</v>
      </c>
      <c r="B72" s="2884">
        <f ca="1">'预评函-3'!B21</f>
        <v>2004110128</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2787</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topLeftCell="A16" zoomScale="90" zoomScaleNormal="100" zoomScaleSheetLayoutView="90" workbookViewId="0">
      <selection activeCell="C45" sqref="C45"/>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1938</v>
      </c>
      <c r="B1" s="3302" t="str">
        <f>IF(B10="北京市","北京市",C10)&amp;F10&amp;B16&amp;"国有建设用地使用权"&amp;B9&amp;"预评估"</f>
        <v>北京市国有建设用地使用权市场价格预评估</v>
      </c>
      <c r="C1" s="3303"/>
      <c r="D1" s="3303"/>
      <c r="E1" s="3303"/>
      <c r="F1" s="3303"/>
      <c r="G1" s="3303"/>
      <c r="H1" s="3303"/>
      <c r="I1" s="3304"/>
      <c r="J1" s="1692"/>
      <c r="K1" s="2433" t="str">
        <f>IF(B10="北京市","北京市",C10)&amp;F10&amp;B16&amp;"国有建设用地使用权"&amp;B9</f>
        <v>北京市国有建设用地使用权市场价格</v>
      </c>
      <c r="L1" s="1721"/>
      <c r="M1" s="1721"/>
      <c r="N1" s="1692"/>
      <c r="O1" s="1693"/>
      <c r="P1" s="1692"/>
      <c r="Q1" s="1692"/>
      <c r="R1" s="1692"/>
      <c r="S1" s="1692"/>
      <c r="T1" s="1692"/>
      <c r="U1" s="1692"/>
    </row>
    <row r="2" spans="1:21">
      <c r="A2" s="1658" t="s">
        <v>1939</v>
      </c>
      <c r="B2" s="1840"/>
      <c r="D2" s="1692"/>
      <c r="E2" s="1692"/>
      <c r="F2" s="1692"/>
      <c r="G2" s="1692"/>
      <c r="H2" s="1658"/>
      <c r="I2" s="1693"/>
      <c r="J2" s="1692"/>
      <c r="K2" s="2433" t="str">
        <f>IF(B10="北京市","北京市",C10)&amp;F10&amp;B16&amp;"国有建设用地使用权"</f>
        <v>北京市国有建设用地使用权</v>
      </c>
      <c r="L2" s="1721"/>
      <c r="M2" s="1721"/>
      <c r="N2" s="1692"/>
      <c r="O2" s="1693"/>
      <c r="P2" s="1692"/>
      <c r="Q2" s="1692"/>
      <c r="R2" s="1692"/>
      <c r="S2" s="1692"/>
      <c r="T2" s="1692"/>
      <c r="U2" s="1692"/>
    </row>
    <row r="3" spans="1:21">
      <c r="A3" s="1659" t="s">
        <v>1940</v>
      </c>
      <c r="B3" s="1660">
        <v>43463</v>
      </c>
      <c r="C3" s="1661" t="s">
        <v>1996</v>
      </c>
      <c r="D3" s="1660">
        <v>43388</v>
      </c>
      <c r="E3" s="1692"/>
      <c r="F3" s="1692"/>
      <c r="G3" s="1692"/>
      <c r="H3" s="1658"/>
      <c r="I3" s="1693"/>
      <c r="J3" s="1692"/>
      <c r="K3" s="1772"/>
      <c r="L3" s="1721"/>
      <c r="M3" s="1721"/>
      <c r="N3" s="1692"/>
      <c r="O3" s="1693"/>
      <c r="P3" s="1692"/>
      <c r="Q3" s="1692"/>
      <c r="R3" s="1692"/>
      <c r="S3" s="1692"/>
      <c r="T3" s="1692"/>
      <c r="U3" s="1692"/>
    </row>
    <row r="4" spans="1:21" ht="15" thickBot="1">
      <c r="A4" s="1662" t="s">
        <v>1941</v>
      </c>
      <c r="B4" s="1841" t="s">
        <v>2995</v>
      </c>
      <c r="C4" s="1844">
        <f ca="1">SUMIF(土地估价师,B4,估价师及机构信息!E3:E24)</f>
        <v>94010078</v>
      </c>
      <c r="D4" s="1841" t="s">
        <v>2996</v>
      </c>
      <c r="E4" s="1844">
        <f ca="1">SUMIF(土地估价师,D4,估价师及机构信息!E3:E24)</f>
        <v>2004110128</v>
      </c>
      <c r="F4" s="1841" t="s">
        <v>952</v>
      </c>
      <c r="G4" s="1844">
        <f>SUMIF(土地估价师,F4,估价师及机构信息!E3:E24)</f>
        <v>0</v>
      </c>
      <c r="H4" s="1841" t="s">
        <v>952</v>
      </c>
      <c r="I4" s="1844">
        <f>SUMIF(土地估价师,H4,估价师及机构信息!E3:E24)</f>
        <v>0</v>
      </c>
      <c r="J4" s="1692"/>
      <c r="K4" s="2433" t="str">
        <f>IF(AND(F4="——",H4="——"),B4&amp;"、"&amp;D4,IF(AND(F4&lt;&gt;"——",H4="——"),B4&amp;"、"&amp;D4&amp;"、"&amp;F4,B4&amp;"、"&amp;D4&amp;"、"&amp;F4&amp;"、"&amp;H4))</f>
        <v>叶凌、杨红英</v>
      </c>
      <c r="L4" s="1721"/>
      <c r="M4" s="1721"/>
      <c r="N4" s="1692"/>
      <c r="O4" s="1693"/>
      <c r="P4" s="1692"/>
      <c r="Q4" s="1692"/>
      <c r="R4" s="1692"/>
      <c r="S4" s="1692"/>
      <c r="T4" s="1692"/>
      <c r="U4" s="1692"/>
    </row>
    <row r="5" spans="1:21" ht="15" thickTop="1">
      <c r="A5" s="1663" t="s">
        <v>1942</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2707</v>
      </c>
      <c r="B6" s="1787"/>
      <c r="C6" s="1759"/>
      <c r="D6" s="1666"/>
      <c r="E6" s="1692"/>
      <c r="F6" s="1692"/>
      <c r="G6" s="1692"/>
      <c r="H6" s="1658"/>
      <c r="I6" s="1693"/>
      <c r="J6" s="1692"/>
      <c r="K6" s="3031" t="str">
        <f>IF(COUNTIF(B6,"*上海银行*"),"上海银行","")</f>
        <v/>
      </c>
      <c r="L6" s="1721"/>
      <c r="M6" s="1721"/>
      <c r="N6" s="1692"/>
      <c r="O6" s="1693"/>
      <c r="P6" s="1692"/>
      <c r="Q6" s="1692"/>
      <c r="R6" s="1692"/>
      <c r="S6" s="1692"/>
      <c r="T6" s="1692"/>
      <c r="U6" s="1692"/>
    </row>
    <row r="7" spans="1:21">
      <c r="A7" s="1667" t="s">
        <v>2708</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t="s">
        <v>2997</v>
      </c>
      <c r="C8" s="1669"/>
      <c r="D8" s="3308" t="s">
        <v>1945</v>
      </c>
      <c r="E8" s="1842"/>
      <c r="F8" s="1670"/>
      <c r="G8" s="1658"/>
      <c r="H8" s="1658"/>
      <c r="I8" s="1705"/>
      <c r="J8" s="1692"/>
      <c r="K8" s="1772"/>
      <c r="L8" s="1721"/>
      <c r="M8" s="1721"/>
      <c r="N8" s="1692"/>
      <c r="O8" s="1693"/>
      <c r="P8" s="1692"/>
      <c r="Q8" s="1692"/>
      <c r="R8" s="1692"/>
      <c r="S8" s="1692"/>
      <c r="T8" s="1692"/>
      <c r="U8" s="1692"/>
    </row>
    <row r="9" spans="1:21" ht="15" thickBot="1">
      <c r="A9" s="1671" t="s">
        <v>1944</v>
      </c>
      <c r="B9" s="1672" t="s">
        <v>2998</v>
      </c>
      <c r="C9" s="1673"/>
      <c r="D9" s="3309"/>
      <c r="E9" s="1672"/>
      <c r="F9" s="1745"/>
      <c r="G9" s="1740"/>
      <c r="H9" s="1740"/>
      <c r="I9" s="1741"/>
      <c r="J9" s="1692"/>
      <c r="K9" s="1772"/>
      <c r="L9" s="1721"/>
      <c r="M9" s="1721"/>
      <c r="N9" s="1692"/>
      <c r="O9" s="1693"/>
      <c r="P9" s="1692"/>
      <c r="Q9" s="1692"/>
      <c r="R9" s="1692"/>
      <c r="S9" s="1692"/>
      <c r="T9" s="1692"/>
      <c r="U9" s="1692"/>
    </row>
    <row r="10" spans="1:21" ht="15" thickTop="1">
      <c r="A10" s="1742" t="s">
        <v>2000</v>
      </c>
      <c r="B10" s="3178" t="s">
        <v>1946</v>
      </c>
      <c r="C10" s="1674"/>
      <c r="D10" s="1665"/>
      <c r="E10" s="1675" t="s">
        <v>1947</v>
      </c>
      <c r="F10" s="1676"/>
      <c r="G10" s="1743"/>
      <c r="H10" s="1744"/>
      <c r="I10" s="1665"/>
      <c r="J10" s="1692"/>
      <c r="K10" s="1772"/>
      <c r="L10" s="1721"/>
      <c r="M10" s="1721"/>
      <c r="N10" s="1692"/>
      <c r="O10" s="1693"/>
      <c r="P10" s="1692"/>
      <c r="Q10" s="1692"/>
      <c r="R10" s="1692"/>
      <c r="S10" s="1692"/>
      <c r="T10" s="1692"/>
      <c r="U10" s="1692"/>
    </row>
    <row r="11" spans="1:21">
      <c r="A11" s="1695" t="s">
        <v>2001</v>
      </c>
      <c r="B11" s="1696" t="s">
        <v>2999</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305"/>
      <c r="C12" s="3306"/>
      <c r="D12" s="3307"/>
      <c r="E12" s="1697" t="s">
        <v>2062</v>
      </c>
      <c r="F12" s="3323" t="s">
        <v>2888</v>
      </c>
      <c r="G12" s="3324"/>
      <c r="H12" s="3324"/>
      <c r="I12" s="3325"/>
      <c r="J12" s="1692"/>
      <c r="K12" s="1772"/>
      <c r="L12" s="1721"/>
      <c r="M12" s="1721"/>
      <c r="N12" s="1692"/>
      <c r="O12" s="1693"/>
      <c r="P12" s="1692"/>
      <c r="Q12" s="1692"/>
      <c r="R12" s="1692"/>
      <c r="S12" s="1692"/>
      <c r="T12" s="1692"/>
      <c r="U12" s="1692"/>
    </row>
    <row r="13" spans="1:21">
      <c r="A13" s="1685" t="s">
        <v>2060</v>
      </c>
      <c r="B13" s="3305"/>
      <c r="C13" s="3306"/>
      <c r="D13" s="3307"/>
      <c r="E13" s="1697" t="s">
        <v>2062</v>
      </c>
      <c r="F13" s="3323" t="s">
        <v>2889</v>
      </c>
      <c r="G13" s="3324"/>
      <c r="H13" s="3324"/>
      <c r="I13" s="3325"/>
      <c r="J13" s="1692"/>
      <c r="K13" s="1772"/>
      <c r="L13" s="1721"/>
      <c r="M13" s="1721"/>
      <c r="N13" s="1692"/>
      <c r="O13" s="1693"/>
      <c r="P13" s="1692"/>
      <c r="Q13" s="1692"/>
      <c r="R13" s="1692"/>
      <c r="S13" s="1692"/>
      <c r="T13" s="1692"/>
      <c r="U13" s="1692"/>
    </row>
    <row r="14" spans="1:21">
      <c r="A14" s="1659" t="s">
        <v>2063</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23"/>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42.75">
      <c r="A16" s="1678" t="s">
        <v>1948</v>
      </c>
      <c r="B16" s="1679"/>
      <c r="C16" s="1697" t="s">
        <v>1949</v>
      </c>
      <c r="D16" s="2624" t="s">
        <v>1950</v>
      </c>
      <c r="E16" s="1720" t="s">
        <v>3000</v>
      </c>
      <c r="F16" s="1720" t="s">
        <v>1678</v>
      </c>
      <c r="G16" s="1720"/>
      <c r="H16" s="1720"/>
      <c r="I16" s="1684" t="s">
        <v>1955</v>
      </c>
      <c r="J16" s="1692"/>
      <c r="K16" s="2434" t="str">
        <f>IF(D17="","",D16&amp;TEXT(D17,"yyyy年m月d日;;"))</f>
        <v/>
      </c>
      <c r="L16" s="1697" t="str">
        <f>IF(OR(K16="",M16=""),"","、")</f>
        <v/>
      </c>
      <c r="M16" s="2434" t="str">
        <f>IF(E17="","",E16&amp;TEXT(E17,"yyyy年m月d日;;"))</f>
        <v>商业2058年10月15日</v>
      </c>
      <c r="N16" s="1697" t="str">
        <f>IF(OR(M16="",O16=""),"","、")</f>
        <v>、</v>
      </c>
      <c r="O16" s="2434" t="str">
        <f>IF(F17="","",F16&amp;TEXT(F17,"yyyy年m月d日;;"))</f>
        <v>办公2068年10月15日</v>
      </c>
      <c r="P16" s="1697" t="str">
        <f>IF(OR(O16="",Q16=""),"","、")</f>
        <v/>
      </c>
      <c r="Q16" s="2434" t="str">
        <f>IF(G17="","",G16&amp;TEXT(G17,"yyyy年m月d日;;"))</f>
        <v/>
      </c>
      <c r="R16" s="1697" t="str">
        <f>IF(OR(Q16="",S16=""),"","、")</f>
        <v/>
      </c>
      <c r="S16" s="2434" t="str">
        <f>IF(H17="","",H16&amp;TEXT(H17,"yyyy年m月d日;;"))</f>
        <v/>
      </c>
      <c r="T16" s="1697" t="str">
        <f>IF(OR(S16="",U16=""),"","、")</f>
        <v/>
      </c>
      <c r="U16" s="2434" t="str">
        <f>IF(I17="","",I16&amp;TEXT(I17,"yyyy年m月d日;;"))</f>
        <v/>
      </c>
    </row>
    <row r="17" spans="1:21">
      <c r="A17" s="1761"/>
      <c r="B17" s="1680"/>
      <c r="C17" s="1681" t="s">
        <v>1956</v>
      </c>
      <c r="D17" s="1698"/>
      <c r="E17" s="1698">
        <v>57998</v>
      </c>
      <c r="F17" s="1698">
        <v>61651</v>
      </c>
      <c r="G17" s="1698"/>
      <c r="H17" s="1698"/>
      <c r="I17" s="1698"/>
      <c r="J17" s="1692"/>
      <c r="K17" s="2433" t="str">
        <f>CONCATENATE(K16,L16,M16,N16,O16,P16,Q16,R16,S16,T16,,U16)</f>
        <v>商业2058年10月15日、办公2068年10月15日</v>
      </c>
      <c r="L17" s="1721"/>
      <c r="M17" s="1721"/>
      <c r="N17" s="1692"/>
      <c r="O17" s="1693"/>
      <c r="P17" s="1692"/>
      <c r="Q17" s="1692"/>
      <c r="R17" s="1692"/>
      <c r="S17" s="1692"/>
      <c r="T17" s="1692"/>
      <c r="U17" s="1692"/>
    </row>
    <row r="18" spans="1:21">
      <c r="A18" s="1761"/>
      <c r="B18" s="1680"/>
      <c r="C18" s="1681" t="s">
        <v>1957</v>
      </c>
      <c r="D18" s="1682"/>
      <c r="E18" s="1682">
        <v>40</v>
      </c>
      <c r="F18" s="1682">
        <v>50</v>
      </c>
      <c r="G18" s="1682"/>
      <c r="H18" s="1682"/>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0</v>
      </c>
      <c r="E19" s="1683">
        <f>IF(B16="出让",IF(E17="","",ROUNDDOWN(MIN((E17-$D$3)/365,E18),2)),E18)</f>
        <v>40</v>
      </c>
      <c r="F19" s="1683">
        <f>IF(B16="出让",IF(F17="","",ROUNDDOWN(MIN((F17-$D$3)/365,F18),2)),F18)</f>
        <v>50</v>
      </c>
      <c r="G19" s="1683">
        <f>IF(B16="出让",IF(G17="","",ROUNDDOWN(MIN((G17-$D$3)/365,G18),2)),G18)</f>
        <v>0</v>
      </c>
      <c r="H19" s="1683">
        <f>IF(B16="出让",IF(H17="","",ROUNDDOWN(MIN((H17-$D$3)/365,H18),2)),H18)</f>
        <v>0</v>
      </c>
      <c r="I19" s="1683">
        <f>IF(B16="出让",IF(I17="","",ROUNDDOWN(MIN((I17-$D$3)/365,I18),2)),I18)</f>
        <v>0</v>
      </c>
      <c r="J19" s="1692"/>
      <c r="K19" s="1772"/>
      <c r="L19" s="1721"/>
      <c r="M19" s="1721"/>
      <c r="N19" s="1692"/>
      <c r="O19" s="1693"/>
      <c r="P19" s="1692"/>
      <c r="Q19" s="1692"/>
      <c r="R19" s="1692"/>
      <c r="S19" s="1692"/>
      <c r="T19" s="1692"/>
      <c r="U19" s="1692"/>
    </row>
    <row r="20" spans="1:21">
      <c r="A20" s="1784"/>
      <c r="B20" s="1785"/>
      <c r="C20" s="1786" t="s">
        <v>2061</v>
      </c>
      <c r="D20" s="3320"/>
      <c r="E20" s="3321"/>
      <c r="F20" s="3321"/>
      <c r="G20" s="3321"/>
      <c r="H20" s="3321"/>
      <c r="I20" s="3322"/>
      <c r="J20" s="1692"/>
      <c r="K20" s="1772"/>
      <c r="L20" s="1721"/>
      <c r="M20" s="1721"/>
      <c r="N20" s="1692"/>
      <c r="O20" s="1693"/>
      <c r="P20" s="1692"/>
      <c r="Q20" s="1692"/>
      <c r="R20" s="1692"/>
      <c r="S20" s="1692"/>
      <c r="T20" s="1692"/>
      <c r="U20" s="1692"/>
    </row>
    <row r="21" spans="1:21">
      <c r="A21" s="1761" t="s">
        <v>1959</v>
      </c>
      <c r="B21" s="1762" t="s">
        <v>1960</v>
      </c>
      <c r="C21" s="1757">
        <f>'数据-汇总表'!E3</f>
        <v>400500</v>
      </c>
      <c r="D21" s="1758" t="s">
        <v>1961</v>
      </c>
      <c r="E21" s="3310" t="s">
        <v>1999</v>
      </c>
      <c r="F21" s="3311"/>
      <c r="G21" s="3311"/>
      <c r="H21" s="3311"/>
      <c r="I21" s="3312"/>
      <c r="J21" s="1692"/>
      <c r="K21" s="1772"/>
      <c r="L21" s="1721"/>
      <c r="M21" s="1721"/>
      <c r="N21" s="1692"/>
      <c r="O21" s="1693"/>
      <c r="P21" s="1692"/>
      <c r="Q21" s="1692"/>
      <c r="R21" s="1692"/>
      <c r="S21" s="1692"/>
      <c r="T21" s="1692"/>
      <c r="U21" s="1692"/>
    </row>
    <row r="22" spans="1:21">
      <c r="A22" s="3123" t="s">
        <v>952</v>
      </c>
      <c r="B22" s="1659" t="s">
        <v>1962</v>
      </c>
      <c r="C22" s="1684">
        <f>'数据-汇总表'!D3</f>
        <v>78298.679999999993</v>
      </c>
      <c r="D22" s="1685" t="s">
        <v>1961</v>
      </c>
      <c r="E22" s="3310" t="s">
        <v>2890</v>
      </c>
      <c r="F22" s="3311"/>
      <c r="G22" s="3311"/>
      <c r="H22" s="3311"/>
      <c r="I22" s="3312"/>
      <c r="J22" s="1692"/>
      <c r="K22" s="1772"/>
      <c r="L22" s="1721"/>
      <c r="M22" s="1721"/>
      <c r="N22" s="1692"/>
      <c r="O22" s="1693"/>
      <c r="P22" s="1692"/>
      <c r="Q22" s="1692"/>
      <c r="R22" s="1692"/>
      <c r="S22" s="1692"/>
      <c r="T22" s="1692"/>
      <c r="U22" s="1692"/>
    </row>
    <row r="23" spans="1:21" ht="43.5" thickBot="1">
      <c r="A23" s="1763" t="s">
        <v>1963</v>
      </c>
      <c r="B23" s="1699" t="s">
        <v>1964</v>
      </c>
      <c r="C23" s="1700"/>
      <c r="D23" s="1701" t="s">
        <v>1965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313" t="s">
        <v>1967</v>
      </c>
      <c r="C24" s="3314"/>
      <c r="D24" s="3315" t="s">
        <v>1968</v>
      </c>
      <c r="E24" s="3316"/>
      <c r="F24" s="1706" t="s">
        <v>1969</v>
      </c>
      <c r="G24" s="1692"/>
      <c r="H24" s="1692"/>
      <c r="I24" s="1705"/>
      <c r="J24" s="1692"/>
      <c r="K24" s="3301" t="s">
        <v>1970</v>
      </c>
      <c r="L24" s="24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2326</v>
      </c>
      <c r="C25" s="1707" t="s">
        <v>1971</v>
      </c>
      <c r="D25" s="1708"/>
      <c r="E25" s="1709" t="s">
        <v>952</v>
      </c>
      <c r="F25" s="1710"/>
      <c r="G25" s="1692"/>
      <c r="H25" s="1692"/>
      <c r="I25" s="1705"/>
      <c r="J25" s="1692"/>
      <c r="K25" s="3301"/>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1972</v>
      </c>
      <c r="C26" s="1707" t="s">
        <v>2327</v>
      </c>
      <c r="D26" s="1658"/>
      <c r="E26" s="1658"/>
      <c r="F26" s="1686"/>
      <c r="G26" s="1692"/>
      <c r="H26" s="1692"/>
      <c r="I26" s="1705"/>
      <c r="J26" s="1692"/>
      <c r="K26" s="3301"/>
      <c r="L26" s="2435" t="str">
        <f>IF(E24="否","",IF('结果表-办公'!H33="同一抵押权人同一抵押物续贷","由于本次评估为同一抵押权人的续贷土地抵押估价，故未将已抵押担保的债权数额（"&amp;C31&amp;"）作为法定优先受偿款予以扣减。",IF('结果表-办公'!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29"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30"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30"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31"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87" t="s">
        <v>2002</v>
      </c>
      <c r="B31" s="1762" t="s">
        <v>2003</v>
      </c>
      <c r="C31" s="3326"/>
      <c r="D31" s="3327"/>
      <c r="E31" s="1692"/>
      <c r="F31" s="1692"/>
      <c r="G31" s="1692"/>
      <c r="H31" s="1692"/>
      <c r="I31" s="1705"/>
      <c r="J31" s="1692"/>
      <c r="K31" s="2436"/>
      <c r="L31" s="1692"/>
      <c r="M31" s="1692"/>
      <c r="N31" s="1692"/>
      <c r="O31" s="1692"/>
      <c r="P31" s="1692"/>
      <c r="Q31" s="1692"/>
      <c r="R31" s="1692"/>
      <c r="S31" s="1692"/>
      <c r="T31" s="1692"/>
      <c r="U31" s="1692"/>
    </row>
    <row r="32" spans="1:21">
      <c r="A32" s="3287"/>
      <c r="B32" s="1659" t="s">
        <v>2004</v>
      </c>
      <c r="C32" s="1717"/>
      <c r="D32" s="1718"/>
      <c r="E32" s="1692"/>
      <c r="F32" s="1692"/>
      <c r="G32" s="1692"/>
      <c r="H32" s="1692"/>
      <c r="I32" s="1705"/>
      <c r="J32" s="1692"/>
      <c r="K32" s="2436"/>
      <c r="L32" s="1692"/>
      <c r="M32" s="1692"/>
      <c r="N32" s="1692"/>
      <c r="O32" s="1692"/>
      <c r="P32" s="1692"/>
      <c r="Q32" s="1692"/>
      <c r="R32" s="1692"/>
      <c r="S32" s="1692"/>
      <c r="T32" s="1692"/>
      <c r="U32" s="1692"/>
    </row>
    <row r="33" spans="1:21">
      <c r="A33" s="3287"/>
      <c r="B33" s="1659" t="s">
        <v>2005</v>
      </c>
      <c r="C33" s="1719"/>
      <c r="D33" s="1836"/>
      <c r="E33" s="1692"/>
      <c r="F33" s="1692"/>
      <c r="G33" s="1692"/>
      <c r="H33" s="1692"/>
      <c r="I33" s="1705"/>
      <c r="J33" s="1692"/>
      <c r="K33" s="2436"/>
      <c r="L33" s="1692"/>
      <c r="M33" s="1692"/>
      <c r="N33" s="1692"/>
      <c r="O33" s="1692"/>
      <c r="P33" s="1692"/>
      <c r="Q33" s="1692"/>
      <c r="R33" s="1692"/>
      <c r="S33" s="1692"/>
      <c r="T33" s="1692"/>
      <c r="U33" s="1692"/>
    </row>
    <row r="34" spans="1:21">
      <c r="A34" s="3288"/>
      <c r="B34" s="1659" t="s">
        <v>2006</v>
      </c>
      <c r="C34" s="3289"/>
      <c r="D34" s="3290"/>
      <c r="E34" s="1692"/>
      <c r="F34" s="1692"/>
      <c r="G34" s="1692"/>
      <c r="H34" s="1692"/>
      <c r="I34" s="1705"/>
      <c r="J34" s="1692"/>
      <c r="K34" s="2436"/>
      <c r="L34" s="1692"/>
      <c r="M34" s="1692"/>
      <c r="N34" s="1692"/>
      <c r="O34" s="1692"/>
      <c r="P34" s="1692"/>
      <c r="Q34" s="1692"/>
      <c r="R34" s="1692"/>
      <c r="S34" s="1692"/>
      <c r="T34" s="1692"/>
      <c r="U34" s="1692"/>
    </row>
    <row r="35" spans="1:21">
      <c r="A35" s="3291" t="s">
        <v>847</v>
      </c>
      <c r="B35" s="1720"/>
      <c r="C35" s="1774" t="str">
        <f>IF(B35="场地平整","——","具体情况：")</f>
        <v>具体情况：</v>
      </c>
      <c r="D35" s="3293"/>
      <c r="E35" s="3294"/>
      <c r="F35" s="3294"/>
      <c r="G35" s="3294"/>
      <c r="H35" s="3294"/>
      <c r="I35" s="3295"/>
      <c r="J35" s="1692"/>
      <c r="K35" s="1773"/>
      <c r="L35" s="1721"/>
      <c r="M35" s="1721"/>
      <c r="N35" s="1692"/>
      <c r="O35" s="1693"/>
      <c r="P35" s="1692"/>
      <c r="Q35" s="1692"/>
      <c r="R35" s="1692"/>
      <c r="S35" s="1692"/>
      <c r="T35" s="1692"/>
      <c r="U35" s="1692"/>
    </row>
    <row r="36" spans="1:21">
      <c r="A36" s="3287"/>
      <c r="B36" s="3296" t="s">
        <v>2055</v>
      </c>
      <c r="C36" s="3297"/>
      <c r="D36" s="1790"/>
      <c r="E36" s="3298"/>
      <c r="F36" s="3298"/>
      <c r="G36" s="1685" t="str">
        <f>IF(B35="场地未平整","估价结果处理","")</f>
        <v/>
      </c>
      <c r="H36" s="3299"/>
      <c r="I36" s="3299"/>
      <c r="J36" s="1692"/>
      <c r="K36" s="1773"/>
      <c r="L36" s="1721"/>
      <c r="M36" s="1721"/>
      <c r="N36" s="1692"/>
      <c r="O36" s="1693"/>
      <c r="P36" s="1692"/>
      <c r="Q36" s="1692"/>
      <c r="R36" s="1692"/>
      <c r="S36" s="1692"/>
      <c r="T36" s="1692"/>
      <c r="U36" s="1692"/>
    </row>
    <row r="37" spans="1:21" ht="28.5">
      <c r="A37" s="3287"/>
      <c r="B37" s="3317"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87"/>
      <c r="B38" s="3318"/>
      <c r="C38" s="1667" t="s">
        <v>850</v>
      </c>
      <c r="D38" s="1789">
        <f>ROUNDDOWN(MIN(('数据-取费表'!$B$2-D37)/365,D34),1)</f>
        <v>118.8</v>
      </c>
      <c r="E38" s="1725" t="s">
        <v>851</v>
      </c>
      <c r="F38" s="1692"/>
      <c r="G38" s="1692"/>
      <c r="H38" s="1692"/>
      <c r="I38" s="1705"/>
      <c r="J38" s="1692"/>
      <c r="K38" s="1773"/>
      <c r="L38" s="1692"/>
      <c r="M38" s="1692"/>
      <c r="N38" s="1692"/>
      <c r="O38" s="1692"/>
      <c r="P38" s="1692"/>
      <c r="Q38" s="1692"/>
      <c r="R38" s="1692"/>
      <c r="S38" s="1692"/>
      <c r="T38" s="1692"/>
      <c r="U38" s="1692"/>
    </row>
    <row r="39" spans="1:21">
      <c r="A39" s="3288"/>
      <c r="B39" s="3319"/>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c r="C40" s="1688"/>
      <c r="D40" s="1688"/>
      <c r="E40" s="1688"/>
      <c r="F40" s="1688"/>
      <c r="G40" s="1688"/>
      <c r="H40" s="1688"/>
      <c r="I40" s="1705"/>
      <c r="J40" s="1692"/>
      <c r="K40" s="1728">
        <f>COUNTIF(B40:H40,"——")</f>
        <v>0</v>
      </c>
      <c r="L40" s="1697" t="s">
        <v>1979</v>
      </c>
      <c r="M40" s="1694" t="s">
        <v>1980</v>
      </c>
      <c r="N40" s="1694" t="s">
        <v>1981</v>
      </c>
      <c r="O40" s="1694" t="s">
        <v>1982</v>
      </c>
      <c r="P40" s="1694" t="s">
        <v>1983</v>
      </c>
      <c r="Q40" s="1694" t="s">
        <v>1984</v>
      </c>
      <c r="R40" s="1694" t="s">
        <v>1985</v>
      </c>
      <c r="S40" s="3300" t="s">
        <v>1986</v>
      </c>
      <c r="T40" s="1729" t="str">
        <f>NUMBERSTRING(7-K40,1)&amp;"通"</f>
        <v>七通</v>
      </c>
      <c r="U40" s="1692"/>
    </row>
    <row r="41" spans="1:21">
      <c r="A41" s="1661"/>
      <c r="B41" s="3292" t="s">
        <v>1722</v>
      </c>
      <c r="C41" s="3292"/>
      <c r="D41" s="3292"/>
      <c r="E41" s="3292"/>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300"/>
      <c r="T41" s="1731" t="str">
        <f>IF(T40="一通",L41,IF(T40="二通",M41,IF(T40="三通",N41,IF(T40="四通",O41,IF(T40="五通",P41,IF(T40="六通",Q41,R41))))))</f>
        <v>、、、、、、</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t="s">
        <v>925</v>
      </c>
      <c r="C43" s="1736" t="s">
        <v>925</v>
      </c>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t="s">
        <v>1250</v>
      </c>
      <c r="C44" s="1736" t="s">
        <v>1240</v>
      </c>
      <c r="D44" s="1736"/>
      <c r="E44" s="1790"/>
      <c r="F44" s="1737"/>
      <c r="G44" s="1692"/>
      <c r="H44" s="1692"/>
      <c r="I44" s="1705"/>
      <c r="J44" s="1692"/>
      <c r="K44" s="1772"/>
      <c r="L44" s="1721"/>
      <c r="M44" s="1721"/>
      <c r="N44" s="1692"/>
      <c r="O44" s="1693"/>
      <c r="P44" s="1692"/>
      <c r="Q44" s="1692"/>
      <c r="R44" s="1692"/>
      <c r="S44" s="1692"/>
      <c r="T44" s="1692"/>
      <c r="U44" s="1692"/>
    </row>
    <row r="45" spans="1:21" s="3048" customFormat="1" ht="21" thickBot="1">
      <c r="A45" s="3049" t="s">
        <v>2891</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3" sqref="J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8" t="s">
        <v>2334</v>
      </c>
      <c r="BA2" s="2339"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78298.683000000005</v>
      </c>
      <c r="B3" s="22">
        <f>IF(C3="否",G5-AT5,G5)</f>
        <v>400500</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400500</v>
      </c>
      <c r="H5" s="27">
        <f t="shared" ref="H5:AT5" si="0">SUM(H13:H641)</f>
        <v>400500</v>
      </c>
      <c r="I5" s="27">
        <f t="shared" si="0"/>
        <v>85455</v>
      </c>
      <c r="J5" s="27">
        <f t="shared" si="0"/>
        <v>0</v>
      </c>
      <c r="K5" s="27">
        <f t="shared" si="0"/>
        <v>315045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400500</v>
      </c>
      <c r="BA5" s="29">
        <f t="shared" si="1"/>
        <v>400500</v>
      </c>
      <c r="BB5" s="29">
        <f t="shared" si="1"/>
        <v>85455</v>
      </c>
      <c r="BC5" s="29">
        <f t="shared" si="1"/>
        <v>315045</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78298.679999999993</v>
      </c>
      <c r="F6" s="27" t="s">
        <v>1</v>
      </c>
      <c r="G6" s="27" t="s">
        <v>2</v>
      </c>
      <c r="H6" s="33">
        <f>SUMIF(I$12:AB$12,"总值",I6:AB6)</f>
        <v>78298.679999999993</v>
      </c>
      <c r="I6" s="27">
        <f t="shared" ref="I6:AB6" si="2">ROUND($A$3*I5/$B$3,2)</f>
        <v>16706.650000000001</v>
      </c>
      <c r="J6" s="27">
        <f t="shared" si="2"/>
        <v>0</v>
      </c>
      <c r="K6" s="27">
        <f t="shared" si="2"/>
        <v>61592.03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78298.679999999993</v>
      </c>
      <c r="AZ6" s="27" t="s">
        <v>3</v>
      </c>
      <c r="BA6" s="27">
        <f>ROUND($AY$6*BA5/$AZ$5,2)</f>
        <v>78298.679999999993</v>
      </c>
      <c r="BB6" s="27">
        <f>ROUND($AY$6*BB5/$AZ$5,2)</f>
        <v>16706.650000000001</v>
      </c>
      <c r="BC6" s="27">
        <f t="shared" ref="BC6:BH6" si="4">ROUND($AY$6*BC5/$AZ$5,2)</f>
        <v>61592.03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3001</v>
      </c>
      <c r="J9" s="51"/>
      <c r="K9" s="2994" t="s">
        <v>3001</v>
      </c>
      <c r="L9" s="51"/>
      <c r="M9" s="299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3000</v>
      </c>
      <c r="J10" s="51"/>
      <c r="K10" s="2996" t="s">
        <v>1678</v>
      </c>
      <c r="L10" s="51"/>
      <c r="M10" s="2996"/>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2332</v>
      </c>
      <c r="AK10" s="2332"/>
      <c r="AL10" s="2313" t="s">
        <v>2320</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3" t="s">
        <v>2331</v>
      </c>
      <c r="AE11" s="1002"/>
      <c r="AF11" s="2333" t="s">
        <v>2331</v>
      </c>
      <c r="AG11" s="1002"/>
      <c r="AH11" s="2333" t="s">
        <v>2330</v>
      </c>
      <c r="AI11" s="2334"/>
      <c r="AJ11" s="2333" t="s">
        <v>2330</v>
      </c>
      <c r="AK11" s="2332"/>
      <c r="AL11" s="1000"/>
      <c r="AM11" s="1002"/>
      <c r="AN11" s="1000"/>
      <c r="AO11" s="1002"/>
      <c r="AP11" s="1188"/>
      <c r="AQ11" s="1190"/>
      <c r="AR11" s="1188"/>
      <c r="AS11" s="1190"/>
      <c r="AT11" s="1003"/>
      <c r="AU11" s="45"/>
      <c r="AV11" s="55"/>
      <c r="AW11" s="1003"/>
      <c r="AX11" s="55"/>
      <c r="AY11" s="62"/>
      <c r="AZ11" s="62"/>
      <c r="BA11" s="62"/>
      <c r="BB11" s="50" t="str">
        <f>I10</f>
        <v>商业</v>
      </c>
      <c r="BC11" s="50" t="str">
        <f>K10</f>
        <v>办公</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2989"/>
      <c r="D13" s="2990" t="s">
        <v>1679</v>
      </c>
      <c r="E13" s="27">
        <f t="shared" ref="E13:E20" si="6">IF($C$3="是",ROUND($A$3*G13/$B$3,2),ROUND($A$3*(G13-AT13)/$B$3,2))</f>
        <v>16706.650000000001</v>
      </c>
      <c r="F13" s="81"/>
      <c r="G13" s="82">
        <f t="shared" ref="G13:G20" si="7">H13+AC13+AT13</f>
        <v>85455</v>
      </c>
      <c r="H13" s="33">
        <f t="shared" ref="H13:H20" si="8">SUMIF(I$12:AB$12,"总值",I13:AB13)</f>
        <v>85455</v>
      </c>
      <c r="I13" s="81">
        <v>85455</v>
      </c>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0</v>
      </c>
      <c r="AD13" s="2997"/>
      <c r="AE13" s="2997"/>
      <c r="AF13" s="2997"/>
      <c r="AG13" s="2997"/>
      <c r="AH13" s="2997"/>
      <c r="AI13" s="2997"/>
      <c r="AJ13" s="2997"/>
      <c r="AK13" s="2997"/>
      <c r="AL13" s="2997"/>
      <c r="AM13" s="2997"/>
      <c r="AN13" s="2997"/>
      <c r="AO13" s="2997"/>
      <c r="AP13" s="2997"/>
      <c r="AQ13" s="2997"/>
      <c r="AR13" s="2997"/>
      <c r="AS13" s="2997"/>
      <c r="AT13" s="2998"/>
      <c r="AU13" s="2999"/>
      <c r="AV13" s="17">
        <f t="shared" ref="AV13:AX20" si="10">A13</f>
        <v>0</v>
      </c>
      <c r="AW13" s="17">
        <f t="shared" si="10"/>
        <v>0</v>
      </c>
      <c r="AX13" s="17">
        <f t="shared" si="10"/>
        <v>0</v>
      </c>
      <c r="AY13" s="996">
        <f t="shared" ref="AY13:AY20" si="11">ROUND($AY$6*AZ13/$AZ$5,2)</f>
        <v>16706.650000000001</v>
      </c>
      <c r="AZ13" s="27">
        <f t="shared" ref="AZ13:AZ20" si="12">BA13+BL13</f>
        <v>85455</v>
      </c>
      <c r="BA13" s="27">
        <f t="shared" ref="BA13:BA20" si="13">SUM(BB13:BK13)</f>
        <v>85455</v>
      </c>
      <c r="BB13" s="27">
        <f t="shared" ref="BB13:BB20" si="14">IF($D13="是",I13-J13,0)</f>
        <v>85455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9"/>
      <c r="B14" s="2989"/>
      <c r="C14" s="2991"/>
      <c r="D14" s="2990" t="s">
        <v>1679</v>
      </c>
      <c r="E14" s="27">
        <f t="shared" si="6"/>
        <v>61592.03</v>
      </c>
      <c r="F14" s="81"/>
      <c r="G14" s="82">
        <f t="shared" si="7"/>
        <v>315045</v>
      </c>
      <c r="H14" s="33">
        <f t="shared" si="8"/>
        <v>315045</v>
      </c>
      <c r="I14" s="2993"/>
      <c r="J14" s="2993"/>
      <c r="K14" s="2993">
        <v>315045</v>
      </c>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f t="shared" si="10"/>
        <v>0</v>
      </c>
      <c r="AY14" s="996">
        <f t="shared" si="11"/>
        <v>61592.03</v>
      </c>
      <c r="AZ14" s="27">
        <f t="shared" si="12"/>
        <v>315045</v>
      </c>
      <c r="BA14" s="27">
        <f t="shared" si="13"/>
        <v>315045</v>
      </c>
      <c r="BB14" s="27">
        <f t="shared" si="14"/>
        <v>0</v>
      </c>
      <c r="BC14" s="27">
        <f t="shared" si="15"/>
        <v>315045</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2991"/>
      <c r="D15" s="2990"/>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2"/>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8" t="s">
        <v>0</v>
      </c>
      <c r="B1" s="3328" t="s">
        <v>4</v>
      </c>
      <c r="C1" s="3328" t="s">
        <v>5</v>
      </c>
      <c r="D1" s="3329" t="s">
        <v>40</v>
      </c>
      <c r="E1" s="3329" t="s">
        <v>41</v>
      </c>
      <c r="F1" s="3329"/>
      <c r="G1" s="3329"/>
      <c r="H1" s="3329"/>
      <c r="I1" s="3329"/>
      <c r="J1" s="3329"/>
      <c r="K1" s="3329"/>
      <c r="L1" s="3329"/>
      <c r="M1" s="3329"/>
    </row>
    <row r="2" spans="1:13" ht="27" customHeight="1">
      <c r="A2" s="3328"/>
      <c r="B2" s="3328"/>
      <c r="C2" s="3328"/>
      <c r="D2" s="3329"/>
      <c r="E2" s="3329" t="s">
        <v>24</v>
      </c>
      <c r="F2" s="3329" t="s">
        <v>25</v>
      </c>
      <c r="G2" s="3329"/>
      <c r="H2" s="3329"/>
      <c r="I2" s="3329"/>
      <c r="J2" s="3329" t="s">
        <v>26</v>
      </c>
      <c r="K2" s="3329"/>
      <c r="L2" s="3329"/>
      <c r="M2" s="3329"/>
    </row>
    <row r="3" spans="1:13" ht="28.5">
      <c r="A3" s="3328"/>
      <c r="B3" s="3328"/>
      <c r="C3" s="3328"/>
      <c r="D3" s="3329"/>
      <c r="E3" s="332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9" t="s">
        <v>42</v>
      </c>
      <c r="B9" s="3329"/>
      <c r="C9" s="332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D20" sqref="D20"/>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39" t="s">
        <v>203</v>
      </c>
      <c r="B2" s="3339"/>
      <c r="C2" s="3339"/>
      <c r="D2" s="1974" t="s">
        <v>204</v>
      </c>
      <c r="E2" s="106" t="s">
        <v>205</v>
      </c>
      <c r="F2" s="1983"/>
      <c r="G2" s="1198"/>
      <c r="H2" s="1199"/>
      <c r="I2" s="1200" t="s">
        <v>857</v>
      </c>
      <c r="J2" s="1983"/>
      <c r="K2" s="1983"/>
      <c r="L2" s="1983"/>
    </row>
    <row r="3" spans="1:16" ht="15.75" thickBot="1">
      <c r="A3" s="3340" t="s">
        <v>206</v>
      </c>
      <c r="B3" s="3340"/>
      <c r="C3" s="3340"/>
      <c r="D3" s="107">
        <f>'数据-基础表'!AY6</f>
        <v>78298.679999999993</v>
      </c>
      <c r="E3" s="107">
        <f>'数据-基础表'!AZ5</f>
        <v>400500</v>
      </c>
      <c r="F3" s="1983"/>
      <c r="G3" s="280" t="s">
        <v>858</v>
      </c>
      <c r="H3" s="275" t="s">
        <v>859</v>
      </c>
      <c r="I3" s="1975">
        <f>ROUND('数据-基础表'!B3/'数据-基础表'!A3,2)</f>
        <v>5.12</v>
      </c>
      <c r="J3" s="1983"/>
      <c r="K3" s="1983"/>
      <c r="L3" s="1983"/>
    </row>
    <row r="4" spans="1:16" ht="15">
      <c r="A4" s="3341"/>
      <c r="B4" s="3342"/>
      <c r="C4" s="3343"/>
      <c r="D4" s="108" t="s">
        <v>204</v>
      </c>
      <c r="E4" s="109" t="s">
        <v>205</v>
      </c>
      <c r="F4" s="1983"/>
      <c r="G4" s="1201"/>
      <c r="H4" s="275" t="s">
        <v>860</v>
      </c>
      <c r="I4" s="1975">
        <f>ROUND(SUMIF('数据-基础表'!I9:AS9,"地上",'数据-基础表'!I5:AS5)/'数据-基础表'!A3,2)</f>
        <v>5.12</v>
      </c>
      <c r="J4" s="1983"/>
      <c r="K4" s="1983"/>
      <c r="L4" s="1983"/>
    </row>
    <row r="5" spans="1:16">
      <c r="A5" s="110" t="s">
        <v>207</v>
      </c>
      <c r="B5" s="3344" t="s">
        <v>230</v>
      </c>
      <c r="C5" s="3344"/>
      <c r="D5" s="111">
        <f>ROUND($D$3*E5/$E$3,2)</f>
        <v>0</v>
      </c>
      <c r="E5" s="112">
        <f>SUMIF('数据-基础表'!$11:$11,"住宅",'数据-基础表'!$5:$5)</f>
        <v>0</v>
      </c>
      <c r="F5" s="1983"/>
      <c r="G5" s="280" t="s">
        <v>861</v>
      </c>
      <c r="H5" s="275" t="s">
        <v>859</v>
      </c>
      <c r="I5" s="1975">
        <f>ROUND(E31/D31,2)</f>
        <v>5.12</v>
      </c>
      <c r="J5" s="1983"/>
      <c r="K5" s="1983"/>
      <c r="L5" s="1983"/>
    </row>
    <row r="6" spans="1:16" ht="15" thickBot="1">
      <c r="A6" s="113"/>
      <c r="B6" s="3344" t="s">
        <v>208</v>
      </c>
      <c r="C6" s="3344"/>
      <c r="D6" s="111">
        <f>ROUND($D$3*E6/$E$3,2)</f>
        <v>78298.679999999993</v>
      </c>
      <c r="E6" s="112">
        <f>E3-E5</f>
        <v>400500</v>
      </c>
      <c r="F6" s="1983"/>
      <c r="G6" s="1201"/>
      <c r="H6" s="275" t="s">
        <v>860</v>
      </c>
      <c r="I6" s="1975">
        <f>ROUND(F31/D31,2)</f>
        <v>5.12</v>
      </c>
      <c r="J6" s="1983"/>
      <c r="K6" s="1983"/>
      <c r="L6" s="1983"/>
    </row>
    <row r="7" spans="1:16" ht="15">
      <c r="A7" s="3336"/>
      <c r="B7" s="3337"/>
      <c r="C7" s="3338"/>
      <c r="D7" s="108" t="s">
        <v>204</v>
      </c>
      <c r="E7" s="114" t="s">
        <v>231</v>
      </c>
      <c r="F7" s="1983"/>
      <c r="G7" s="1156" t="s">
        <v>1646</v>
      </c>
      <c r="H7" s="1157"/>
      <c r="I7" s="1845"/>
      <c r="J7" s="1983"/>
      <c r="K7" s="1983"/>
      <c r="L7" s="1983"/>
    </row>
    <row r="8" spans="1:16">
      <c r="A8" s="110" t="s">
        <v>209</v>
      </c>
      <c r="B8" s="115" t="s">
        <v>210</v>
      </c>
      <c r="C8" s="111" t="s">
        <v>211</v>
      </c>
      <c r="D8" s="111">
        <f t="shared" ref="D8:D15" si="0">ROUND($D$3*E8/$E$3,2)</f>
        <v>78298.679999999993</v>
      </c>
      <c r="E8" s="116">
        <f>SUMIF('数据-基础表'!BB10:BK10,"地上",'数据-基础表'!BB5:BK5)</f>
        <v>400500</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78298.679999999993</v>
      </c>
      <c r="E16" s="120">
        <f>SUM(E8:E15)</f>
        <v>400500</v>
      </c>
      <c r="F16" s="1983"/>
      <c r="G16" s="1985"/>
      <c r="H16" s="968" t="s">
        <v>219</v>
      </c>
      <c r="I16" s="969"/>
      <c r="J16" s="1983"/>
      <c r="K16" s="3330" t="s">
        <v>2567</v>
      </c>
      <c r="L16" s="3331"/>
      <c r="M16" s="3331"/>
      <c r="N16" s="3331"/>
      <c r="O16" s="3331"/>
      <c r="P16" s="3332"/>
    </row>
    <row r="17" spans="1:19" ht="15">
      <c r="A17" s="121" t="s">
        <v>216</v>
      </c>
      <c r="B17" s="122" t="s">
        <v>217</v>
      </c>
      <c r="C17" s="2297" t="s">
        <v>2314</v>
      </c>
      <c r="D17" s="108" t="s">
        <v>204</v>
      </c>
      <c r="E17" s="124" t="s">
        <v>205</v>
      </c>
      <c r="F17" s="125"/>
      <c r="G17" s="1365"/>
      <c r="H17" s="970" t="s">
        <v>218</v>
      </c>
      <c r="I17" s="971" t="s">
        <v>2313</v>
      </c>
      <c r="J17" s="1983"/>
      <c r="K17" s="3333" t="s">
        <v>2568</v>
      </c>
      <c r="L17" s="3334"/>
      <c r="M17" s="3335"/>
      <c r="N17" s="3333" t="s">
        <v>2569</v>
      </c>
      <c r="O17" s="3334"/>
      <c r="P17" s="3335"/>
      <c r="R17" s="2298" t="s">
        <v>2312</v>
      </c>
      <c r="S17" s="144"/>
    </row>
    <row r="18" spans="1:19" ht="15">
      <c r="A18" s="117"/>
      <c r="B18" s="128"/>
      <c r="C18" s="129"/>
      <c r="D18" s="2620"/>
      <c r="E18" s="130" t="s">
        <v>220</v>
      </c>
      <c r="F18" s="131" t="s">
        <v>221</v>
      </c>
      <c r="G18" s="1366" t="s">
        <v>222</v>
      </c>
      <c r="H18" s="972" t="s">
        <v>223</v>
      </c>
      <c r="I18" s="973" t="s">
        <v>224</v>
      </c>
      <c r="J18" s="1983"/>
      <c r="K18" s="2583" t="s">
        <v>2570</v>
      </c>
      <c r="L18" s="2584" t="s">
        <v>2571</v>
      </c>
      <c r="M18" s="2585" t="s">
        <v>2572</v>
      </c>
      <c r="N18" s="2583" t="s">
        <v>2570</v>
      </c>
      <c r="O18" s="2584" t="s">
        <v>2571</v>
      </c>
      <c r="P18" s="2585" t="s">
        <v>2572</v>
      </c>
      <c r="R18" s="2299" t="s">
        <v>2310</v>
      </c>
      <c r="S18" s="2299" t="s">
        <v>2311</v>
      </c>
    </row>
    <row r="19" spans="1:19">
      <c r="A19" s="133"/>
      <c r="B19" s="115" t="s">
        <v>225</v>
      </c>
      <c r="C19" s="3000" t="s">
        <v>3002</v>
      </c>
      <c r="D19" s="111">
        <f t="shared" ref="D19:D26" si="1">ROUND($D$3*E19/$E$3,2)</f>
        <v>16706.650000000001</v>
      </c>
      <c r="E19" s="134">
        <f t="shared" ref="E19:E26" si="2">SUM(F19:G19)</f>
        <v>85455</v>
      </c>
      <c r="F19" s="135">
        <f>'数据-基础表'!I13</f>
        <v>85455</v>
      </c>
      <c r="G19" s="1367"/>
      <c r="H19" s="974">
        <f>ROUND($D$3*I19/$E$3,2)</f>
        <v>0</v>
      </c>
      <c r="I19" s="116">
        <f>IF($I$17="自定义",P19,M19)</f>
        <v>0</v>
      </c>
      <c r="J19" s="1983"/>
      <c r="K19" s="2586">
        <f t="shared" ref="K19:K26" si="3">ROUND(E$28*E19/E$27,2)</f>
        <v>0</v>
      </c>
      <c r="L19" s="275">
        <f t="shared" ref="L19:L26" si="4">ROUND(IF(COUNTIF(C19,"*住宅*")&gt;0,E$29*E19/E$32,0),2)</f>
        <v>0</v>
      </c>
      <c r="M19" s="2587">
        <f>K19+L19</f>
        <v>0</v>
      </c>
      <c r="N19" s="2588"/>
      <c r="O19" s="2589"/>
      <c r="P19" s="2590">
        <f>N19+O19</f>
        <v>0</v>
      </c>
      <c r="R19" s="275">
        <f t="shared" ref="R19:S26" si="5">D19+H19</f>
        <v>16706.650000000001</v>
      </c>
      <c r="S19" s="2300">
        <f t="shared" si="5"/>
        <v>85455</v>
      </c>
    </row>
    <row r="20" spans="1:19">
      <c r="A20" s="138"/>
      <c r="B20" s="115" t="s">
        <v>226</v>
      </c>
      <c r="C20" s="3000" t="s">
        <v>3003</v>
      </c>
      <c r="D20" s="111">
        <f t="shared" si="1"/>
        <v>61592.03</v>
      </c>
      <c r="E20" s="134">
        <f t="shared" si="2"/>
        <v>315045</v>
      </c>
      <c r="F20" s="135">
        <f>'数据-基础表'!K14</f>
        <v>315045</v>
      </c>
      <c r="G20" s="1367"/>
      <c r="H20" s="974">
        <f t="shared" ref="H20:H26" si="6">ROUND($D$3*I20/$E$3,2)</f>
        <v>0</v>
      </c>
      <c r="I20" s="116">
        <f t="shared" ref="I20:I26" si="7">IF($I$17="自定义",P20,M20)</f>
        <v>0</v>
      </c>
      <c r="J20" s="1983"/>
      <c r="K20" s="2586">
        <f t="shared" si="3"/>
        <v>0</v>
      </c>
      <c r="L20" s="275">
        <f t="shared" si="4"/>
        <v>0</v>
      </c>
      <c r="M20" s="2587">
        <f t="shared" ref="M20:M26" si="8">K20+L20</f>
        <v>0</v>
      </c>
      <c r="N20" s="2588"/>
      <c r="O20" s="2589"/>
      <c r="P20" s="2590">
        <f t="shared" ref="P20:P26" si="9">N20+O20</f>
        <v>0</v>
      </c>
      <c r="R20" s="275">
        <f t="shared" si="5"/>
        <v>61592.03</v>
      </c>
      <c r="S20" s="2300">
        <f t="shared" si="5"/>
        <v>315045</v>
      </c>
    </row>
    <row r="21" spans="1:19">
      <c r="A21" s="138"/>
      <c r="B21" s="115" t="s">
        <v>226</v>
      </c>
      <c r="C21" s="3000"/>
      <c r="D21" s="111">
        <f t="shared" si="1"/>
        <v>0</v>
      </c>
      <c r="E21" s="134">
        <f t="shared" si="2"/>
        <v>0</v>
      </c>
      <c r="F21" s="135"/>
      <c r="G21" s="1367"/>
      <c r="H21" s="974">
        <f t="shared" si="6"/>
        <v>0</v>
      </c>
      <c r="I21" s="116">
        <f t="shared" si="7"/>
        <v>0</v>
      </c>
      <c r="J21" s="1983"/>
      <c r="K21" s="2586">
        <f t="shared" si="3"/>
        <v>0</v>
      </c>
      <c r="L21" s="275">
        <f t="shared" si="4"/>
        <v>0</v>
      </c>
      <c r="M21" s="2587">
        <f t="shared" si="8"/>
        <v>0</v>
      </c>
      <c r="N21" s="2588"/>
      <c r="O21" s="2589"/>
      <c r="P21" s="2590">
        <f t="shared" si="9"/>
        <v>0</v>
      </c>
      <c r="R21" s="275">
        <f t="shared" si="5"/>
        <v>0</v>
      </c>
      <c r="S21" s="2300">
        <f t="shared" si="5"/>
        <v>0</v>
      </c>
    </row>
    <row r="22" spans="1:19">
      <c r="A22" s="138"/>
      <c r="B22" s="115" t="s">
        <v>226</v>
      </c>
      <c r="C22" s="1364"/>
      <c r="D22" s="111">
        <f t="shared" si="1"/>
        <v>0</v>
      </c>
      <c r="E22" s="134">
        <f t="shared" si="2"/>
        <v>0</v>
      </c>
      <c r="F22" s="140"/>
      <c r="G22" s="1368"/>
      <c r="H22" s="974">
        <f t="shared" si="6"/>
        <v>0</v>
      </c>
      <c r="I22" s="116">
        <f t="shared" si="7"/>
        <v>0</v>
      </c>
      <c r="J22" s="1983"/>
      <c r="K22" s="2586">
        <f t="shared" si="3"/>
        <v>0</v>
      </c>
      <c r="L22" s="275">
        <f t="shared" si="4"/>
        <v>0</v>
      </c>
      <c r="M22" s="2587">
        <f t="shared" si="8"/>
        <v>0</v>
      </c>
      <c r="N22" s="2588"/>
      <c r="O22" s="2589"/>
      <c r="P22" s="2590">
        <f t="shared" si="9"/>
        <v>0</v>
      </c>
      <c r="R22" s="275">
        <f t="shared" si="5"/>
        <v>0</v>
      </c>
      <c r="S22" s="2300">
        <f t="shared" si="5"/>
        <v>0</v>
      </c>
    </row>
    <row r="23" spans="1:19">
      <c r="A23" s="138"/>
      <c r="B23" s="115" t="s">
        <v>226</v>
      </c>
      <c r="C23" s="139"/>
      <c r="D23" s="111">
        <f>ROUND($D$3*E23/$E$3,2)</f>
        <v>0</v>
      </c>
      <c r="E23" s="134">
        <f>SUM(F23:G23)</f>
        <v>0</v>
      </c>
      <c r="F23" s="140"/>
      <c r="G23" s="1368"/>
      <c r="H23" s="974">
        <f>ROUND($D$3*I23/$E$3,2)</f>
        <v>0</v>
      </c>
      <c r="I23" s="116">
        <f t="shared" si="7"/>
        <v>0</v>
      </c>
      <c r="J23" s="1983"/>
      <c r="K23" s="2586">
        <f t="shared" si="3"/>
        <v>0</v>
      </c>
      <c r="L23" s="275">
        <f t="shared" si="4"/>
        <v>0</v>
      </c>
      <c r="M23" s="2587">
        <f t="shared" si="8"/>
        <v>0</v>
      </c>
      <c r="N23" s="2588"/>
      <c r="O23" s="2589"/>
      <c r="P23" s="2590">
        <f t="shared" si="9"/>
        <v>0</v>
      </c>
      <c r="R23" s="275">
        <f t="shared" si="5"/>
        <v>0</v>
      </c>
      <c r="S23" s="2300">
        <f t="shared" si="5"/>
        <v>0</v>
      </c>
    </row>
    <row r="24" spans="1:19">
      <c r="A24" s="138"/>
      <c r="B24" s="115" t="s">
        <v>226</v>
      </c>
      <c r="C24" s="139"/>
      <c r="D24" s="111">
        <f>ROUND($D$3*E24/$E$3,2)</f>
        <v>0</v>
      </c>
      <c r="E24" s="134">
        <f>SUM(F24:G24)</f>
        <v>0</v>
      </c>
      <c r="F24" s="140"/>
      <c r="G24" s="1368"/>
      <c r="H24" s="974">
        <f>ROUND($D$3*I24/$E$3,2)</f>
        <v>0</v>
      </c>
      <c r="I24" s="116">
        <f t="shared" si="7"/>
        <v>0</v>
      </c>
      <c r="J24" s="1983"/>
      <c r="K24" s="2586">
        <f t="shared" si="3"/>
        <v>0</v>
      </c>
      <c r="L24" s="275">
        <f t="shared" si="4"/>
        <v>0</v>
      </c>
      <c r="M24" s="2587">
        <f t="shared" si="8"/>
        <v>0</v>
      </c>
      <c r="N24" s="2588"/>
      <c r="O24" s="2589"/>
      <c r="P24" s="2590">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586">
        <f t="shared" si="3"/>
        <v>0</v>
      </c>
      <c r="L25" s="275">
        <f t="shared" si="4"/>
        <v>0</v>
      </c>
      <c r="M25" s="2587">
        <f t="shared" si="8"/>
        <v>0</v>
      </c>
      <c r="N25" s="2588"/>
      <c r="O25" s="2589"/>
      <c r="P25" s="2590">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591">
        <f t="shared" si="3"/>
        <v>0</v>
      </c>
      <c r="L26" s="280">
        <f t="shared" si="4"/>
        <v>0</v>
      </c>
      <c r="M26" s="146">
        <f t="shared" si="8"/>
        <v>0</v>
      </c>
      <c r="N26" s="2592"/>
      <c r="O26" s="2593"/>
      <c r="P26" s="2594">
        <f t="shared" si="9"/>
        <v>0</v>
      </c>
      <c r="R26" s="275">
        <f t="shared" si="5"/>
        <v>0</v>
      </c>
      <c r="S26" s="2300">
        <f t="shared" si="5"/>
        <v>0</v>
      </c>
    </row>
    <row r="27" spans="1:19" ht="15.75" thickBot="1">
      <c r="A27" s="138"/>
      <c r="B27" s="111"/>
      <c r="C27" s="127" t="s">
        <v>215</v>
      </c>
      <c r="D27" s="134">
        <f>SUM(D19:D26)</f>
        <v>78298.679999999993</v>
      </c>
      <c r="E27" s="143">
        <f>IF(SUM(E19:E26)='数据-基础表'!BA5,SUM(E19:E26),IF(F27="地上面积有误","面积有误","地下面积有误"))</f>
        <v>400500</v>
      </c>
      <c r="F27" s="134">
        <f>IF(SUM(F19:F26)=E8,SUM(F19:F26),"地上面积有误")</f>
        <v>400500</v>
      </c>
      <c r="G27" s="112">
        <f>SUM(G19:G26)</f>
        <v>0</v>
      </c>
      <c r="H27" s="975">
        <f>SUM(H19:H26)</f>
        <v>0</v>
      </c>
      <c r="I27" s="976">
        <f>SUM(I19:I26)</f>
        <v>0</v>
      </c>
      <c r="J27" s="1983"/>
      <c r="K27" s="2595">
        <f>SUM(K19:K26)</f>
        <v>0</v>
      </c>
      <c r="L27" s="2596">
        <f>SUM(L19:L26)</f>
        <v>0</v>
      </c>
      <c r="M27" s="2597">
        <f>SUM(M19:M26)</f>
        <v>0</v>
      </c>
      <c r="N27" s="2595">
        <f t="shared" ref="N27:O27" si="10">SUM(N19:N26)</f>
        <v>0</v>
      </c>
      <c r="O27" s="2596">
        <f t="shared" si="10"/>
        <v>0</v>
      </c>
      <c r="P27" s="2598">
        <f>SUM(P19:P26)</f>
        <v>0</v>
      </c>
      <c r="R27" s="2304">
        <f>IF(SUM(R19:R26)=$D$3,SUM(R19:R26),SUM(R19:R26)&amp;"误差"&amp;ROUND(SUM(R19:R26)-$D$3,2))</f>
        <v>78298.679999999993</v>
      </c>
      <c r="S27" s="275">
        <f>IF(SUM(S19:S26)=$E$3,SUM(S19:S26),SUM(S19:S26)&amp;"误差"&amp;ROUND(SUM(S19:S26)-E3,2))</f>
        <v>400500</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9"/>
      <c r="B31" s="1370" t="s">
        <v>229</v>
      </c>
      <c r="C31" s="2329" t="s">
        <v>2323</v>
      </c>
      <c r="D31" s="1371">
        <f>D27+D30</f>
        <v>78298.679999999993</v>
      </c>
      <c r="E31" s="1371">
        <f>E27+E30</f>
        <v>400500</v>
      </c>
      <c r="F31" s="1372">
        <f>F27+F30</f>
        <v>400500</v>
      </c>
      <c r="G31" s="1373">
        <f>G27+G30</f>
        <v>0</v>
      </c>
      <c r="H31" s="1983"/>
      <c r="I31" s="1983"/>
      <c r="J31" s="1983"/>
      <c r="K31" s="1983"/>
      <c r="L31" s="1983"/>
    </row>
    <row r="32" spans="1:19">
      <c r="A32" s="1983"/>
      <c r="B32" s="2341" t="s">
        <v>2322</v>
      </c>
      <c r="C32" s="2625"/>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Normal="100" workbookViewId="0">
      <pane xSplit="3" ySplit="5" topLeftCell="AA6" activePane="bottomRight" state="frozen"/>
      <selection pane="topRight" activeCell="D1" sqref="D1"/>
      <selection pane="bottomLeft" activeCell="A4" sqref="A4"/>
      <selection pane="bottomRight" activeCell="AD7" sqref="AD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43388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3199" t="s">
        <v>3120</v>
      </c>
      <c r="O5" s="163" t="s">
        <v>246</v>
      </c>
      <c r="P5" s="165" t="s">
        <v>247</v>
      </c>
      <c r="Q5" s="166" t="s">
        <v>248</v>
      </c>
      <c r="R5" s="167" t="s">
        <v>249</v>
      </c>
      <c r="S5" s="2599" t="s">
        <v>2573</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2324</v>
      </c>
      <c r="AI5" s="171" t="s">
        <v>2293</v>
      </c>
      <c r="AJ5" s="171" t="s">
        <v>258</v>
      </c>
      <c r="AK5" s="159" t="s">
        <v>259</v>
      </c>
      <c r="AL5" s="159" t="s">
        <v>260</v>
      </c>
      <c r="AM5" s="172" t="s">
        <v>261</v>
      </c>
      <c r="AN5" s="2369"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商业</v>
      </c>
      <c r="B6" s="2336" t="str">
        <f>IF(A6=0,"","经营性")</f>
        <v>经营性</v>
      </c>
      <c r="C6" s="173" t="s">
        <v>3000</v>
      </c>
      <c r="D6" s="2307">
        <f>SUMIF(项目基本情况!D$15:I$15,C6,项目基本情况!D$18:I$18)</f>
        <v>40</v>
      </c>
      <c r="E6" s="2308">
        <f>IF(B6="","",SUMIF(项目基本情况!D$15:I$15,C6,项目基本情况!D$17:I$17))</f>
        <v>57998</v>
      </c>
      <c r="F6" s="174">
        <f>SUMIF(项目基本情况!D$15:I$15,C6,项目基本情况!D$19:I$19)</f>
        <v>40</v>
      </c>
      <c r="G6" s="175">
        <f>IF(ISERROR(ROUND(POWER(1+H6,D6-F6)*(POWER(1+H6,F6)-1)/(POWER(1+H6,D6)-1),3)),0,ROUND(POWER(1+H6,D6-F6)*(POWER(1+H6,F6)-1)/(POWER(1+H6,D6)-1),3))</f>
        <v>1</v>
      </c>
      <c r="H6" s="3001">
        <v>0.04</v>
      </c>
      <c r="I6" s="3001">
        <v>0.06</v>
      </c>
      <c r="J6" s="176">
        <v>0.08</v>
      </c>
      <c r="K6" s="179">
        <f>SUMIF('数据-汇总表'!C$19:C$33,'数据-取费表'!A6,'数据-汇总表'!E$19:E$33)</f>
        <v>85455</v>
      </c>
      <c r="L6" s="3002">
        <v>4800</v>
      </c>
      <c r="M6" s="177">
        <f t="shared" ref="M6:M14" si="0">ROUND(K6*L6/10000,0)</f>
        <v>41018</v>
      </c>
      <c r="N6" s="3003">
        <v>0</v>
      </c>
      <c r="O6" s="177">
        <f>IF($N$5="成新度","——",ROUND(M6*N6,0))</f>
        <v>0</v>
      </c>
      <c r="P6" s="178">
        <f>IF($N$5="成新度","——",M6-O6)</f>
        <v>41018</v>
      </c>
      <c r="Q6" s="3580">
        <v>0.25</v>
      </c>
      <c r="R6" s="179">
        <f>SUMIF('数据-汇总表'!C$19:C$33,A6,'数据-汇总表'!R$19:R$33)</f>
        <v>16706.650000000001</v>
      </c>
      <c r="S6" s="132">
        <f>IF('数据-汇总表'!$I$17="按面积比例",SUMIF('数据-汇总表'!C$19:C$33,A6,'数据-汇总表'!K$19:K$33),SUMIF('数据-汇总表'!C$19:C$33,A6,'数据-汇总表'!N$19:N$33))</f>
        <v>0</v>
      </c>
      <c r="T6" s="2233" t="str">
        <f>IF($T$4="按面积比例",IF(ISERROR(ROUND($M$14*S6/S$16,0)),"0",ROUND($M$14*S6/S$16,0)),"需自行计算录入")</f>
        <v>0</v>
      </c>
      <c r="U6" s="180">
        <f>'不动产比较法-商业'!C49</f>
        <v>10.3</v>
      </c>
      <c r="V6" s="181">
        <v>0</v>
      </c>
      <c r="W6" s="3579">
        <v>0.05</v>
      </c>
      <c r="X6" s="2320"/>
      <c r="Y6" s="182">
        <v>1</v>
      </c>
      <c r="Z6" s="183"/>
      <c r="AA6" s="176"/>
      <c r="AB6" s="176"/>
      <c r="AC6" s="2323"/>
      <c r="AD6" s="184">
        <v>1</v>
      </c>
      <c r="AE6" s="972">
        <f ca="1">IF(AN6="",0,SUMIF(INDIRECT("'"&amp;AN6&amp;"'"&amp;"!E:E"),$AE$5,INDIRECT("'"&amp;AN6&amp;"'"&amp;"!F:F")))</f>
        <v>38</v>
      </c>
      <c r="AF6" s="141">
        <v>40</v>
      </c>
      <c r="AG6" s="1213">
        <f ca="1">IF(AF6="",0,AE6-AF6)</f>
        <v>-2</v>
      </c>
      <c r="AH6" s="141">
        <f>'数据-基础表'!I13</f>
        <v>85455</v>
      </c>
      <c r="AI6" s="187">
        <v>365</v>
      </c>
      <c r="AJ6" s="188"/>
      <c r="AK6" s="189">
        <v>0.02</v>
      </c>
      <c r="AL6" s="190">
        <v>3.0000000000000001E-3</v>
      </c>
      <c r="AM6" s="3015">
        <v>0.03</v>
      </c>
      <c r="AN6" s="2370" t="s">
        <v>3139</v>
      </c>
      <c r="AO6" s="1999"/>
      <c r="AP6" s="1204">
        <f>ROUND(1-1/(1+H6)^F6,3)</f>
        <v>0.79200000000000004</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办公</v>
      </c>
      <c r="B7" s="2336" t="str">
        <f t="shared" ref="B7:B13" si="1">IF(A7=0,"","经营性")</f>
        <v>经营性</v>
      </c>
      <c r="C7" s="173" t="s">
        <v>1678</v>
      </c>
      <c r="D7" s="2307">
        <f>SUMIF(项目基本情况!D$15:I$15,C7,项目基本情况!D$18:I$18)</f>
        <v>50</v>
      </c>
      <c r="E7" s="2308">
        <f>IF(B7="","",SUMIF(项目基本情况!D$15:I$15,C7,项目基本情况!D$17:I$17))</f>
        <v>61651</v>
      </c>
      <c r="F7" s="174">
        <f>SUMIF(项目基本情况!D$15:I$15,C7,项目基本情况!D$19:I$19)</f>
        <v>50</v>
      </c>
      <c r="G7" s="175">
        <f t="shared" ref="G7:G11" si="2">IF(ISERROR(ROUND(POWER(1+H7,D7-F7)*(POWER(1+H7,F7)-1)/(POWER(1+H7,D7)-1),3)),0,ROUND(POWER(1+H7,D7-F7)*(POWER(1+H7,F7)-1)/(POWER(1+H7,D7)-1),3))</f>
        <v>1</v>
      </c>
      <c r="H7" s="3001">
        <v>0.04</v>
      </c>
      <c r="I7" s="3001">
        <v>5.5E-2</v>
      </c>
      <c r="J7" s="176">
        <v>0.08</v>
      </c>
      <c r="K7" s="179">
        <f>SUMIF('数据-汇总表'!C$19:C$33,'数据-取费表'!A7,'数据-汇总表'!E$19:E$33)</f>
        <v>315045</v>
      </c>
      <c r="L7" s="3002">
        <v>4500</v>
      </c>
      <c r="M7" s="177">
        <f t="shared" si="0"/>
        <v>141770</v>
      </c>
      <c r="N7" s="3003">
        <v>0</v>
      </c>
      <c r="O7" s="177">
        <f t="shared" ref="O7:O14" si="3">IF($N$5="成新度","——",ROUND(M7*N7,0))</f>
        <v>0</v>
      </c>
      <c r="P7" s="178">
        <f t="shared" ref="P7:P14" si="4">IF($N$5="成新度","——",M7-O7)</f>
        <v>141770</v>
      </c>
      <c r="Q7" s="3004">
        <v>0.2</v>
      </c>
      <c r="R7" s="179">
        <f>SUMIF('数据-汇总表'!C$19:C$33,A7,'数据-汇总表'!R$19:R$33)</f>
        <v>61592.03</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f>'不动产比较法-办公'!C50</f>
        <v>8.4</v>
      </c>
      <c r="V7" s="181">
        <v>0</v>
      </c>
      <c r="W7" s="181">
        <v>0.05</v>
      </c>
      <c r="X7" s="2320"/>
      <c r="Y7" s="182">
        <v>1</v>
      </c>
      <c r="Z7" s="183"/>
      <c r="AA7" s="176"/>
      <c r="AB7" s="176"/>
      <c r="AC7" s="2323"/>
      <c r="AD7" s="184">
        <v>1</v>
      </c>
      <c r="AE7" s="972">
        <f t="shared" ref="AE7:AE13" ca="1" si="6">IF(AN7="",0,SUMIF(INDIRECT("'"&amp;AN7&amp;"'"&amp;"!E:E"),$AE$5,INDIRECT("'"&amp;AN7&amp;"'"&amp;"!F:F")))</f>
        <v>48</v>
      </c>
      <c r="AF7" s="141">
        <v>50</v>
      </c>
      <c r="AG7" s="1213">
        <f t="shared" ref="AG7:AG13" ca="1" si="7">IF(AF7="",0,AE7-AF7)</f>
        <v>-2</v>
      </c>
      <c r="AH7" s="141">
        <f>'数据-基础表'!K14</f>
        <v>315045</v>
      </c>
      <c r="AI7" s="187">
        <v>365</v>
      </c>
      <c r="AJ7" s="188"/>
      <c r="AK7" s="189">
        <v>1.4999999999999999E-2</v>
      </c>
      <c r="AL7" s="190">
        <v>2E-3</v>
      </c>
      <c r="AM7" s="2368">
        <v>0.02</v>
      </c>
      <c r="AN7" s="2370" t="s">
        <v>3140</v>
      </c>
      <c r="AO7" s="1999"/>
      <c r="AP7" s="1204">
        <f t="shared" ref="AP7:AP13" si="8">ROUND(1-1/(1+H7)^F7,3)</f>
        <v>0.85899999999999999</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68"/>
      <c r="AN8" s="2370"/>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68"/>
      <c r="AN9" s="2370"/>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68"/>
      <c r="AN10" s="2370"/>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370"/>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70"/>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68"/>
      <c r="AN13" s="2370"/>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2315</v>
      </c>
      <c r="B14" s="2305" t="s">
        <v>1680</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2317</v>
      </c>
      <c r="B15" s="2305" t="s">
        <v>1680</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400500</v>
      </c>
      <c r="L16" s="206">
        <f>ROUND(M16*10000/SUM(K6:K14),0)</f>
        <v>4564</v>
      </c>
      <c r="M16" s="206">
        <f>SUM(M6:M14)</f>
        <v>182788</v>
      </c>
      <c r="N16" s="207">
        <f>ROUND(SUMPRODUCT(M6:M14,N6:N14)/M16,3)</f>
        <v>0</v>
      </c>
      <c r="O16" s="206">
        <f>SUM(O6:O14)</f>
        <v>0</v>
      </c>
      <c r="P16" s="206">
        <f>SUM(P6:P14)</f>
        <v>182788</v>
      </c>
      <c r="Q16" s="208">
        <f>ROUND(SUMPRODUCT(Q6:Q13,K6:K13)/SUMPRODUCT((Q6:Q13&gt;0)*(K6:K13)),2)</f>
        <v>0.21</v>
      </c>
      <c r="R16" s="2310">
        <f>SUM(R6:R13)</f>
        <v>78298.679999999993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0.84499999999999997</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42"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2339</v>
      </c>
      <c r="B27" s="227">
        <v>160</v>
      </c>
      <c r="C27" s="2345"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2340</v>
      </c>
      <c r="B28" s="229">
        <v>200</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2338</v>
      </c>
      <c r="B29" s="232"/>
      <c r="C29" s="1552"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160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140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7">
        <v>20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8">
        <v>0.03</v>
      </c>
      <c r="C33" s="2343" t="s">
        <v>2892</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v>
      </c>
      <c r="C34" s="2343" t="s">
        <v>2893</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43" t="s">
        <v>2894</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2895</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0.03</v>
      </c>
      <c r="C37" s="2343" t="s">
        <v>2896</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0.03</v>
      </c>
      <c r="C38" s="2343" t="s">
        <v>2896</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2457</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2458</v>
      </c>
      <c r="B40" s="2459">
        <f ca="1">存贷款利率!E2</f>
        <v>4.7500000000000001E-2</v>
      </c>
      <c r="C40" s="2343"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75">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43" t="s">
        <v>2897</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45" t="s">
        <v>2898</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45" t="s">
        <v>2899</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050" t="s">
        <v>2900</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51" t="s">
        <v>2901</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51" t="s">
        <v>2902</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12</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925</v>
      </c>
      <c r="C53" s="3052" t="s">
        <v>2903</v>
      </c>
      <c r="D53" s="3053" t="s">
        <v>2904</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5" t="s">
        <v>2905</v>
      </c>
      <c r="B54" s="186"/>
      <c r="C54" s="1993">
        <v>30</v>
      </c>
      <c r="D54" s="3054"/>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5" t="s">
        <v>2906</v>
      </c>
      <c r="B55" s="186"/>
      <c r="C55" s="1993">
        <v>24</v>
      </c>
      <c r="D55" s="3054"/>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5" t="s">
        <v>2907</v>
      </c>
      <c r="B56" s="186"/>
      <c r="C56" s="1993">
        <v>18</v>
      </c>
      <c r="D56" s="3054"/>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5" t="s">
        <v>2908</v>
      </c>
      <c r="B57" s="186">
        <v>12</v>
      </c>
      <c r="C57" s="1993">
        <v>12</v>
      </c>
      <c r="D57" s="3054"/>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5" t="s">
        <v>2909</v>
      </c>
      <c r="B58" s="186"/>
      <c r="C58" s="1993">
        <v>3</v>
      </c>
      <c r="D58" s="3054"/>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5" t="s">
        <v>2910</v>
      </c>
      <c r="B59" s="186"/>
      <c r="C59" s="1993">
        <v>1.5</v>
      </c>
      <c r="D59" s="3054"/>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5" t="s">
        <v>2911</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5" t="s">
        <v>2912</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5" t="s">
        <v>2913</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6" t="s">
        <v>2914</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7" sqref="K7"/>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45" t="s">
        <v>1664</v>
      </c>
      <c r="B1" s="3346"/>
      <c r="C1" s="3346"/>
      <c r="D1" s="3346"/>
      <c r="E1" s="3346"/>
      <c r="F1" s="3346"/>
      <c r="G1" s="3346"/>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54" hidden="1">
      <c r="A3" s="1226" t="s">
        <v>1667</v>
      </c>
      <c r="B3" s="1227" t="s">
        <v>1654</v>
      </c>
      <c r="C3" s="3057" t="s">
        <v>2920</v>
      </c>
      <c r="D3" s="2008"/>
      <c r="E3" s="1228" t="s">
        <v>1667</v>
      </c>
      <c r="F3" s="1229" t="s">
        <v>1655</v>
      </c>
      <c r="G3" s="3060" t="s">
        <v>2919</v>
      </c>
      <c r="H3" s="2007"/>
      <c r="I3" s="2007"/>
      <c r="J3" s="2007"/>
      <c r="K3" s="2007"/>
      <c r="L3" s="2007"/>
      <c r="M3" s="2007"/>
      <c r="N3" s="2007"/>
      <c r="O3" s="2007"/>
      <c r="P3" s="2007"/>
      <c r="Q3" s="2007"/>
      <c r="R3" s="2007"/>
    </row>
    <row r="4" spans="1:18" ht="54">
      <c r="A4" s="1228"/>
      <c r="B4" s="1230" t="s">
        <v>1668</v>
      </c>
      <c r="C4" s="3203" t="s">
        <v>3141</v>
      </c>
      <c r="D4" s="2008"/>
      <c r="E4" s="1231"/>
      <c r="F4" s="1232" t="s">
        <v>1669</v>
      </c>
      <c r="G4" s="3058" t="s">
        <v>2916</v>
      </c>
      <c r="H4" s="2007"/>
      <c r="I4" s="2007"/>
      <c r="J4" s="2007"/>
      <c r="K4" s="2007"/>
      <c r="L4" s="2007"/>
      <c r="M4" s="2007"/>
      <c r="N4" s="2007"/>
      <c r="O4" s="2007"/>
      <c r="P4" s="2007"/>
      <c r="Q4" s="2007"/>
      <c r="R4" s="2007"/>
    </row>
    <row r="5" spans="1:18" ht="54">
      <c r="A5" s="1228"/>
      <c r="B5" s="1230" t="s">
        <v>1670</v>
      </c>
      <c r="C5" s="3203" t="s">
        <v>3145</v>
      </c>
      <c r="D5" s="2008"/>
      <c r="E5" s="1231"/>
      <c r="F5" s="1230" t="s">
        <v>2547</v>
      </c>
      <c r="G5" s="3058" t="s">
        <v>2917</v>
      </c>
      <c r="H5" s="2007"/>
      <c r="I5" s="2007"/>
      <c r="J5" s="2007"/>
      <c r="K5" s="2007"/>
      <c r="L5" s="2007"/>
      <c r="M5" s="2007"/>
      <c r="N5" s="2007"/>
      <c r="O5" s="2007"/>
      <c r="P5" s="2007"/>
      <c r="Q5" s="2007"/>
      <c r="R5" s="2007"/>
    </row>
    <row r="6" spans="1:18" ht="94.5">
      <c r="A6" s="1228"/>
      <c r="B6" s="1230" t="s">
        <v>1656</v>
      </c>
      <c r="C6" s="3202" t="s">
        <v>3142</v>
      </c>
      <c r="D6" s="2008"/>
      <c r="E6" s="1231"/>
      <c r="F6" s="1230" t="s">
        <v>2548</v>
      </c>
      <c r="G6" s="3058" t="s">
        <v>2915</v>
      </c>
      <c r="H6" s="2007"/>
      <c r="I6" s="2007"/>
      <c r="J6" s="2007"/>
      <c r="K6" s="2007"/>
      <c r="L6" s="2007"/>
      <c r="M6" s="2007"/>
      <c r="N6" s="2007"/>
      <c r="O6" s="2007"/>
      <c r="P6" s="2007"/>
      <c r="Q6" s="2007"/>
      <c r="R6" s="2007"/>
    </row>
    <row r="7" spans="1:18" ht="41.25" thickBot="1">
      <c r="A7" s="1228"/>
      <c r="B7" s="1230" t="s">
        <v>2547</v>
      </c>
      <c r="C7" s="3202" t="s">
        <v>3144</v>
      </c>
      <c r="D7" s="2009"/>
      <c r="E7" s="1233"/>
      <c r="F7" s="1234" t="s">
        <v>1671</v>
      </c>
      <c r="G7" s="3061" t="s">
        <v>2918</v>
      </c>
      <c r="H7" s="2007"/>
      <c r="I7" s="2007"/>
      <c r="J7" s="2007"/>
      <c r="K7" s="2007"/>
      <c r="L7" s="2007"/>
      <c r="M7" s="2007"/>
      <c r="N7" s="2007"/>
      <c r="O7" s="2007"/>
      <c r="P7" s="2007"/>
      <c r="Q7" s="2007"/>
      <c r="R7" s="2007"/>
    </row>
    <row r="8" spans="1:18" ht="27">
      <c r="A8" s="1228"/>
      <c r="B8" s="1230" t="s">
        <v>2548</v>
      </c>
      <c r="C8" s="3202" t="s">
        <v>3150</v>
      </c>
      <c r="D8" s="2009"/>
      <c r="E8" s="2009"/>
      <c r="F8" s="1553"/>
      <c r="G8" s="1553"/>
      <c r="H8" s="2007"/>
      <c r="I8" s="2007"/>
      <c r="J8" s="2007"/>
      <c r="K8" s="2007"/>
      <c r="L8" s="2007"/>
      <c r="M8" s="2007"/>
      <c r="N8" s="2007"/>
      <c r="O8" s="2007"/>
      <c r="P8" s="2007"/>
      <c r="Q8" s="2007"/>
      <c r="R8" s="2007"/>
    </row>
    <row r="9" spans="1:18" ht="40.5">
      <c r="A9" s="1228"/>
      <c r="B9" s="1230" t="s">
        <v>1657</v>
      </c>
      <c r="C9" s="3203" t="s">
        <v>3017</v>
      </c>
      <c r="D9" s="2008"/>
      <c r="E9" s="2009"/>
      <c r="F9" s="1553"/>
      <c r="G9" s="1553"/>
      <c r="H9" s="2007"/>
      <c r="I9" s="2007"/>
      <c r="J9" s="2007"/>
      <c r="K9" s="2007"/>
      <c r="L9" s="2007"/>
      <c r="M9" s="2007"/>
      <c r="N9" s="2007"/>
      <c r="O9" s="2007"/>
      <c r="P9" s="2007"/>
      <c r="Q9" s="2007"/>
      <c r="R9" s="2007"/>
    </row>
    <row r="10" spans="1:18" s="2015" customFormat="1" ht="15" thickBot="1">
      <c r="A10" s="1235"/>
      <c r="B10" s="1236" t="s">
        <v>1672</v>
      </c>
      <c r="C10" s="3059"/>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1673</v>
      </c>
      <c r="B13" s="2556"/>
      <c r="C13" s="2556"/>
      <c r="D13" s="1223"/>
      <c r="E13" s="2556"/>
      <c r="F13" s="2556"/>
      <c r="G13" s="2556"/>
    </row>
    <row r="14" spans="1:18" ht="14.25" thickBot="1">
      <c r="A14" s="1237"/>
      <c r="B14" s="1238"/>
      <c r="C14" s="1239" t="s">
        <v>1665</v>
      </c>
      <c r="D14" s="2008"/>
      <c r="E14" s="1240"/>
      <c r="F14" s="1240"/>
      <c r="G14" s="1222" t="s">
        <v>1666</v>
      </c>
    </row>
    <row r="15" spans="1:18" ht="54">
      <c r="A15" s="2566" t="s">
        <v>1658</v>
      </c>
      <c r="B15" s="1241" t="s">
        <v>1654</v>
      </c>
      <c r="C15" s="1242" t="str">
        <f>C3</f>
        <v>估价对象周边居住用地比例、居住小区规模和社区发展完善程度，综合评价居住社区成熟度一般</v>
      </c>
      <c r="D15" s="2008"/>
      <c r="E15" s="2563" t="s">
        <v>1659</v>
      </c>
      <c r="F15" s="1241" t="s">
        <v>1674</v>
      </c>
      <c r="G15" s="1243" t="str">
        <f>G3</f>
        <v>估价对象位于XX开发区，园区建设成熟度XX，产业集聚程度XX</v>
      </c>
    </row>
    <row r="16" spans="1:18" ht="54">
      <c r="A16" s="2567"/>
      <c r="B16" s="1244" t="s">
        <v>1668</v>
      </c>
      <c r="C16" s="1245" t="str">
        <f>C4</f>
        <v>估价对象位于酒仙桥商圈，周边商业氛围较成熟，人流量较大，商业繁华度较好</v>
      </c>
      <c r="D16" s="2008"/>
      <c r="E16" s="2564"/>
      <c r="F16" s="1246" t="s">
        <v>1669</v>
      </c>
      <c r="G16" s="1005" t="str">
        <f>G4</f>
        <v>估价对象周边道路状况、公共交通通达情况、停车便捷程度，综合评价交通便捷度较好</v>
      </c>
    </row>
    <row r="17" spans="1:7" ht="54">
      <c r="A17" s="2567"/>
      <c r="B17" s="1244" t="s">
        <v>1670</v>
      </c>
      <c r="C17" s="1245" t="str">
        <f>C5</f>
        <v>估价对象位于酒仙桥商圈，周边办公楼项目较多，入驻率高，办公集聚程度较好</v>
      </c>
      <c r="D17" s="2009"/>
      <c r="E17" s="2564"/>
      <c r="F17" s="1246" t="s">
        <v>1675</v>
      </c>
      <c r="G17" s="2772"/>
    </row>
    <row r="18" spans="1:7" ht="94.5">
      <c r="A18" s="2567"/>
      <c r="B18" s="1246" t="s">
        <v>1656</v>
      </c>
      <c r="C18" s="1005" t="str">
        <f>C6</f>
        <v>估价对象周边有445路、516路、659路、983路等多条公交线路经过，距14号线地铁（将台站）约300米，道路状况较好、公共交通通达情况较好、综合评价交通便捷度较好。</v>
      </c>
      <c r="D18" s="2009"/>
      <c r="E18" s="2564"/>
      <c r="F18" s="1246" t="s">
        <v>1671</v>
      </c>
      <c r="G18" s="1005" t="str">
        <f>G7</f>
        <v>该园区内是否有污染型企业，绿化情况，卫生条件，整体环境状况判断</v>
      </c>
    </row>
    <row r="19" spans="1:7" ht="27">
      <c r="A19" s="2567"/>
      <c r="B19" s="1246" t="s">
        <v>1660</v>
      </c>
      <c r="C19" s="2772"/>
      <c r="D19" s="2008"/>
      <c r="E19" s="2564"/>
      <c r="F19" s="1230" t="s">
        <v>2547</v>
      </c>
      <c r="G19" s="1005" t="str">
        <f>G5</f>
        <v>估价对象所在区域公共配套设施齐备情况</v>
      </c>
    </row>
    <row r="20" spans="1:7" ht="40.5">
      <c r="A20" s="2567"/>
      <c r="B20" s="1246" t="s">
        <v>1661</v>
      </c>
      <c r="C20" s="1245" t="str">
        <f>C9</f>
        <v>区域自然环境：；人文环境；综合评价环境状况较好</v>
      </c>
      <c r="D20" s="2009"/>
      <c r="E20" s="2564"/>
      <c r="F20" s="1230" t="s">
        <v>2548</v>
      </c>
      <c r="G20" s="1005" t="str">
        <f>G6</f>
        <v>估价对象所在区域基础设施水平</v>
      </c>
    </row>
    <row r="21" spans="1:7" ht="27">
      <c r="A21" s="2567"/>
      <c r="B21" s="1230" t="s">
        <v>2547</v>
      </c>
      <c r="C21" s="1005" t="str">
        <f>C7</f>
        <v>估价对象所在区域公共配套设施齐备度较好</v>
      </c>
      <c r="D21" s="2008"/>
      <c r="E21" s="2564"/>
      <c r="F21" s="1246" t="s">
        <v>1662</v>
      </c>
      <c r="G21" s="3062"/>
    </row>
    <row r="22" spans="1:7" ht="27">
      <c r="A22" s="2567"/>
      <c r="B22" s="1230" t="s">
        <v>2548</v>
      </c>
      <c r="C22" s="1005" t="str">
        <f>C8</f>
        <v>估价对象所在区域基础设施水平达到七通一平</v>
      </c>
      <c r="D22" s="2008"/>
      <c r="E22" s="2564"/>
      <c r="F22" s="1246" t="s">
        <v>1672</v>
      </c>
      <c r="G22" s="2772"/>
    </row>
    <row r="23" spans="1:7" ht="15" thickBot="1">
      <c r="A23" s="2567"/>
      <c r="B23" s="1246" t="s">
        <v>1662</v>
      </c>
      <c r="C23" s="3062"/>
      <c r="E23" s="2565"/>
      <c r="F23" s="1247" t="s">
        <v>1676</v>
      </c>
      <c r="G23" s="3063"/>
    </row>
    <row r="24" spans="1:7" ht="14.25" thickBot="1">
      <c r="A24" s="2568"/>
      <c r="B24" s="1247" t="s">
        <v>1663</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S19"/>
  <sheetViews>
    <sheetView tabSelected="1" workbookViewId="0">
      <selection activeCell="E29" sqref="E29"/>
    </sheetView>
  </sheetViews>
  <sheetFormatPr defaultRowHeight="13.5"/>
  <cols>
    <col min="1" max="1" width="10.375" customWidth="1"/>
    <col min="2" max="2" width="10.25" customWidth="1"/>
    <col min="3" max="3" width="8.875" customWidth="1"/>
    <col min="4" max="4" width="11.75" customWidth="1"/>
    <col min="5" max="5" width="8.625" customWidth="1"/>
    <col min="6" max="6" width="7.25" customWidth="1"/>
    <col min="7" max="7" width="7.75" customWidth="1"/>
    <col min="8" max="8" width="9.375" customWidth="1"/>
    <col min="9" max="9" width="11.125" customWidth="1"/>
    <col min="10" max="10" width="12.25" customWidth="1"/>
    <col min="11" max="11" width="4.5" customWidth="1"/>
    <col min="14" max="14" width="9.875" customWidth="1"/>
    <col min="15" max="15" width="10" customWidth="1"/>
    <col min="18" max="18" width="13" customWidth="1"/>
  </cols>
  <sheetData>
    <row r="1" spans="1:18" ht="64.5" customHeight="1">
      <c r="A1" s="3247" t="s">
        <v>3107</v>
      </c>
      <c r="B1" s="3248" t="s">
        <v>3108</v>
      </c>
      <c r="C1" s="3248" t="s">
        <v>3109</v>
      </c>
      <c r="D1" s="3248" t="s">
        <v>3110</v>
      </c>
      <c r="E1" s="3248" t="s">
        <v>3098</v>
      </c>
      <c r="F1" s="3248" t="s">
        <v>3099</v>
      </c>
    </row>
    <row r="2" spans="1:18">
      <c r="A2" s="3367" t="s">
        <v>3093</v>
      </c>
      <c r="B2" s="3232" t="s">
        <v>3083</v>
      </c>
      <c r="C2" s="3233">
        <f ca="1">'结果表-商业'!D20</f>
        <v>17021</v>
      </c>
      <c r="D2" s="3233">
        <f>'结果表-商业'!D18</f>
        <v>0.4</v>
      </c>
      <c r="E2" s="3368">
        <f t="shared" ref="E2" ca="1" si="0">ROUND(C2*D2+C3*D3,0)</f>
        <v>19446</v>
      </c>
      <c r="F2" s="3370">
        <f t="shared" ref="F2" ca="1" si="1">ROUND(E2*0.25,0)</f>
        <v>4862</v>
      </c>
    </row>
    <row r="3" spans="1:18">
      <c r="A3" s="3367"/>
      <c r="B3" s="3232" t="s">
        <v>3084</v>
      </c>
      <c r="C3" s="3233">
        <f ca="1">'结果表-商业'!C20</f>
        <v>21062</v>
      </c>
      <c r="D3" s="3233">
        <f>'结果表-商业'!C18</f>
        <v>0.6</v>
      </c>
      <c r="E3" s="3369"/>
      <c r="F3" s="3371"/>
    </row>
    <row r="4" spans="1:18">
      <c r="A4" s="3362" t="s">
        <v>3095</v>
      </c>
      <c r="B4" s="3230" t="s">
        <v>3083</v>
      </c>
      <c r="C4" s="3231">
        <f ca="1">'结果表-办公'!D20</f>
        <v>17002</v>
      </c>
      <c r="D4" s="3231">
        <f>'结果表-办公'!D18</f>
        <v>0.4</v>
      </c>
      <c r="E4" s="3363">
        <f t="shared" ref="E4" ca="1" si="2">ROUND(C4*D4+C5*D5,0)</f>
        <v>19290</v>
      </c>
      <c r="F4" s="3365">
        <f t="shared" ref="F4" ca="1" si="3">ROUND(E4*0.25,0)</f>
        <v>4823</v>
      </c>
    </row>
    <row r="5" spans="1:18">
      <c r="A5" s="3362"/>
      <c r="B5" s="3230" t="s">
        <v>3084</v>
      </c>
      <c r="C5" s="3231">
        <f ca="1">'结果表-办公'!C20</f>
        <v>20815</v>
      </c>
      <c r="D5" s="3231">
        <f>'结果表-办公'!C18</f>
        <v>0.6</v>
      </c>
      <c r="E5" s="3364"/>
      <c r="F5" s="3366"/>
    </row>
    <row r="6" spans="1:18">
      <c r="L6" s="3213" t="s">
        <v>3111</v>
      </c>
      <c r="M6">
        <v>15010.72</v>
      </c>
    </row>
    <row r="8" spans="1:18" ht="28.5" customHeight="1" thickBot="1">
      <c r="A8" s="3235"/>
      <c r="B8" s="3235"/>
      <c r="C8" s="3235" t="s">
        <v>3094</v>
      </c>
      <c r="D8" s="3235"/>
      <c r="G8" s="3347" t="s">
        <v>3100</v>
      </c>
      <c r="H8" s="3347"/>
      <c r="I8" s="3347"/>
      <c r="J8" s="3347"/>
      <c r="L8" s="3349" t="s">
        <v>3101</v>
      </c>
      <c r="M8" s="3349"/>
      <c r="N8" s="3349"/>
      <c r="O8" s="3349"/>
      <c r="P8" s="3349"/>
      <c r="Q8" s="3349"/>
      <c r="R8" s="3349"/>
    </row>
    <row r="9" spans="1:18" ht="13.5" customHeight="1" thickBot="1">
      <c r="A9" s="3353" t="s">
        <v>3087</v>
      </c>
      <c r="B9" s="3356" t="s">
        <v>3088</v>
      </c>
      <c r="C9" s="3356" t="s">
        <v>3089</v>
      </c>
      <c r="D9" s="3356" t="s">
        <v>3090</v>
      </c>
      <c r="E9" s="3359" t="s">
        <v>3091</v>
      </c>
      <c r="F9" s="3213"/>
      <c r="G9" s="3348" t="s">
        <v>3087</v>
      </c>
      <c r="H9" s="3348" t="s">
        <v>3088</v>
      </c>
      <c r="I9" s="3348" t="s">
        <v>3096</v>
      </c>
      <c r="J9" s="3348" t="s">
        <v>3097</v>
      </c>
      <c r="L9" s="3236" t="s">
        <v>3087</v>
      </c>
      <c r="M9" s="3350" t="s">
        <v>3088</v>
      </c>
      <c r="N9" s="3350" t="s">
        <v>3096</v>
      </c>
      <c r="O9" s="3350" t="s">
        <v>3102</v>
      </c>
      <c r="P9" s="3350" t="s">
        <v>3103</v>
      </c>
      <c r="Q9" s="3350" t="s">
        <v>3104</v>
      </c>
      <c r="R9" s="3350" t="s">
        <v>3105</v>
      </c>
    </row>
    <row r="10" spans="1:18" ht="13.5" customHeight="1" thickBot="1">
      <c r="A10" s="3354"/>
      <c r="B10" s="3357"/>
      <c r="C10" s="3357"/>
      <c r="D10" s="3357"/>
      <c r="E10" s="3360"/>
      <c r="F10" s="3213"/>
      <c r="G10" s="3348"/>
      <c r="H10" s="3348"/>
      <c r="I10" s="3348"/>
      <c r="J10" s="3348"/>
      <c r="L10" s="3237"/>
      <c r="M10" s="3351"/>
      <c r="N10" s="3351"/>
      <c r="O10" s="3351"/>
      <c r="P10" s="3351"/>
      <c r="Q10" s="3351"/>
      <c r="R10" s="3351"/>
    </row>
    <row r="11" spans="1:18" ht="30" customHeight="1" thickBot="1">
      <c r="A11" s="3355"/>
      <c r="B11" s="3358"/>
      <c r="C11" s="3358"/>
      <c r="D11" s="3358"/>
      <c r="E11" s="3361"/>
      <c r="F11" s="3213"/>
      <c r="G11" s="3348"/>
      <c r="H11" s="3348"/>
      <c r="I11" s="3348"/>
      <c r="J11" s="3348"/>
      <c r="L11" s="3238"/>
      <c r="M11" s="3352"/>
      <c r="N11" s="3352"/>
      <c r="O11" s="3352"/>
      <c r="P11" s="3352"/>
      <c r="Q11" s="3352"/>
      <c r="R11" s="3352"/>
    </row>
    <row r="12" spans="1:18" ht="28.5" customHeight="1" thickBot="1">
      <c r="A12" s="3239" t="s">
        <v>3085</v>
      </c>
      <c r="B12" s="3240">
        <f>'数据-基础表'!I13</f>
        <v>85455</v>
      </c>
      <c r="C12" s="3240">
        <f ca="1">E2</f>
        <v>19446</v>
      </c>
      <c r="D12" s="3240">
        <f ca="1">ROUND(B12*C12/10000,4)</f>
        <v>166175.79300000001</v>
      </c>
      <c r="E12" s="3241">
        <f ca="1">ROUND(C12/5.12,0)</f>
        <v>3798</v>
      </c>
      <c r="F12" s="3213"/>
      <c r="G12" s="3239" t="s">
        <v>3085</v>
      </c>
      <c r="H12" s="3240">
        <f>B12</f>
        <v>85455</v>
      </c>
      <c r="I12" s="3240">
        <f ca="1">F2</f>
        <v>4862</v>
      </c>
      <c r="J12" s="3241">
        <f ca="1">H12*I12/10000</f>
        <v>41548.220999999998</v>
      </c>
      <c r="K12" s="3213"/>
      <c r="L12" s="3239" t="s">
        <v>3085</v>
      </c>
      <c r="M12" s="3243">
        <f>B12</f>
        <v>85455</v>
      </c>
      <c r="N12" s="3243">
        <f ca="1">I12</f>
        <v>4862</v>
      </c>
      <c r="O12" s="3249">
        <f ca="1">N12+M6</f>
        <v>19872.72</v>
      </c>
      <c r="P12" s="3250">
        <f>ROUND(13330*'基准地价-商业'!C19*'基准地价-商业'!C21*'基准地价-商业'!C24,0)</f>
        <v>15414</v>
      </c>
      <c r="Q12" s="3234">
        <f t="shared" ref="Q12:Q13" si="4">ROUND(P12*0.25,0)</f>
        <v>3854</v>
      </c>
      <c r="R12" s="3234">
        <f t="shared" ref="R12:R13" ca="1" si="5">ROUND(M12*N12/10000,4)</f>
        <v>41548.220999999998</v>
      </c>
    </row>
    <row r="13" spans="1:18" ht="24.75" customHeight="1" thickBot="1">
      <c r="A13" s="3239" t="s">
        <v>3086</v>
      </c>
      <c r="B13" s="3240">
        <f>'数据-基础表'!K14</f>
        <v>315045</v>
      </c>
      <c r="C13" s="3240">
        <f ca="1">E4</f>
        <v>19290</v>
      </c>
      <c r="D13" s="3240">
        <f ca="1">ROUND(B13*C13/10000,4)</f>
        <v>607721.80500000005</v>
      </c>
      <c r="E13" s="3241">
        <f ca="1">ROUND(C13/5.12,0)</f>
        <v>3768</v>
      </c>
      <c r="F13" s="3213"/>
      <c r="G13" s="3239" t="s">
        <v>3086</v>
      </c>
      <c r="H13" s="3240">
        <f>B13</f>
        <v>315045</v>
      </c>
      <c r="I13" s="3240">
        <f ca="1">F4</f>
        <v>4823</v>
      </c>
      <c r="J13" s="3241">
        <f ca="1">H13*I13/10000</f>
        <v>151946.2035</v>
      </c>
      <c r="K13" s="3213"/>
      <c r="L13" s="3239" t="s">
        <v>3086</v>
      </c>
      <c r="M13" s="3243">
        <f>B13</f>
        <v>315045</v>
      </c>
      <c r="N13" s="3243">
        <f ca="1">I13</f>
        <v>4823</v>
      </c>
      <c r="O13" s="3249">
        <f ca="1">N13+M6</f>
        <v>19833.72</v>
      </c>
      <c r="P13" s="3250">
        <f>ROUND(13160*'基准地价-办公'!C19*'基准地价-办公'!C21*'基准地价-办公'!C24,0)</f>
        <v>15263</v>
      </c>
      <c r="Q13" s="3234">
        <f t="shared" si="4"/>
        <v>3816</v>
      </c>
      <c r="R13" s="3234">
        <f t="shared" ca="1" si="5"/>
        <v>151946.2035</v>
      </c>
    </row>
    <row r="14" spans="1:18" ht="24" customHeight="1" thickBot="1">
      <c r="A14" s="3244" t="s">
        <v>24</v>
      </c>
      <c r="B14" s="3245">
        <f>SUM(B12:B13)</f>
        <v>400500</v>
      </c>
      <c r="C14" s="3245" t="s">
        <v>3092</v>
      </c>
      <c r="D14" s="3245">
        <f ca="1">SUM(D12:D13)</f>
        <v>773897.598</v>
      </c>
      <c r="E14" s="3246" t="s">
        <v>3092</v>
      </c>
      <c r="F14" s="3213"/>
      <c r="G14" s="3244" t="s">
        <v>24</v>
      </c>
      <c r="H14" s="3245">
        <f>SUM(H12:H13)</f>
        <v>400500</v>
      </c>
      <c r="I14" s="3245" t="s">
        <v>3092</v>
      </c>
      <c r="J14" s="3246">
        <f ca="1">SUM(J12:J13)</f>
        <v>193494.42449999999</v>
      </c>
      <c r="K14" s="3213"/>
      <c r="L14" s="3242" t="s">
        <v>3106</v>
      </c>
      <c r="M14" s="3243"/>
      <c r="N14" s="3243" t="s">
        <v>3092</v>
      </c>
      <c r="O14" s="3243" t="s">
        <v>3092</v>
      </c>
      <c r="P14" s="3234" t="s">
        <v>3092</v>
      </c>
      <c r="Q14" s="3234" t="s">
        <v>3092</v>
      </c>
      <c r="R14" s="3234">
        <f ca="1">SUM(R9:R13)</f>
        <v>193494.42449999999</v>
      </c>
    </row>
    <row r="16" spans="1:18">
      <c r="Q16">
        <f>P12+Q12</f>
        <v>19268</v>
      </c>
    </row>
    <row r="17" spans="12:19">
      <c r="Q17">
        <f>P13+Q13</f>
        <v>19079</v>
      </c>
    </row>
    <row r="19" spans="12:19" ht="29.25">
      <c r="L19" s="3347"/>
      <c r="M19" s="3347"/>
      <c r="N19" s="3347"/>
      <c r="O19" s="3347"/>
      <c r="P19" s="3347"/>
      <c r="Q19" s="3347"/>
      <c r="R19" s="3347"/>
      <c r="S19" s="3347"/>
    </row>
  </sheetData>
  <mergeCells count="24">
    <mergeCell ref="A4:A5"/>
    <mergeCell ref="E4:E5"/>
    <mergeCell ref="F4:F5"/>
    <mergeCell ref="A2:A3"/>
    <mergeCell ref="E2:E3"/>
    <mergeCell ref="F2:F3"/>
    <mergeCell ref="A9:A11"/>
    <mergeCell ref="B9:B11"/>
    <mergeCell ref="C9:C11"/>
    <mergeCell ref="D9:D11"/>
    <mergeCell ref="E9:E11"/>
    <mergeCell ref="L19:S19"/>
    <mergeCell ref="G8:J8"/>
    <mergeCell ref="J9:J11"/>
    <mergeCell ref="G9:G11"/>
    <mergeCell ref="H9:H11"/>
    <mergeCell ref="I9:I11"/>
    <mergeCell ref="L8:R8"/>
    <mergeCell ref="M9:M11"/>
    <mergeCell ref="N9:N11"/>
    <mergeCell ref="O9:O11"/>
    <mergeCell ref="P9:P11"/>
    <mergeCell ref="Q9:Q11"/>
    <mergeCell ref="R9:R11"/>
  </mergeCells>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tabColor rgb="FFFF0000"/>
    <pageSetUpPr fitToPage="1"/>
  </sheetPr>
  <dimension ref="A1:Z206"/>
  <sheetViews>
    <sheetView view="pageBreakPreview" zoomScaleNormal="100" zoomScaleSheetLayoutView="100" zoomScalePageLayoutView="80" workbookViewId="0">
      <selection activeCell="C5" sqref="C5:C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2056</v>
      </c>
      <c r="B1" s="1776"/>
      <c r="C1" s="1804" t="s">
        <v>2057</v>
      </c>
      <c r="D1" s="1805" t="s">
        <v>3008</v>
      </c>
      <c r="E1" s="1804" t="s">
        <v>2058</v>
      </c>
      <c r="F1" s="1806" t="s">
        <v>3009</v>
      </c>
      <c r="G1" s="311"/>
      <c r="H1" s="311"/>
      <c r="I1" s="311"/>
      <c r="J1" s="2028"/>
      <c r="K1" s="2028"/>
      <c r="L1" s="2028"/>
      <c r="M1" s="2028"/>
      <c r="N1" s="2028"/>
      <c r="O1" s="2028"/>
      <c r="P1" s="2028"/>
      <c r="Q1" s="2028"/>
      <c r="R1" s="2028"/>
      <c r="S1" s="2028"/>
      <c r="T1" s="2028"/>
      <c r="U1" s="2028"/>
      <c r="V1" s="2028"/>
    </row>
    <row r="2" spans="1:22" ht="21.75" customHeight="1" thickBot="1">
      <c r="A2" s="3443" t="str">
        <f>项目基本情况!K2</f>
        <v>北京市国有建设用地使用权</v>
      </c>
      <c r="B2" s="3444"/>
      <c r="C2" s="3445"/>
      <c r="D2" s="3445"/>
      <c r="E2" s="3445"/>
      <c r="F2" s="3445"/>
      <c r="G2" s="3444"/>
      <c r="H2" s="3444"/>
      <c r="I2" s="3446"/>
      <c r="J2" s="2029"/>
      <c r="K2" s="2028"/>
      <c r="L2" s="2028"/>
      <c r="M2" s="2028"/>
      <c r="N2" s="2028"/>
      <c r="O2" s="2028"/>
      <c r="P2" s="2028"/>
      <c r="Q2" s="2028"/>
      <c r="R2" s="2028"/>
      <c r="S2" s="2028"/>
      <c r="T2" s="2028"/>
      <c r="U2" s="2028"/>
      <c r="V2" s="2028"/>
    </row>
    <row r="3" spans="1:22" ht="14.25">
      <c r="A3" s="3447" t="s">
        <v>298</v>
      </c>
      <c r="B3" s="3448"/>
      <c r="C3" s="3448"/>
      <c r="D3" s="3448"/>
      <c r="E3" s="3448"/>
      <c r="F3" s="3448"/>
      <c r="G3" s="3448"/>
      <c r="H3" s="3448"/>
      <c r="I3" s="3448"/>
      <c r="J3" s="2029"/>
      <c r="K3" s="2028"/>
      <c r="L3" s="2028"/>
      <c r="M3" s="2028"/>
      <c r="N3" s="2028"/>
      <c r="O3" s="2028"/>
      <c r="P3" s="2028"/>
      <c r="Q3" s="2028"/>
      <c r="R3" s="2028"/>
      <c r="S3" s="2028"/>
      <c r="T3" s="2028"/>
      <c r="U3" s="2028"/>
      <c r="V3" s="2028"/>
    </row>
    <row r="4" spans="1:22" ht="14.25">
      <c r="A4" s="258" t="s">
        <v>299</v>
      </c>
      <c r="B4" s="259" t="s">
        <v>300</v>
      </c>
      <c r="C4" s="260" t="s">
        <v>3010</v>
      </c>
      <c r="D4" s="260" t="s">
        <v>3011</v>
      </c>
      <c r="E4" s="3397" t="s">
        <v>301</v>
      </c>
      <c r="F4" s="3399"/>
      <c r="G4" s="3399"/>
      <c r="H4" s="3399"/>
      <c r="I4" s="3398"/>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基准地价系数修正法</v>
      </c>
      <c r="N4" s="2028"/>
      <c r="O4" s="2028"/>
      <c r="P4" s="2028"/>
      <c r="Q4" s="2028"/>
      <c r="R4" s="2028"/>
      <c r="S4" s="2028"/>
      <c r="T4" s="2028"/>
      <c r="U4" s="2028"/>
      <c r="V4" s="2028"/>
    </row>
    <row r="5" spans="1:22" ht="14.25">
      <c r="A5" s="3433" t="s">
        <v>302</v>
      </c>
      <c r="B5" s="3434">
        <v>25</v>
      </c>
      <c r="C5" s="3435">
        <v>6</v>
      </c>
      <c r="D5" s="3437">
        <f>10-C5</f>
        <v>4</v>
      </c>
      <c r="E5" s="261" t="s">
        <v>303</v>
      </c>
      <c r="F5" s="262"/>
      <c r="G5" s="262"/>
      <c r="H5" s="262"/>
      <c r="I5" s="263"/>
      <c r="J5" s="2029"/>
      <c r="K5" s="2028"/>
      <c r="L5" s="2028"/>
      <c r="M5" s="2028"/>
      <c r="N5" s="2028"/>
      <c r="O5" s="2028"/>
      <c r="P5" s="2028"/>
      <c r="Q5" s="2028"/>
      <c r="R5" s="2028"/>
      <c r="S5" s="2028"/>
      <c r="T5" s="2028"/>
      <c r="U5" s="2028"/>
      <c r="V5" s="2028"/>
    </row>
    <row r="6" spans="1:22" ht="14.25">
      <c r="A6" s="3433"/>
      <c r="B6" s="3434"/>
      <c r="C6" s="3438"/>
      <c r="D6" s="3437"/>
      <c r="E6" s="261" t="s">
        <v>304</v>
      </c>
      <c r="F6" s="262"/>
      <c r="G6" s="262"/>
      <c r="H6" s="262"/>
      <c r="I6" s="263"/>
      <c r="J6" s="2029"/>
      <c r="K6" s="2028"/>
      <c r="L6" s="2028"/>
      <c r="M6" s="2028"/>
      <c r="N6" s="2028"/>
      <c r="O6" s="2028"/>
      <c r="P6" s="2028"/>
      <c r="Q6" s="2028"/>
      <c r="R6" s="2028"/>
      <c r="S6" s="2028"/>
      <c r="T6" s="2028"/>
      <c r="U6" s="2028"/>
      <c r="V6" s="2028"/>
    </row>
    <row r="7" spans="1:22" ht="14.25">
      <c r="A7" s="3433"/>
      <c r="B7" s="3434"/>
      <c r="C7" s="3436"/>
      <c r="D7" s="3437"/>
      <c r="E7" s="261" t="s">
        <v>305</v>
      </c>
      <c r="F7" s="262"/>
      <c r="G7" s="262"/>
      <c r="H7" s="262"/>
      <c r="I7" s="263"/>
      <c r="J7" s="2029"/>
      <c r="K7" s="2028"/>
      <c r="L7" s="2028"/>
      <c r="M7" s="2028"/>
      <c r="N7" s="2028"/>
      <c r="O7" s="2028"/>
      <c r="P7" s="2028"/>
      <c r="Q7" s="2028"/>
      <c r="R7" s="2028"/>
      <c r="S7" s="2028"/>
      <c r="T7" s="2028"/>
      <c r="U7" s="2028"/>
      <c r="V7" s="2028"/>
    </row>
    <row r="8" spans="1:22" ht="14.25">
      <c r="A8" s="3433" t="s">
        <v>306</v>
      </c>
      <c r="B8" s="3434">
        <v>15</v>
      </c>
      <c r="C8" s="3435"/>
      <c r="D8" s="3437"/>
      <c r="E8" s="261" t="s">
        <v>307</v>
      </c>
      <c r="F8" s="262"/>
      <c r="G8" s="262"/>
      <c r="H8" s="262"/>
      <c r="I8" s="263"/>
      <c r="J8" s="2029"/>
      <c r="K8" s="2028"/>
      <c r="L8" s="2028"/>
      <c r="M8" s="2028"/>
      <c r="N8" s="2028"/>
      <c r="O8" s="2028"/>
      <c r="P8" s="2028"/>
      <c r="Q8" s="2028"/>
      <c r="R8" s="2028"/>
      <c r="S8" s="2028"/>
      <c r="T8" s="2028"/>
      <c r="U8" s="2028"/>
      <c r="V8" s="2028"/>
    </row>
    <row r="9" spans="1:22" ht="14.25">
      <c r="A9" s="3433"/>
      <c r="B9" s="3434"/>
      <c r="C9" s="3436"/>
      <c r="D9" s="3437"/>
      <c r="E9" s="261" t="s">
        <v>308</v>
      </c>
      <c r="F9" s="262"/>
      <c r="G9" s="262"/>
      <c r="H9" s="262"/>
      <c r="I9" s="263"/>
      <c r="J9" s="2029"/>
      <c r="K9" s="2028"/>
      <c r="L9" s="2028"/>
      <c r="M9" s="2028"/>
      <c r="N9" s="2028"/>
      <c r="O9" s="2028"/>
      <c r="P9" s="2028"/>
      <c r="Q9" s="2028"/>
      <c r="R9" s="2028"/>
      <c r="S9" s="2028"/>
      <c r="T9" s="2028"/>
      <c r="U9" s="2028"/>
      <c r="V9" s="2028"/>
    </row>
    <row r="10" spans="1:22" ht="14.25">
      <c r="A10" s="3433" t="s">
        <v>309</v>
      </c>
      <c r="B10" s="3434">
        <v>15</v>
      </c>
      <c r="C10" s="3435"/>
      <c r="D10" s="3437"/>
      <c r="E10" s="261" t="s">
        <v>310</v>
      </c>
      <c r="F10" s="262"/>
      <c r="G10" s="262"/>
      <c r="H10" s="262"/>
      <c r="I10" s="263"/>
      <c r="J10" s="2029"/>
      <c r="K10" s="2028"/>
      <c r="L10" s="2028"/>
      <c r="M10" s="2028"/>
      <c r="N10" s="2028"/>
      <c r="O10" s="2028"/>
      <c r="P10" s="2028"/>
      <c r="Q10" s="2028"/>
      <c r="R10" s="2028"/>
      <c r="S10" s="2028"/>
      <c r="T10" s="2028"/>
      <c r="U10" s="2028"/>
      <c r="V10" s="2028"/>
    </row>
    <row r="11" spans="1:22" ht="14.25">
      <c r="A11" s="3433"/>
      <c r="B11" s="3434"/>
      <c r="C11" s="3436"/>
      <c r="D11" s="3437"/>
      <c r="E11" s="261" t="s">
        <v>311</v>
      </c>
      <c r="F11" s="262"/>
      <c r="G11" s="262"/>
      <c r="H11" s="262"/>
      <c r="I11" s="263"/>
      <c r="J11" s="2029"/>
      <c r="K11" s="2028"/>
      <c r="L11" s="2028"/>
      <c r="M11" s="2028"/>
      <c r="N11" s="2028"/>
      <c r="O11" s="2028"/>
      <c r="P11" s="2028"/>
      <c r="Q11" s="2028"/>
      <c r="R11" s="2028"/>
      <c r="S11" s="2028"/>
      <c r="T11" s="2028"/>
      <c r="U11" s="2028"/>
      <c r="V11" s="2028"/>
    </row>
    <row r="12" spans="1:22" ht="14.25">
      <c r="A12" s="3433" t="s">
        <v>312</v>
      </c>
      <c r="B12" s="3434">
        <v>15</v>
      </c>
      <c r="C12" s="3435"/>
      <c r="D12" s="3437"/>
      <c r="E12" s="261" t="s">
        <v>313</v>
      </c>
      <c r="F12" s="262"/>
      <c r="G12" s="262"/>
      <c r="H12" s="262"/>
      <c r="I12" s="263"/>
      <c r="J12" s="2029"/>
      <c r="K12" s="2028"/>
      <c r="L12" s="2028"/>
      <c r="M12" s="2028"/>
      <c r="N12" s="2028"/>
      <c r="O12" s="2028"/>
      <c r="P12" s="2028"/>
      <c r="Q12" s="2028"/>
      <c r="R12" s="2028"/>
      <c r="S12" s="2028"/>
      <c r="T12" s="2028"/>
      <c r="U12" s="2028"/>
      <c r="V12" s="2028"/>
    </row>
    <row r="13" spans="1:22" ht="14.25">
      <c r="A13" s="3433"/>
      <c r="B13" s="3434"/>
      <c r="C13" s="3436"/>
      <c r="D13" s="3437"/>
      <c r="E13" s="261" t="s">
        <v>314</v>
      </c>
      <c r="F13" s="262"/>
      <c r="G13" s="262"/>
      <c r="H13" s="262"/>
      <c r="I13" s="263"/>
      <c r="J13" s="2029"/>
      <c r="K13" s="2028"/>
      <c r="L13" s="2028"/>
      <c r="M13" s="2028"/>
      <c r="N13" s="2028"/>
      <c r="O13" s="2028"/>
      <c r="P13" s="2028"/>
      <c r="Q13" s="2028"/>
      <c r="R13" s="2028"/>
      <c r="S13" s="2028"/>
      <c r="T13" s="2028"/>
      <c r="U13" s="2028"/>
      <c r="V13" s="2028"/>
    </row>
    <row r="14" spans="1:22" ht="14.25">
      <c r="A14" s="3433" t="s">
        <v>315</v>
      </c>
      <c r="B14" s="3434">
        <v>30</v>
      </c>
      <c r="C14" s="3435"/>
      <c r="D14" s="3437"/>
      <c r="E14" s="261" t="s">
        <v>316</v>
      </c>
      <c r="F14" s="262"/>
      <c r="G14" s="262"/>
      <c r="H14" s="262"/>
      <c r="I14" s="263"/>
      <c r="J14" s="2029"/>
      <c r="K14" s="2028"/>
      <c r="L14" s="2028"/>
      <c r="M14" s="2028"/>
      <c r="N14" s="2028"/>
      <c r="O14" s="2028"/>
      <c r="P14" s="2028"/>
      <c r="Q14" s="2028"/>
      <c r="R14" s="2028"/>
      <c r="S14" s="2028"/>
      <c r="T14" s="2028"/>
      <c r="U14" s="2028"/>
      <c r="V14" s="2028"/>
    </row>
    <row r="15" spans="1:22" ht="14.25">
      <c r="A15" s="3433"/>
      <c r="B15" s="3434"/>
      <c r="C15" s="3438"/>
      <c r="D15" s="3437"/>
      <c r="E15" s="261" t="s">
        <v>317</v>
      </c>
      <c r="F15" s="262"/>
      <c r="G15" s="262"/>
      <c r="H15" s="262"/>
      <c r="I15" s="263"/>
      <c r="J15" s="2029"/>
      <c r="K15" s="2028"/>
      <c r="L15" s="2028"/>
      <c r="M15" s="2028"/>
      <c r="N15" s="2028"/>
      <c r="O15" s="2028"/>
      <c r="P15" s="2028"/>
      <c r="Q15" s="2028"/>
      <c r="R15" s="2028"/>
      <c r="S15" s="2028"/>
      <c r="T15" s="2028"/>
      <c r="U15" s="2028"/>
      <c r="V15" s="2028"/>
    </row>
    <row r="16" spans="1:22" ht="14.25">
      <c r="A16" s="3433"/>
      <c r="B16" s="3434"/>
      <c r="C16" s="3436"/>
      <c r="D16" s="3437"/>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6</v>
      </c>
      <c r="D17" s="265">
        <f>SUM(D5:D16)</f>
        <v>4</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0.6</v>
      </c>
      <c r="D18" s="267">
        <f>1-C18</f>
        <v>0.4</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SUMIF(INDIRECT("'"&amp;C4&amp;"'"&amp;"!A:A"),'结果表-商业'!B19,INDIRECT("'"&amp;C4&amp;"'"&amp;"!B:B"))</f>
        <v>179984</v>
      </c>
      <c r="D19" s="271">
        <f ca="1">SUMIF(INDIRECT("'"&amp;D4&amp;"'"&amp;"!A:A"),'结果表-商业'!B19,INDIRECT("'"&amp;D4&amp;"'"&amp;"!B:B"))</f>
        <v>145453</v>
      </c>
      <c r="E19" s="268" t="s">
        <v>323</v>
      </c>
      <c r="F19" s="269" t="s">
        <v>322</v>
      </c>
      <c r="G19" s="272">
        <f ca="1">ROUND(C19*$C$18+D19*$D$18,0)</f>
        <v>166172</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SUMIF(INDIRECT("'"&amp;C4&amp;"'"&amp;"!A:A"),'结果表-商业'!B20,INDIRECT("'"&amp;C4&amp;"'"&amp;"!B:B"))</f>
        <v>21062</v>
      </c>
      <c r="D20" s="277">
        <f ca="1">SUMIF(INDIRECT("'"&amp;D4&amp;"'"&amp;"!A:A"),'结果表-商业'!B20,INDIRECT("'"&amp;D4&amp;"'"&amp;"!B:B"))</f>
        <v>17021</v>
      </c>
      <c r="E20" s="274"/>
      <c r="F20" s="275" t="s">
        <v>325</v>
      </c>
      <c r="G20" s="278">
        <f ca="1">ROUND(C20*$C$18+D20*$D$18,0)</f>
        <v>19446</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SUMIF(INDIRECT("'"&amp;C4&amp;"'"&amp;"!A:A"),'结果表-商业'!B21,INDIRECT("'"&amp;C4&amp;"'"&amp;"!B:B"))</f>
        <v>107732</v>
      </c>
      <c r="D21" s="151">
        <f ca="1">SUMIF(INDIRECT("'"&amp;D4&amp;"'"&amp;"!A:A"),'结果表-商业'!B21,INDIRECT("'"&amp;D4&amp;"'"&amp;"!B:B"))</f>
        <v>87063</v>
      </c>
      <c r="E21" s="274"/>
      <c r="F21" s="280" t="s">
        <v>327</v>
      </c>
      <c r="G21" s="282">
        <f ca="1">ROUND(C21*$C$18+D21*$D$18,0)</f>
        <v>99464</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0.23740314740844126</v>
      </c>
      <c r="E22" s="284"/>
      <c r="F22" s="285"/>
      <c r="G22" s="286">
        <f ca="1">ROUND(G19/('数据-汇总表'!D3/666.67),0)</f>
        <v>1415</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439"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440"/>
      <c r="B25" s="1320" t="s">
        <v>331</v>
      </c>
      <c r="C25" s="290">
        <f>IF(B30=0,0,C30)</f>
        <v>0</v>
      </c>
      <c r="D25" s="291"/>
      <c r="E25" s="311"/>
      <c r="F25" s="311"/>
      <c r="G25" s="311"/>
      <c r="H25" s="311"/>
      <c r="I25" s="311"/>
      <c r="J25" s="2028"/>
      <c r="K25" s="1254" t="str">
        <f ca="1">项目基本情况!B16&amp;"国有建设用地使用权价格："&amp;O38&amp;"万元"</f>
        <v>国有建设用地使用权价格：166172万元</v>
      </c>
      <c r="L25" s="1255"/>
      <c r="M25" s="1255"/>
      <c r="N25" s="1255"/>
      <c r="O25" s="1256"/>
      <c r="P25" s="2028"/>
      <c r="Q25" s="2028"/>
      <c r="R25" s="2028"/>
      <c r="S25" s="2028"/>
      <c r="T25" s="2028"/>
      <c r="U25" s="2028"/>
      <c r="V25" s="2028"/>
    </row>
    <row r="26" spans="1:26" s="1253" customFormat="1" ht="18">
      <c r="A26" s="293" t="s">
        <v>332</v>
      </c>
      <c r="B26" s="294" t="s">
        <v>333</v>
      </c>
      <c r="C26" s="294" t="s">
        <v>334</v>
      </c>
      <c r="D26" s="295" t="s">
        <v>335</v>
      </c>
      <c r="E26" s="311"/>
      <c r="F26" s="311"/>
      <c r="G26" s="311"/>
      <c r="H26" s="311"/>
      <c r="I26" s="311"/>
      <c r="J26" s="2028"/>
      <c r="K26" s="1257" t="str">
        <f ca="1">"大写金额：人民币"&amp;NUMBERSTRING(INT(O38*10000),2)&amp;"元整"</f>
        <v>大写金额：人民币壹拾陆亿陆仟壹佰柒拾贰万元整</v>
      </c>
      <c r="L26" s="1251"/>
      <c r="M26" s="1251"/>
      <c r="N26" s="1251"/>
      <c r="O26" s="1250"/>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7" t="str">
        <f ca="1">"单位面积地价："&amp;M38&amp;"元/平方米"</f>
        <v>单位面积地价：21223元/平方米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楼面地价：4149元/平方米</v>
      </c>
      <c r="L28" s="1251"/>
      <c r="M28" s="1251"/>
      <c r="N28" s="1251"/>
      <c r="O28" s="1250"/>
      <c r="P28" s="2028"/>
      <c r="V28" s="2028"/>
    </row>
    <row r="29" spans="1:26" ht="18">
      <c r="A29" s="293"/>
      <c r="B29" s="294"/>
      <c r="C29" s="294"/>
      <c r="D29" s="295"/>
      <c r="E29" s="311"/>
      <c r="F29" s="311"/>
      <c r="G29" s="311"/>
      <c r="H29" s="311"/>
      <c r="I29" s="311"/>
      <c r="J29" s="2028"/>
      <c r="K29" s="1257" t="str">
        <f>IF(OR(项目基本情况!E8="抵押价格",项目基本情况!E8="已注销及未注销"),"抵押价格："&amp;O39&amp;"万元","——")</f>
        <v>——</v>
      </c>
      <c r="L29" s="1251"/>
      <c r="M29" s="1251"/>
      <c r="N29" s="1251"/>
      <c r="O29" s="1250"/>
      <c r="P29" s="2028"/>
      <c r="V29" s="2028"/>
    </row>
    <row r="30" spans="1:26" ht="18.75" thickBot="1">
      <c r="A30" s="3105" t="s">
        <v>336</v>
      </c>
      <c r="B30" s="309"/>
      <c r="C30" s="309"/>
      <c r="D30" s="310"/>
      <c r="E30" s="3106" t="s">
        <v>2966</v>
      </c>
      <c r="F30" s="311"/>
      <c r="G30" s="311"/>
      <c r="H30" s="311"/>
      <c r="I30" s="311"/>
      <c r="J30" s="2028"/>
      <c r="K30" s="1257" t="str">
        <f>IF(K29="——","——","大写金额：人民币"&amp;NUMBERSTRING(INT(O39*10000),2)&amp;"元整")</f>
        <v>——</v>
      </c>
      <c r="L30" s="1251"/>
      <c r="M30" s="1251"/>
      <c r="N30" s="1251"/>
      <c r="O30" s="1250"/>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抵押担保权已注销时的抵押价格：——万元</v>
      </c>
      <c r="L31" s="2443"/>
      <c r="M31" s="2443"/>
      <c r="N31" s="2443"/>
      <c r="O31" s="2444"/>
      <c r="P31" s="2028"/>
      <c r="V31" s="2028"/>
    </row>
    <row r="32" spans="1:26" ht="18.75" thickBot="1">
      <c r="A32" s="268" t="s">
        <v>337</v>
      </c>
      <c r="B32" s="1381" t="s">
        <v>1689</v>
      </c>
      <c r="C32" s="1382">
        <f ca="1">G19-C24</f>
        <v>166172</v>
      </c>
      <c r="D32" s="1383" t="s">
        <v>1690</v>
      </c>
      <c r="E32" s="311"/>
      <c r="F32" s="311"/>
      <c r="G32" s="311"/>
      <c r="H32" s="311"/>
      <c r="I32" s="311"/>
      <c r="J32" s="2028"/>
      <c r="K32" s="2442" t="e">
        <f>IF(K31="——","——","大写金额：人民币"&amp;NUMBERSTRING(INT(O40*10000),2)&amp;"元整")</f>
        <v>#VALUE!</v>
      </c>
      <c r="L32" s="2445"/>
      <c r="M32" s="2445"/>
      <c r="N32" s="2445"/>
      <c r="O32" s="2446"/>
      <c r="P32" s="2028"/>
      <c r="V32" s="2028"/>
    </row>
    <row r="33" spans="1:26" ht="18.75" thickBot="1">
      <c r="A33" s="298" t="s">
        <v>340</v>
      </c>
      <c r="B33" s="1384" t="s">
        <v>1691</v>
      </c>
      <c r="C33" s="264">
        <f ca="1">ROUND(C32*10000/'数据-汇总表'!E3,0)</f>
        <v>4149</v>
      </c>
      <c r="D33" s="1385" t="s">
        <v>1692</v>
      </c>
      <c r="E33" s="3439" t="s">
        <v>338</v>
      </c>
      <c r="F33" s="296" t="s">
        <v>339</v>
      </c>
      <c r="G33" s="297"/>
      <c r="H33" s="980"/>
      <c r="I33" s="1258"/>
      <c r="J33" s="2028"/>
      <c r="K33" s="1257" t="str">
        <f>IF(项目基本情况!E9="——","——","抵押净值："&amp;C46&amp;"万元")</f>
        <v>抵押净值：——万元</v>
      </c>
      <c r="L33" s="1251"/>
      <c r="M33" s="1251"/>
      <c r="N33" s="1251"/>
      <c r="O33" s="1250"/>
      <c r="P33" s="2028"/>
      <c r="V33" s="2028"/>
    </row>
    <row r="34" spans="1:26" s="1253" customFormat="1" ht="18.75" thickBot="1">
      <c r="A34" s="300"/>
      <c r="B34" s="1386" t="s">
        <v>1693</v>
      </c>
      <c r="C34" s="264">
        <f ca="1">ROUND(C32*10000/'数据-汇总表'!D3,0)</f>
        <v>21223</v>
      </c>
      <c r="D34" s="1387" t="s">
        <v>1692</v>
      </c>
      <c r="E34" s="3441"/>
      <c r="F34" s="127" t="s">
        <v>341</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8"/>
      <c r="C35" s="1389">
        <f ca="1">ROUND(C32/('数据-汇总表'!D3/666.67),0)</f>
        <v>1415</v>
      </c>
      <c r="D35" s="1390" t="s">
        <v>1694</v>
      </c>
      <c r="E35" s="3442"/>
      <c r="F35" s="301" t="s">
        <v>342</v>
      </c>
      <c r="G35" s="982"/>
      <c r="H35" s="981" t="s">
        <v>343</v>
      </c>
      <c r="I35" s="311"/>
      <c r="J35" s="2028"/>
      <c r="K35" s="3430" t="s">
        <v>350</v>
      </c>
      <c r="L35" s="3430" t="s">
        <v>351</v>
      </c>
      <c r="M35" s="1263" t="s">
        <v>352</v>
      </c>
      <c r="N35" s="3430" t="s">
        <v>353</v>
      </c>
      <c r="O35" s="3430" t="s">
        <v>354</v>
      </c>
      <c r="P35" s="2028"/>
      <c r="V35" s="2028"/>
    </row>
    <row r="36" spans="1:26" ht="16.5" customHeight="1">
      <c r="A36" s="303" t="s">
        <v>344</v>
      </c>
      <c r="B36" s="304" t="s">
        <v>333</v>
      </c>
      <c r="C36" s="305" t="s">
        <v>345</v>
      </c>
      <c r="D36" s="305" t="s">
        <v>346</v>
      </c>
      <c r="E36" s="306" t="s">
        <v>347</v>
      </c>
      <c r="F36" s="311"/>
      <c r="G36" s="311"/>
      <c r="H36" s="311"/>
      <c r="I36" s="311"/>
      <c r="J36" s="2030"/>
      <c r="K36" s="3431"/>
      <c r="L36" s="3431"/>
      <c r="M36" s="1265" t="s">
        <v>355</v>
      </c>
      <c r="N36" s="3431"/>
      <c r="O36" s="3431"/>
      <c r="P36" s="2028"/>
      <c r="V36" s="2028"/>
    </row>
    <row r="37" spans="1:26" ht="16.5" customHeight="1" thickBot="1">
      <c r="A37" s="1259" t="s">
        <v>348</v>
      </c>
      <c r="B37" s="307"/>
      <c r="C37" s="294"/>
      <c r="D37" s="294"/>
      <c r="E37" s="295"/>
      <c r="F37" s="311"/>
      <c r="G37" s="311"/>
      <c r="H37" s="311"/>
      <c r="I37" s="311"/>
      <c r="J37" s="2030"/>
      <c r="K37" s="3432"/>
      <c r="L37" s="3432"/>
      <c r="M37" s="1266"/>
      <c r="N37" s="3432"/>
      <c r="O37" s="3432"/>
      <c r="P37" s="2028"/>
      <c r="V37" s="2028"/>
    </row>
    <row r="38" spans="1:26" ht="16.5" customHeight="1" thickBot="1">
      <c r="A38" s="1259" t="s">
        <v>349</v>
      </c>
      <c r="B38" s="307"/>
      <c r="C38" s="294"/>
      <c r="D38" s="294"/>
      <c r="E38" s="295"/>
      <c r="F38" s="311"/>
      <c r="G38" s="311"/>
      <c r="H38" s="311"/>
      <c r="I38" s="311"/>
      <c r="J38" s="2030"/>
      <c r="K38" s="1267">
        <f>'数据-汇总表'!D3</f>
        <v>78298.679999999993</v>
      </c>
      <c r="L38" s="1268">
        <f>'数据-汇总表'!E3</f>
        <v>400500</v>
      </c>
      <c r="M38" s="1268">
        <f ca="1">C34</f>
        <v>21223</v>
      </c>
      <c r="N38" s="1268">
        <f ca="1">C33</f>
        <v>4149</v>
      </c>
      <c r="O38" s="1269">
        <f ca="1">C32</f>
        <v>166172</v>
      </c>
      <c r="P38" s="2028"/>
      <c r="V38" s="2028"/>
    </row>
    <row r="39" spans="1:26" ht="16.5" customHeight="1" thickBot="1">
      <c r="A39" s="1264"/>
      <c r="B39" s="308"/>
      <c r="C39" s="309"/>
      <c r="D39" s="309"/>
      <c r="E39" s="310"/>
      <c r="F39" s="311"/>
      <c r="G39" s="311"/>
      <c r="H39" s="311"/>
      <c r="I39" s="311"/>
      <c r="J39" s="2030"/>
      <c r="K39" s="3412" t="str">
        <f>MID(A44,3,LEN(A44)-2)</f>
        <v/>
      </c>
      <c r="L39" s="3413"/>
      <c r="M39" s="3413"/>
      <c r="N39" s="3414"/>
      <c r="O39" s="1392" t="str">
        <f>C44</f>
        <v>——</v>
      </c>
      <c r="P39" s="2028"/>
      <c r="V39" s="2028"/>
    </row>
    <row r="40" spans="1:26" ht="19.5" thickBot="1">
      <c r="A40" s="104" t="s">
        <v>873</v>
      </c>
      <c r="B40" s="311"/>
      <c r="C40" s="311"/>
      <c r="D40" s="311"/>
      <c r="E40" s="311"/>
      <c r="F40" s="311"/>
      <c r="G40" s="311"/>
      <c r="H40" s="311"/>
      <c r="I40" s="311"/>
      <c r="J40" s="2030"/>
      <c r="K40" s="3412" t="str">
        <f t="shared" ref="K40:K41" si="0">MID(A45,3,LEN(A45)-2)</f>
        <v/>
      </c>
      <c r="L40" s="3413"/>
      <c r="M40" s="3413"/>
      <c r="N40" s="3414"/>
      <c r="O40" s="1392" t="str">
        <f>C45</f>
        <v>——</v>
      </c>
      <c r="P40" s="2028"/>
      <c r="V40" s="2028"/>
    </row>
    <row r="41" spans="1:26" ht="16.5" thickBot="1">
      <c r="A41" s="312" t="s">
        <v>356</v>
      </c>
      <c r="B41" s="313"/>
      <c r="C41" s="314" t="s">
        <v>357</v>
      </c>
      <c r="D41" s="315" t="s">
        <v>358</v>
      </c>
      <c r="E41" s="315" t="s">
        <v>359</v>
      </c>
      <c r="F41" s="316" t="s">
        <v>360</v>
      </c>
      <c r="G41" s="311"/>
      <c r="H41" s="311"/>
      <c r="I41" s="311"/>
      <c r="J41" s="2030"/>
      <c r="K41" s="3412" t="str">
        <f t="shared" si="0"/>
        <v/>
      </c>
      <c r="L41" s="3413"/>
      <c r="M41" s="3413"/>
      <c r="N41" s="3414"/>
      <c r="O41" s="1392" t="str">
        <f>C46</f>
        <v>——</v>
      </c>
      <c r="P41" s="2028"/>
      <c r="V41" s="2028"/>
    </row>
    <row r="42" spans="1:26" ht="29.25">
      <c r="A42" s="3415" t="s">
        <v>2068</v>
      </c>
      <c r="B42" s="3416"/>
      <c r="C42" s="264">
        <f ca="1">C32</f>
        <v>166172</v>
      </c>
      <c r="D42" s="317">
        <f ca="1">C33</f>
        <v>4149</v>
      </c>
      <c r="E42" s="317">
        <f ca="1">C34</f>
        <v>21223</v>
      </c>
      <c r="F42" s="318">
        <f ca="1">C35</f>
        <v>1415</v>
      </c>
      <c r="G42" s="311"/>
      <c r="H42" s="311"/>
      <c r="I42" s="319"/>
      <c r="J42" s="2030"/>
      <c r="K42" s="1270" t="s">
        <v>361</v>
      </c>
      <c r="L42" s="2047" t="s">
        <v>362</v>
      </c>
      <c r="M42" s="1271" t="s">
        <v>363</v>
      </c>
      <c r="N42" s="2048" t="s">
        <v>364</v>
      </c>
      <c r="O42" s="2049" t="s">
        <v>365</v>
      </c>
      <c r="P42" s="2028"/>
      <c r="V42" s="2028"/>
    </row>
    <row r="43" spans="1:26" ht="18">
      <c r="A43" s="3417" t="s">
        <v>2731</v>
      </c>
      <c r="B43" s="3418"/>
      <c r="C43" s="264">
        <f>IF(H33="正常操作",G33+G34+G35,G34+G35)</f>
        <v>0</v>
      </c>
      <c r="D43" s="317" t="s">
        <v>43</v>
      </c>
      <c r="E43" s="317" t="s">
        <v>43</v>
      </c>
      <c r="F43" s="318" t="s">
        <v>43</v>
      </c>
      <c r="G43" s="2845" t="s">
        <v>952</v>
      </c>
      <c r="H43" s="311"/>
      <c r="I43" s="319"/>
      <c r="J43" s="2030"/>
      <c r="K43" s="1272" t="str">
        <f>C4</f>
        <v>剩余法-商业</v>
      </c>
      <c r="L43" s="1273">
        <f ca="1">IF(L42="估价结果/万元",C19,C20)</f>
        <v>179984</v>
      </c>
      <c r="M43" s="1274">
        <f>C18</f>
        <v>0.6</v>
      </c>
      <c r="N43" s="1275">
        <f ca="1">IF(N42="测算结果/万元",G19,G20)</f>
        <v>166172</v>
      </c>
      <c r="O43" s="1276">
        <f ca="1">IF(O42="最终结果/万元",C32,C33)</f>
        <v>166172</v>
      </c>
      <c r="P43" s="2028"/>
      <c r="V43" s="2028"/>
    </row>
    <row r="44" spans="1:26" ht="30.75" thickBot="1">
      <c r="A44" s="3415" t="str">
        <f>IF(OR(项目基本情况!E8="抵押价格",项目基本情况!E8="已注销及未注销"),"3.抵押价格","——")</f>
        <v>——</v>
      </c>
      <c r="B44" s="3416"/>
      <c r="C44" s="264" t="str">
        <f>IF(A44="——","——",C42-C43)</f>
        <v>——</v>
      </c>
      <c r="D44" s="317" t="e">
        <f>ROUND(C44*10000/'数据-汇总表'!E3,0)</f>
        <v>#VALUE!</v>
      </c>
      <c r="E44" s="317" t="e">
        <f>ROUND(C44*10000/'数据-汇总表'!D3,0)</f>
        <v>#VALUE!</v>
      </c>
      <c r="F44" s="318" t="e">
        <f>ROUND(C44/('数据-汇总表'!D3/666.67),0)</f>
        <v>#VALUE!</v>
      </c>
      <c r="G44" s="311"/>
      <c r="H44" s="311"/>
      <c r="I44" s="319"/>
      <c r="J44" s="2030"/>
      <c r="K44" s="1277" t="str">
        <f>D4</f>
        <v>基准地价-商业</v>
      </c>
      <c r="L44" s="1278">
        <f ca="1">IF(L42="估价结果/万元",D19,D20)</f>
        <v>145453</v>
      </c>
      <c r="M44" s="1279">
        <f>D18</f>
        <v>0.4</v>
      </c>
      <c r="N44" s="1280"/>
      <c r="O44" s="1281"/>
      <c r="P44" s="2028"/>
      <c r="V44" s="2028"/>
    </row>
    <row r="45" spans="1:26" ht="15">
      <c r="A45" s="3419" t="str">
        <f>IF(项目基本情况!E8="已注销及未注销","4.抵押担保权已注销时的抵押价格",IF(项目基本情况!E8="已注销","3.抵押担保权已注销时的抵押价格","——"))</f>
        <v>——</v>
      </c>
      <c r="B45" s="3420"/>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421" t="str">
        <f>IF(项目基本情况!E9="抵押净值",IF(A45="——","4.抵押净值","5.抵押净值"),"——")</f>
        <v>——</v>
      </c>
      <c r="B46" s="3422"/>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2"/>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423" t="s">
        <v>374</v>
      </c>
      <c r="B63" s="3424"/>
      <c r="C63" s="3425"/>
      <c r="D63" s="341">
        <f ca="1">ROUND(C42*F63,0)</f>
        <v>99703</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426" t="s">
        <v>378</v>
      </c>
      <c r="B64" s="3427"/>
      <c r="C64" s="3427"/>
      <c r="D64" s="3427"/>
      <c r="E64" s="3427"/>
      <c r="F64" s="3427"/>
      <c r="G64" s="3428"/>
      <c r="H64" s="1287"/>
      <c r="I64" s="948"/>
      <c r="J64" s="1990"/>
      <c r="K64" s="1561"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7"/>
      <c r="I65" s="948"/>
      <c r="J65" s="1990"/>
      <c r="K65" s="1288"/>
      <c r="L65" s="1289"/>
      <c r="M65" s="1289"/>
      <c r="N65" s="1321" t="s">
        <v>379</v>
      </c>
      <c r="O65" s="1322"/>
      <c r="P65" s="1323"/>
      <c r="Q65" s="2028"/>
      <c r="R65" s="2028"/>
      <c r="S65" s="2028"/>
      <c r="T65" s="2028"/>
      <c r="U65" s="2028"/>
      <c r="V65" s="2028"/>
    </row>
    <row r="66" spans="1:22" ht="25.5">
      <c r="A66" s="3429" t="s">
        <v>386</v>
      </c>
      <c r="B66" s="3396"/>
      <c r="C66" s="3396"/>
      <c r="D66" s="261">
        <f ca="1">IF(H66="情况1",0,IF(H66="情况2",D70,IF(H66="情况3",D71,IF(H66="情况4",D72))))</f>
        <v>5317</v>
      </c>
      <c r="E66" s="3182" t="str">
        <f>IF(H66="情况4","(销售额-原购置价)×税（费）率","销售额×税（费）率")</f>
        <v>销售额×税（费）率</v>
      </c>
      <c r="F66" s="350">
        <f>IF(H66="情况1","免征",'数据-取费表'!B41)</f>
        <v>5.6000000000000001E-2</v>
      </c>
      <c r="G66" s="351" t="s">
        <v>387</v>
      </c>
      <c r="H66" s="191" t="s">
        <v>388</v>
      </c>
      <c r="I66" s="1287"/>
      <c r="J66" s="2034"/>
      <c r="K66" s="3192">
        <v>1</v>
      </c>
      <c r="L66" s="3410" t="s">
        <v>385</v>
      </c>
      <c r="M66" s="3411"/>
      <c r="N66" s="2437"/>
      <c r="O66" s="2438"/>
      <c r="P66" s="2439"/>
      <c r="Q66" s="2028"/>
      <c r="R66" s="2028"/>
      <c r="S66" s="2028"/>
      <c r="T66" s="2028"/>
      <c r="U66" s="2028"/>
      <c r="V66" s="2028"/>
    </row>
    <row r="67" spans="1:22" ht="25.5" customHeight="1">
      <c r="A67" s="352" t="s">
        <v>390</v>
      </c>
      <c r="B67" s="3383" t="s">
        <v>391</v>
      </c>
      <c r="C67" s="3383"/>
      <c r="D67" s="353">
        <v>0</v>
      </c>
      <c r="E67" s="41" t="s">
        <v>392</v>
      </c>
      <c r="F67" s="62" t="s">
        <v>21</v>
      </c>
      <c r="G67" s="3402"/>
      <c r="H67" s="311"/>
      <c r="I67" s="1291"/>
      <c r="J67" s="2035"/>
      <c r="K67" s="3189">
        <v>2</v>
      </c>
      <c r="L67" s="3405" t="s">
        <v>389</v>
      </c>
      <c r="M67" s="3405"/>
      <c r="N67" s="1324">
        <f>'数据-取费表'!B2</f>
        <v>43388</v>
      </c>
      <c r="O67" s="1324"/>
      <c r="P67" s="1324"/>
      <c r="Q67" s="2028"/>
      <c r="R67" s="2028"/>
      <c r="S67" s="2028"/>
      <c r="T67" s="2028"/>
      <c r="U67" s="2028"/>
      <c r="V67" s="2028"/>
    </row>
    <row r="68" spans="1:22" ht="25.5" customHeight="1">
      <c r="A68" s="354"/>
      <c r="B68" s="3383" t="s">
        <v>394</v>
      </c>
      <c r="C68" s="3383"/>
      <c r="D68" s="355"/>
      <c r="E68" s="77"/>
      <c r="F68" s="356"/>
      <c r="G68" s="3403"/>
      <c r="H68" s="311"/>
      <c r="I68" s="1291"/>
      <c r="J68" s="2035"/>
      <c r="K68" s="3189">
        <v>3</v>
      </c>
      <c r="L68" s="3405" t="s">
        <v>393</v>
      </c>
      <c r="M68" s="3405"/>
      <c r="N68" s="1292">
        <f ca="1">C42</f>
        <v>166172</v>
      </c>
      <c r="O68" s="1292"/>
      <c r="P68" s="1292"/>
      <c r="Q68" s="2028"/>
      <c r="R68" s="2028"/>
      <c r="S68" s="2028"/>
      <c r="T68" s="2028"/>
      <c r="U68" s="2028"/>
      <c r="V68" s="2028"/>
    </row>
    <row r="69" spans="1:22" ht="12" customHeight="1">
      <c r="A69" s="357"/>
      <c r="B69" s="3383" t="s">
        <v>395</v>
      </c>
      <c r="C69" s="3383"/>
      <c r="D69" s="358"/>
      <c r="E69" s="73"/>
      <c r="F69" s="356"/>
      <c r="G69" s="3404"/>
      <c r="H69" s="311"/>
      <c r="I69" s="1291"/>
      <c r="J69" s="2035"/>
      <c r="K69" s="3191">
        <v>4</v>
      </c>
      <c r="L69" s="3406" t="s">
        <v>2882</v>
      </c>
      <c r="M69" s="3407"/>
      <c r="N69" s="1294" t="str">
        <f>C44</f>
        <v>——</v>
      </c>
      <c r="O69" s="1294"/>
      <c r="P69" s="1294"/>
      <c r="Q69" s="2028"/>
      <c r="R69" s="2028"/>
      <c r="S69" s="2028"/>
      <c r="T69" s="2028"/>
      <c r="U69" s="2028"/>
      <c r="V69" s="2028"/>
    </row>
    <row r="70" spans="1:22" ht="24" customHeight="1">
      <c r="A70" s="359" t="s">
        <v>396</v>
      </c>
      <c r="B70" s="3383" t="s">
        <v>397</v>
      </c>
      <c r="C70" s="3383"/>
      <c r="D70" s="358">
        <f ca="1">ROUND(D63*'数据-取费表'!B41/(1+'数据-取费表'!C42),0)</f>
        <v>5317</v>
      </c>
      <c r="E70" s="17" t="s">
        <v>398</v>
      </c>
      <c r="F70" s="360">
        <f>'数据-取费表'!B41</f>
        <v>5.6000000000000001E-2</v>
      </c>
      <c r="G70" s="361"/>
      <c r="H70" s="311"/>
      <c r="I70" s="1291"/>
      <c r="J70" s="2035"/>
      <c r="K70" s="3038"/>
      <c r="L70" s="3039"/>
      <c r="M70" s="3039"/>
      <c r="N70" s="3040" t="s">
        <v>2887</v>
      </c>
      <c r="O70" s="3039"/>
      <c r="P70" s="3041"/>
      <c r="Q70" s="2028"/>
      <c r="R70" s="2028"/>
      <c r="S70" s="2028"/>
      <c r="T70" s="2028"/>
      <c r="U70" s="2028"/>
      <c r="V70" s="2028"/>
    </row>
    <row r="71" spans="1:22" ht="12" customHeight="1">
      <c r="A71" s="359" t="s">
        <v>404</v>
      </c>
      <c r="B71" s="3382" t="s">
        <v>405</v>
      </c>
      <c r="C71" s="3408"/>
      <c r="D71" s="358">
        <f ca="1">ROUND(D63*'数据-取费表'!B41/(1+'数据-取费表'!C42),0)</f>
        <v>5317</v>
      </c>
      <c r="E71" s="17" t="s">
        <v>398</v>
      </c>
      <c r="F71" s="360">
        <f>'数据-取费表'!B41</f>
        <v>5.6000000000000001E-2</v>
      </c>
      <c r="G71" s="361"/>
      <c r="H71" s="311"/>
      <c r="I71" s="1291"/>
      <c r="J71" s="2035"/>
      <c r="K71" s="3193" t="s">
        <v>399</v>
      </c>
      <c r="L71" s="3409" t="s">
        <v>400</v>
      </c>
      <c r="M71" s="3409"/>
      <c r="N71" s="3193" t="s">
        <v>401</v>
      </c>
      <c r="O71" s="3193" t="s">
        <v>402</v>
      </c>
      <c r="P71" s="3193" t="s">
        <v>403</v>
      </c>
      <c r="Q71" s="2028"/>
      <c r="R71" s="2028"/>
      <c r="S71" s="2028"/>
      <c r="T71" s="2028"/>
      <c r="U71" s="2028"/>
      <c r="V71" s="2028"/>
    </row>
    <row r="72" spans="1:22" ht="12" customHeight="1">
      <c r="A72" s="359" t="s">
        <v>407</v>
      </c>
      <c r="B72" s="3382" t="s">
        <v>408</v>
      </c>
      <c r="C72" s="3408"/>
      <c r="D72" s="358">
        <f ca="1">C86</f>
        <v>5205</v>
      </c>
      <c r="E72" s="73" t="s">
        <v>409</v>
      </c>
      <c r="F72" s="360">
        <f>'数据-取费表'!B41</f>
        <v>5.6000000000000001E-2</v>
      </c>
      <c r="G72" s="361"/>
      <c r="H72" s="1297"/>
      <c r="I72" s="1291"/>
      <c r="J72" s="2035"/>
      <c r="K72" s="3189">
        <v>1</v>
      </c>
      <c r="L72" s="3391" t="s">
        <v>406</v>
      </c>
      <c r="M72" s="3391"/>
      <c r="N72" s="1295">
        <f ca="1">D66</f>
        <v>5317</v>
      </c>
      <c r="O72" s="3188" t="str">
        <f>E66</f>
        <v>销售额×税（费）率</v>
      </c>
      <c r="P72" s="1296">
        <f>F66</f>
        <v>5.6000000000000001E-2</v>
      </c>
      <c r="Q72" s="2028"/>
      <c r="R72" s="2028"/>
      <c r="S72" s="2028"/>
      <c r="T72" s="2028"/>
      <c r="U72" s="2028"/>
      <c r="V72" s="2028"/>
    </row>
    <row r="73" spans="1:22" ht="24" customHeight="1">
      <c r="A73" s="3395" t="s">
        <v>411</v>
      </c>
      <c r="B73" s="3396"/>
      <c r="C73" s="3396"/>
      <c r="D73" s="362">
        <f>IF(H73="个人住宅",0,ROUND(D63*I73,0))</f>
        <v>0</v>
      </c>
      <c r="E73" s="17" t="s">
        <v>412</v>
      </c>
      <c r="F73" s="360" t="str">
        <f>IF(H73="正常",I73,"免征")</f>
        <v>免征</v>
      </c>
      <c r="G73" s="361"/>
      <c r="H73" s="191" t="s">
        <v>2456</v>
      </c>
      <c r="I73" s="360">
        <f>'数据-取费表'!B49</f>
        <v>5.0000000000000001E-4</v>
      </c>
      <c r="J73" s="2035"/>
      <c r="K73" s="3189">
        <v>2</v>
      </c>
      <c r="L73" s="3391" t="s">
        <v>410</v>
      </c>
      <c r="M73" s="3391"/>
      <c r="N73" s="1295">
        <f t="shared" ref="N73:P74" si="1">D73</f>
        <v>0</v>
      </c>
      <c r="O73" s="3188" t="str">
        <f t="shared" si="1"/>
        <v>销售额×税（费）率</v>
      </c>
      <c r="P73" s="1296" t="str">
        <f t="shared" si="1"/>
        <v>免征</v>
      </c>
      <c r="Q73" s="2028"/>
      <c r="R73" s="2028"/>
      <c r="S73" s="2028"/>
      <c r="T73" s="2028"/>
      <c r="U73" s="2028"/>
      <c r="V73" s="2028"/>
    </row>
    <row r="74" spans="1:22" ht="24.75">
      <c r="A74" s="3395" t="s">
        <v>415</v>
      </c>
      <c r="B74" s="3396"/>
      <c r="C74" s="3396"/>
      <c r="D74" s="362">
        <f ca="1">IF(H74="个人住宅",D75,D76)</f>
        <v>55776</v>
      </c>
      <c r="E74" s="17" t="s">
        <v>416</v>
      </c>
      <c r="F74" s="360" t="str">
        <f>IF(H74="正常",F76,"免征")</f>
        <v>——</v>
      </c>
      <c r="G74" s="983" t="s">
        <v>417</v>
      </c>
      <c r="H74" s="363" t="s">
        <v>413</v>
      </c>
      <c r="I74" s="42"/>
      <c r="J74" s="2035"/>
      <c r="K74" s="3189">
        <v>3</v>
      </c>
      <c r="L74" s="3391" t="s">
        <v>414</v>
      </c>
      <c r="M74" s="3391"/>
      <c r="N74" s="1295">
        <f t="shared" ca="1" si="1"/>
        <v>55776</v>
      </c>
      <c r="O74" s="3188" t="str">
        <f t="shared" si="1"/>
        <v>增值额×税（费）率</v>
      </c>
      <c r="P74" s="1298" t="str">
        <f t="shared" si="1"/>
        <v>——</v>
      </c>
      <c r="Q74" s="2028"/>
      <c r="R74" s="2028"/>
      <c r="S74" s="2028"/>
      <c r="T74" s="2028"/>
      <c r="U74" s="2028"/>
      <c r="V74" s="2028"/>
    </row>
    <row r="75" spans="1:22" ht="24">
      <c r="A75" s="359" t="s">
        <v>418</v>
      </c>
      <c r="B75" s="3397" t="s">
        <v>419</v>
      </c>
      <c r="C75" s="3398"/>
      <c r="D75" s="364">
        <v>0</v>
      </c>
      <c r="E75" s="41" t="s">
        <v>420</v>
      </c>
      <c r="F75" s="365"/>
      <c r="G75" s="361"/>
      <c r="H75" s="42"/>
      <c r="I75" s="42"/>
      <c r="J75" s="2035"/>
      <c r="K75" s="3189">
        <f>IF(H77="非个人房产","",4)</f>
        <v>4</v>
      </c>
      <c r="L75" s="3391" t="str">
        <f>IF(H77="非个人房产","——","个人所得税")</f>
        <v>个人所得税</v>
      </c>
      <c r="M75" s="3391"/>
      <c r="N75" s="1299">
        <f ca="1">D77</f>
        <v>997</v>
      </c>
      <c r="O75" s="1872" t="str">
        <f>E77</f>
        <v>销售额×税（费）率</v>
      </c>
      <c r="P75" s="1300">
        <f>F77</f>
        <v>0.01</v>
      </c>
      <c r="Q75" s="2028"/>
      <c r="R75" s="2028"/>
      <c r="S75" s="2028"/>
      <c r="T75" s="2028"/>
      <c r="U75" s="2028"/>
      <c r="V75" s="2028"/>
    </row>
    <row r="76" spans="1:22" ht="24.75">
      <c r="A76" s="359" t="s">
        <v>396</v>
      </c>
      <c r="B76" s="3397" t="s">
        <v>422</v>
      </c>
      <c r="C76" s="3399"/>
      <c r="D76" s="362">
        <f ca="1">IF(H76="转让取得",C99,C115)</f>
        <v>55776</v>
      </c>
      <c r="E76" s="17" t="s">
        <v>423</v>
      </c>
      <c r="F76" s="53" t="s">
        <v>21</v>
      </c>
      <c r="G76" s="361"/>
      <c r="H76" s="363" t="s">
        <v>424</v>
      </c>
      <c r="I76" s="42"/>
      <c r="J76" s="2035"/>
      <c r="K76" s="3189" t="str">
        <f>IF(项目基本情况!K6="上海银行",IF(K75="",4,K75+1),"")</f>
        <v/>
      </c>
      <c r="L76" s="3400" t="str">
        <f>IF(项目基本情况!K6="上海银行","其他处置费用","")</f>
        <v/>
      </c>
      <c r="M76" s="3401"/>
      <c r="N76" s="1295" t="str">
        <f>IF(项目基本情况!K6="上海银行",N89,"")</f>
        <v/>
      </c>
      <c r="O76" s="3386" t="str">
        <f>IF(项目基本情况!K6="上海银行","包含处置中涉及的律师、诉讼、拍卖、评估等费用","")</f>
        <v/>
      </c>
      <c r="P76" s="3387"/>
      <c r="Q76" s="2028"/>
      <c r="R76" s="2028"/>
      <c r="S76" s="2028"/>
      <c r="T76" s="2028"/>
      <c r="U76" s="2028"/>
      <c r="V76" s="2028"/>
    </row>
    <row r="77" spans="1:22" ht="26.25" thickBot="1">
      <c r="A77" s="3388" t="s">
        <v>426</v>
      </c>
      <c r="B77" s="3389"/>
      <c r="C77" s="3389"/>
      <c r="D77" s="366">
        <f ca="1">IF(H77="非个人房产","——",IF(H77="个人住宅",0,ROUND(D63*I77,0)))</f>
        <v>997</v>
      </c>
      <c r="E77" s="367" t="str">
        <f>IF(H77="非个人房产","——","销售额×税（费）率")</f>
        <v>销售额×税（费）率</v>
      </c>
      <c r="F77" s="368">
        <f>IF(H77="非个人房产","——",IF(H77="个人住宅","免征",I77))</f>
        <v>0.01</v>
      </c>
      <c r="G77" s="984" t="s">
        <v>417</v>
      </c>
      <c r="H77" s="363" t="s">
        <v>2883</v>
      </c>
      <c r="I77" s="369">
        <v>0.01</v>
      </c>
      <c r="J77" s="2035"/>
      <c r="K77" s="3390">
        <f>IF(AND(K75="",K76=""),4,IF(项目基本情况!K6="上海银行",K76+1,K75+1))</f>
        <v>5</v>
      </c>
      <c r="L77" s="3391" t="s">
        <v>2884</v>
      </c>
      <c r="M77" s="3036" t="s">
        <v>421</v>
      </c>
      <c r="N77" s="1301"/>
      <c r="O77" s="1302">
        <f ca="1">SUMIF(N72:N76,"&lt;9e307")</f>
        <v>62090</v>
      </c>
      <c r="P77" s="1303"/>
      <c r="Q77" s="3034" t="e">
        <f ca="1">O77/N69</f>
        <v>#VALUE!</v>
      </c>
      <c r="R77" s="2028"/>
      <c r="S77" s="2028"/>
      <c r="T77" s="2028"/>
      <c r="U77" s="2028"/>
      <c r="V77" s="2028"/>
    </row>
    <row r="78" spans="1:22" ht="12" customHeight="1">
      <c r="A78" s="1304"/>
      <c r="B78" s="311"/>
      <c r="C78" s="311"/>
      <c r="D78" s="311"/>
      <c r="E78" s="42"/>
      <c r="F78" s="42"/>
      <c r="G78" s="42"/>
      <c r="H78" s="1003"/>
      <c r="I78" s="311"/>
      <c r="J78" s="2035"/>
      <c r="K78" s="3390"/>
      <c r="L78" s="3391"/>
      <c r="M78" s="3036" t="s">
        <v>425</v>
      </c>
      <c r="N78" s="1301"/>
      <c r="O78" s="1302" t="str">
        <f ca="1">NUMBERSTRING(INT(O77*10000),2)&amp;"元整"</f>
        <v>陆亿贰仟零玖拾万元整</v>
      </c>
      <c r="P78" s="1303"/>
      <c r="Q78" s="2028"/>
      <c r="R78" s="2028"/>
      <c r="S78" s="2028"/>
      <c r="T78" s="2028"/>
      <c r="U78" s="2028"/>
      <c r="V78" s="2028"/>
    </row>
    <row r="79" spans="1:22" ht="13.5" thickBot="1">
      <c r="A79" s="3392" t="s">
        <v>427</v>
      </c>
      <c r="B79" s="3392"/>
      <c r="C79" s="3392"/>
      <c r="D79" s="3392"/>
      <c r="E79" s="3392"/>
      <c r="F79" s="42"/>
      <c r="G79" s="42"/>
      <c r="H79" s="1003"/>
      <c r="I79" s="311"/>
      <c r="J79" s="2035"/>
      <c r="K79" s="3393">
        <f>K77+1</f>
        <v>6</v>
      </c>
      <c r="L79" s="3391" t="s">
        <v>2885</v>
      </c>
      <c r="M79" s="3036" t="s">
        <v>421</v>
      </c>
      <c r="N79" s="1301"/>
      <c r="O79" s="1302" t="e">
        <f ca="1">N69-O77</f>
        <v>#VALUE!</v>
      </c>
      <c r="P79" s="1303"/>
      <c r="Q79" s="2028"/>
      <c r="R79" s="2028"/>
      <c r="S79" s="2028"/>
      <c r="T79" s="2028"/>
      <c r="U79" s="2028"/>
      <c r="V79" s="2028"/>
    </row>
    <row r="80" spans="1:22" ht="12.75">
      <c r="A80" s="3380" t="s">
        <v>428</v>
      </c>
      <c r="B80" s="3381"/>
      <c r="C80" s="3187"/>
      <c r="D80" s="3187" t="s">
        <v>429</v>
      </c>
      <c r="E80" s="370" t="s">
        <v>430</v>
      </c>
      <c r="F80" s="42"/>
      <c r="G80" s="42"/>
      <c r="H80" s="1003"/>
      <c r="I80" s="311"/>
      <c r="J80" s="2028"/>
      <c r="K80" s="3394"/>
      <c r="L80" s="3391"/>
      <c r="M80" s="3036" t="s">
        <v>425</v>
      </c>
      <c r="N80" s="1301"/>
      <c r="O80" s="1302" t="e">
        <f ca="1">NUMBERSTRING(INT(O79*10000),2)&amp;"元整"</f>
        <v>#VALUE!</v>
      </c>
      <c r="P80" s="1303"/>
      <c r="Q80" s="2028"/>
      <c r="R80" s="2028"/>
      <c r="S80" s="2028"/>
      <c r="T80" s="2028"/>
      <c r="U80" s="2028"/>
      <c r="V80" s="2028"/>
    </row>
    <row r="81" spans="1:26" ht="13.5" thickBot="1">
      <c r="A81" s="381" t="s">
        <v>1824</v>
      </c>
      <c r="B81" s="371" t="s">
        <v>431</v>
      </c>
      <c r="C81" s="372">
        <f ca="1">ROUND((C82+C83)/(1+'数据-取费表'!C42),0)</f>
        <v>94955</v>
      </c>
      <c r="D81" s="373"/>
      <c r="E81" s="374"/>
      <c r="F81" s="42"/>
      <c r="G81" s="42"/>
      <c r="H81" s="1003"/>
      <c r="I81" s="311"/>
      <c r="J81" s="2028"/>
      <c r="K81" s="3189">
        <f>K79+1</f>
        <v>7</v>
      </c>
      <c r="L81" s="3375" t="s">
        <v>2886</v>
      </c>
      <c r="M81" s="3376"/>
      <c r="N81" s="1305"/>
      <c r="O81" s="1306" t="e">
        <f ca="1">ROUND(O79*10000/'数据-汇总表'!E3,0)</f>
        <v>#VALUE!</v>
      </c>
      <c r="P81" s="1307"/>
      <c r="Q81" s="2028"/>
      <c r="R81" s="2028"/>
      <c r="S81" s="2028"/>
      <c r="T81" s="2028"/>
      <c r="U81" s="2028"/>
      <c r="V81" s="2028"/>
    </row>
    <row r="82" spans="1:26" ht="13.5" thickTop="1">
      <c r="A82" s="375" t="s">
        <v>1825</v>
      </c>
      <c r="B82" s="376" t="s">
        <v>432</v>
      </c>
      <c r="C82" s="377">
        <f ca="1">D63</f>
        <v>99703</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3"/>
      <c r="I83" s="311"/>
      <c r="J83" s="2028"/>
      <c r="K83" s="3377" t="s">
        <v>2873</v>
      </c>
      <c r="L83" s="3190" t="s">
        <v>2874</v>
      </c>
      <c r="M83" s="3032" t="e">
        <f>IF(N69&gt;10000,N69*0.5%,IF(AND(N69&gt;1000,N69&lt;=10000),N69*1%,IF(AND(N69&gt;100,N69&lt;=1000),N69*3%,IF(AND(N69&gt;10,N69&lt;=100),N69*5%,N69*8%))))</f>
        <v>#VALUE!</v>
      </c>
      <c r="N83" s="53" t="e">
        <f>ROUND(M83,1)</f>
        <v>#VALUE!</v>
      </c>
      <c r="O83" s="3035"/>
      <c r="P83" s="2028"/>
      <c r="Q83" s="2028"/>
      <c r="R83" s="2028"/>
      <c r="S83" s="2028"/>
      <c r="T83" s="2028"/>
      <c r="U83" s="2028"/>
      <c r="V83" s="2028"/>
    </row>
    <row r="84" spans="1:26" ht="12.75">
      <c r="A84" s="381" t="s">
        <v>1827</v>
      </c>
      <c r="B84" s="382" t="s">
        <v>434</v>
      </c>
      <c r="C84" s="383">
        <v>2000</v>
      </c>
      <c r="D84" s="384" t="s">
        <v>19</v>
      </c>
      <c r="E84" s="3076" t="s">
        <v>2938</v>
      </c>
      <c r="F84" s="42"/>
      <c r="G84" s="42"/>
      <c r="H84" s="1003"/>
      <c r="I84" s="311"/>
      <c r="J84" s="2028"/>
      <c r="K84" s="3377"/>
      <c r="L84" s="3190" t="s">
        <v>2875</v>
      </c>
      <c r="M84" s="303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2876</v>
      </c>
      <c r="P84" s="2028"/>
      <c r="Q84" s="2028"/>
      <c r="R84" s="2028"/>
      <c r="S84" s="2028"/>
      <c r="T84" s="2028"/>
      <c r="U84" s="2028"/>
      <c r="V84" s="2028"/>
    </row>
    <row r="85" spans="1:26" ht="12.75">
      <c r="A85" s="381" t="s">
        <v>1828</v>
      </c>
      <c r="B85" s="382" t="s">
        <v>435</v>
      </c>
      <c r="C85" s="385">
        <f ca="1">C81-C84</f>
        <v>92955</v>
      </c>
      <c r="D85" s="378" t="s">
        <v>19</v>
      </c>
      <c r="E85" s="379"/>
      <c r="F85" s="42"/>
      <c r="G85" s="42"/>
      <c r="H85" s="1003"/>
      <c r="I85" s="311"/>
      <c r="J85" s="2028"/>
      <c r="K85" s="3377"/>
      <c r="L85" s="3190" t="s">
        <v>2877</v>
      </c>
      <c r="M85" s="3032" t="e">
        <f>IF(N69&gt;1000,N69*0.1%,IF(AND(N69&gt;500,N69&lt;=1000),N69*0.5%,IF(AND(N69&gt;50,N69&lt;=500),N69*1%,IF(AND(N69&gt;1,N69&lt;=50),N69*1.5%))))</f>
        <v>#VALUE!</v>
      </c>
      <c r="N85" s="53" t="e">
        <f t="shared" si="2"/>
        <v>#VALUE!</v>
      </c>
      <c r="O85" s="2028" t="s">
        <v>2876</v>
      </c>
      <c r="P85" s="2028"/>
      <c r="Q85" s="2028"/>
      <c r="R85" s="2028"/>
      <c r="S85" s="2028"/>
      <c r="T85" s="2028"/>
      <c r="U85" s="2028"/>
      <c r="V85" s="2028"/>
    </row>
    <row r="86" spans="1:26" ht="13.5" thickBot="1">
      <c r="A86" s="386" t="s">
        <v>1829</v>
      </c>
      <c r="B86" s="387" t="s">
        <v>436</v>
      </c>
      <c r="C86" s="388">
        <f ca="1">IF(C85&lt;=0,0,ROUND(C85*D86,0))</f>
        <v>5205</v>
      </c>
      <c r="D86" s="389">
        <f>'数据-取费表'!B41</f>
        <v>5.6000000000000001E-2</v>
      </c>
      <c r="E86" s="390"/>
      <c r="F86" s="42"/>
      <c r="G86" s="42"/>
      <c r="H86" s="1003"/>
      <c r="I86" s="311"/>
      <c r="J86" s="2028"/>
      <c r="K86" s="3377"/>
      <c r="L86" s="3190" t="s">
        <v>2878</v>
      </c>
      <c r="M86" s="3032" t="e">
        <f>N69*0.5%</f>
        <v>#VALUE!</v>
      </c>
      <c r="N86" s="53" t="e">
        <f>IF(M86&gt;0.5,0.5,ROUND(M86,0))</f>
        <v>#VALUE!</v>
      </c>
      <c r="O86" s="2028" t="s">
        <v>2879</v>
      </c>
      <c r="P86" s="2028"/>
      <c r="Q86" s="2028"/>
      <c r="R86" s="2028"/>
      <c r="S86" s="2028"/>
      <c r="T86" s="2028"/>
      <c r="U86" s="2028"/>
      <c r="V86" s="2028"/>
    </row>
    <row r="87" spans="1:26" s="1253" customFormat="1" ht="14.25" customHeight="1">
      <c r="A87" s="1308"/>
      <c r="B87" s="1309"/>
      <c r="C87" s="1310"/>
      <c r="D87" s="1311"/>
      <c r="E87" s="1312"/>
      <c r="F87" s="42"/>
      <c r="G87" s="42"/>
      <c r="H87" s="1003"/>
      <c r="I87" s="311"/>
      <c r="J87" s="2028"/>
      <c r="K87" s="3377"/>
      <c r="L87" s="3190" t="s">
        <v>2880</v>
      </c>
      <c r="M87" s="303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5"/>
      <c r="P87" s="311"/>
      <c r="Q87" s="2028"/>
      <c r="R87" s="2028"/>
      <c r="S87" s="2028"/>
      <c r="T87" s="2028"/>
      <c r="U87" s="2028"/>
      <c r="V87" s="2028"/>
      <c r="W87" s="292"/>
      <c r="X87" s="292"/>
      <c r="Y87" s="292"/>
      <c r="Z87" s="292"/>
    </row>
    <row r="88" spans="1:26" s="1313" customFormat="1" ht="15" thickBot="1">
      <c r="A88" s="3378" t="s">
        <v>437</v>
      </c>
      <c r="B88" s="3379"/>
      <c r="C88" s="3379"/>
      <c r="D88" s="3379"/>
      <c r="E88" s="3379"/>
      <c r="F88" s="3379"/>
      <c r="G88" s="3379"/>
      <c r="H88" s="3379"/>
      <c r="I88" s="1314"/>
      <c r="J88" s="2036"/>
      <c r="K88" s="3377"/>
      <c r="L88" s="3190" t="s">
        <v>2881</v>
      </c>
      <c r="M88" s="3032" t="e">
        <f>IF(N69&gt;10000,N69*0.5%,IF(AND(N69&gt;5000,N69&lt;=10000),N69*1%,IF(AND(N69&gt;1000,N69&lt;=5000),N69*2%,IF(AND(N69&gt;200,N69&lt;=1000),N69*3%,N69*5%))))</f>
        <v>#VALUE!</v>
      </c>
      <c r="N88" s="53" t="e">
        <f>ROUND(M88,1)</f>
        <v>#VALUE!</v>
      </c>
      <c r="O88" s="3035"/>
      <c r="P88" s="11"/>
      <c r="Q88" s="2033"/>
      <c r="R88" s="2033"/>
      <c r="S88" s="2033"/>
      <c r="T88" s="2033"/>
      <c r="U88" s="2033"/>
      <c r="V88" s="2033"/>
      <c r="W88" s="2037"/>
      <c r="X88" s="2037"/>
      <c r="Y88" s="2037"/>
      <c r="Z88" s="2037"/>
    </row>
    <row r="89" spans="1:26" s="1313" customFormat="1" ht="14.25">
      <c r="A89" s="3380" t="s">
        <v>428</v>
      </c>
      <c r="B89" s="3381"/>
      <c r="C89" s="3187"/>
      <c r="D89" s="3187" t="s">
        <v>429</v>
      </c>
      <c r="E89" s="391" t="s">
        <v>438</v>
      </c>
      <c r="F89" s="392"/>
      <c r="G89" s="392"/>
      <c r="H89" s="393"/>
      <c r="I89" s="1315"/>
      <c r="J89" s="2038"/>
      <c r="K89" s="3377"/>
      <c r="L89" s="3190" t="s">
        <v>27</v>
      </c>
      <c r="M89" s="3033"/>
      <c r="N89" s="53" t="e">
        <f>ROUND(SUM(N83:N88),0)</f>
        <v>#VALUE!</v>
      </c>
      <c r="O89" s="3043" t="e">
        <f>N89/N69</f>
        <v>#VALUE!</v>
      </c>
      <c r="P89" s="2033"/>
      <c r="Q89" s="2033"/>
      <c r="R89" s="2033"/>
      <c r="S89" s="2033"/>
      <c r="T89" s="2033"/>
      <c r="U89" s="2033"/>
      <c r="V89" s="2033"/>
      <c r="W89" s="2037"/>
      <c r="X89" s="2037"/>
      <c r="Y89" s="2037"/>
      <c r="Z89" s="2037"/>
    </row>
    <row r="90" spans="1:26" s="1313" customFormat="1" ht="14.25">
      <c r="A90" s="381" t="s">
        <v>1824</v>
      </c>
      <c r="B90" s="382" t="s">
        <v>439</v>
      </c>
      <c r="C90" s="385">
        <f ca="1">ROUND(D63/(1+'数据-取费表'!C42),0)</f>
        <v>94955</v>
      </c>
      <c r="D90" s="378" t="s">
        <v>19</v>
      </c>
      <c r="E90" s="3181"/>
      <c r="F90" s="3180"/>
      <c r="G90" s="3180"/>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1827</v>
      </c>
      <c r="B91" s="348" t="s">
        <v>440</v>
      </c>
      <c r="C91" s="385">
        <f ca="1">C92+C96</f>
        <v>3131</v>
      </c>
      <c r="D91" s="378" t="s">
        <v>19</v>
      </c>
      <c r="E91" s="3181"/>
      <c r="F91" s="3180"/>
      <c r="G91" s="3180"/>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1825</v>
      </c>
      <c r="B92" s="376" t="s">
        <v>441</v>
      </c>
      <c r="C92" s="378">
        <f>ROUND(IF(G95="2016年5月1日后购买",C93/(1+'数据-取费表'!C30)+C94+C95,C93+C94+C95),0)</f>
        <v>2561</v>
      </c>
      <c r="D92" s="378" t="s">
        <v>19</v>
      </c>
      <c r="E92" s="3181"/>
      <c r="F92" s="3180"/>
      <c r="G92" s="3180"/>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1833</v>
      </c>
      <c r="B94" s="400" t="s">
        <v>446</v>
      </c>
      <c r="C94" s="378">
        <f>IF(F93="购房发票",ROUND(C93*H93*5%,0),0)</f>
        <v>500</v>
      </c>
      <c r="D94" s="401">
        <v>0.05</v>
      </c>
      <c r="E94" s="3382" t="s">
        <v>447</v>
      </c>
      <c r="F94" s="3383"/>
      <c r="G94" s="3383"/>
      <c r="H94" s="3384"/>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3186"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1826</v>
      </c>
      <c r="B96" s="376" t="s">
        <v>450</v>
      </c>
      <c r="C96" s="405">
        <f ca="1">ROUND(D63*D96/(1+'数据-取费表'!C42),0)</f>
        <v>570</v>
      </c>
      <c r="D96" s="406">
        <f>'数据-取费表'!B43</f>
        <v>6.000000000000001E-3</v>
      </c>
      <c r="E96" s="3385" t="s">
        <v>2429</v>
      </c>
      <c r="F96" s="3373"/>
      <c r="G96" s="3373"/>
      <c r="H96" s="3374"/>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1828</v>
      </c>
      <c r="B97" s="382" t="s">
        <v>451</v>
      </c>
      <c r="C97" s="385">
        <f ca="1">C90-C91</f>
        <v>91824</v>
      </c>
      <c r="D97" s="378" t="s">
        <v>19</v>
      </c>
      <c r="E97" s="3181"/>
      <c r="F97" s="3180"/>
      <c r="G97" s="3180"/>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1829</v>
      </c>
      <c r="B98" s="382" t="s">
        <v>452</v>
      </c>
      <c r="C98" s="407">
        <f ca="1">IF(C97&lt;=0,0,C97/C91)</f>
        <v>29.327371446822102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3180"/>
      <c r="G98" s="3180"/>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1838</v>
      </c>
      <c r="B99" s="387" t="s">
        <v>453</v>
      </c>
      <c r="C99" s="408">
        <f ca="1">ROUND(IF(C97&lt;=0,0,IF(C98&gt;=200%,C97*60%-C91*35%,IF(C98&gt;=100%,C97*50%-C91*15%,IF(C98&gt;=50%,C97*40%-C91*5%,IF(C98&lt;50%,C97*30%,0))))),0)</f>
        <v>53999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78" t="s">
        <v>454</v>
      </c>
      <c r="B101" s="3379"/>
      <c r="C101" s="3379"/>
      <c r="D101" s="3379"/>
      <c r="E101" s="3379"/>
      <c r="F101" s="3379"/>
      <c r="G101" s="3379"/>
      <c r="H101" s="3379"/>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80" t="s">
        <v>428</v>
      </c>
      <c r="B102" s="3381"/>
      <c r="C102" s="3187"/>
      <c r="D102" s="3187"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1824</v>
      </c>
      <c r="B103" s="382" t="s">
        <v>439</v>
      </c>
      <c r="C103" s="385">
        <f ca="1">ROUND(D63/(1+'数据-取费表'!C42),0)</f>
        <v>94955</v>
      </c>
      <c r="D103" s="378" t="s">
        <v>19</v>
      </c>
      <c r="E103" s="3181"/>
      <c r="F103" s="3180"/>
      <c r="G103" s="318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1827</v>
      </c>
      <c r="B104" s="348" t="s">
        <v>440</v>
      </c>
      <c r="C104" s="385">
        <f ca="1">IF(H106="仅含出让金",C105+C108+C109+C110+C111+C112,C105+C109+C110+C111+C112)</f>
        <v>1260</v>
      </c>
      <c r="D104" s="415"/>
      <c r="E104" s="3181"/>
      <c r="F104" s="3180"/>
      <c r="G104" s="318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1825</v>
      </c>
      <c r="B105" s="376" t="s">
        <v>455</v>
      </c>
      <c r="C105" s="405">
        <f>C106+C107</f>
        <v>572</v>
      </c>
      <c r="D105" s="406"/>
      <c r="E105" s="3185"/>
      <c r="F105" s="3183"/>
      <c r="G105" s="3183"/>
      <c r="H105" s="3184"/>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1832</v>
      </c>
      <c r="B106" s="376" t="s">
        <v>456</v>
      </c>
      <c r="C106" s="416">
        <v>555</v>
      </c>
      <c r="D106" s="406"/>
      <c r="E106" s="417" t="s">
        <v>457</v>
      </c>
      <c r="F106" s="3183"/>
      <c r="G106" s="418" t="s">
        <v>458</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1833</v>
      </c>
      <c r="B107" s="376" t="s">
        <v>448</v>
      </c>
      <c r="C107" s="405">
        <f>ROUND(C106*D107,0)</f>
        <v>17</v>
      </c>
      <c r="D107" s="406">
        <f>'数据-取费表'!B48+'数据-取费表'!B49</f>
        <v>3.0499999999999999E-2</v>
      </c>
      <c r="E107" s="417" t="s">
        <v>459</v>
      </c>
      <c r="F107" s="3183"/>
      <c r="G107" s="3183"/>
      <c r="H107" s="3184"/>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1826</v>
      </c>
      <c r="B108" s="376" t="s">
        <v>460</v>
      </c>
      <c r="C108" s="416"/>
      <c r="D108" s="406"/>
      <c r="E108" s="417" t="str">
        <f>IF(H106="-","土地取得成本中已包含该笔费用"," ")</f>
        <v xml:space="preserve"> </v>
      </c>
      <c r="F108" s="3183"/>
      <c r="G108" s="3183"/>
      <c r="H108" s="3184"/>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1839</v>
      </c>
      <c r="B109" s="376" t="s">
        <v>461</v>
      </c>
      <c r="C109" s="405">
        <f>IF(H109="——",IF(F1="现房",'剩余法-现房'!C18,'剩余法-商业'!C18),I109)</f>
        <v>55</v>
      </c>
      <c r="D109" s="406"/>
      <c r="E109" s="3372" t="s">
        <v>462</v>
      </c>
      <c r="F109" s="3373"/>
      <c r="G109" s="3373"/>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1840</v>
      </c>
      <c r="B110" s="376" t="s">
        <v>463</v>
      </c>
      <c r="C110" s="405">
        <f>ROUND((C105+C108+C109)*D110,0)</f>
        <v>63</v>
      </c>
      <c r="D110" s="406">
        <v>0.1</v>
      </c>
      <c r="E110" s="3372" t="s">
        <v>464</v>
      </c>
      <c r="F110" s="3373"/>
      <c r="G110" s="3373"/>
      <c r="H110" s="3374"/>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1841</v>
      </c>
      <c r="B111" s="376" t="s">
        <v>450</v>
      </c>
      <c r="C111" s="405">
        <f ca="1">ROUND(D63*D111/(1+'数据-取费表'!C42),0)</f>
        <v>570</v>
      </c>
      <c r="D111" s="406">
        <f>'数据-取费表'!B43</f>
        <v>6.000000000000001E-3</v>
      </c>
      <c r="E111" s="3385" t="s">
        <v>2429</v>
      </c>
      <c r="F111" s="3373"/>
      <c r="G111" s="3373"/>
      <c r="H111" s="3374"/>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1842</v>
      </c>
      <c r="B112" s="376" t="s">
        <v>465</v>
      </c>
      <c r="C112" s="405">
        <f>ROUND(C108*D112,0)</f>
        <v>0</v>
      </c>
      <c r="D112" s="406">
        <v>0.2</v>
      </c>
      <c r="E112" s="3372" t="s">
        <v>2454</v>
      </c>
      <c r="F112" s="3373"/>
      <c r="G112" s="3373"/>
      <c r="H112" s="3374"/>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1828</v>
      </c>
      <c r="B113" s="382" t="s">
        <v>451</v>
      </c>
      <c r="C113" s="385">
        <f ca="1">ROUND(C103-C104,0)</f>
        <v>93695</v>
      </c>
      <c r="D113" s="378" t="s">
        <v>19</v>
      </c>
      <c r="E113" s="3181"/>
      <c r="F113" s="3180"/>
      <c r="G113" s="318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1829</v>
      </c>
      <c r="B114" s="382" t="s">
        <v>452</v>
      </c>
      <c r="C114" s="407">
        <f ca="1">IF(C113&lt;=0,0,C113/C104)</f>
        <v>74.361111111111114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3180"/>
      <c r="G114" s="318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1838</v>
      </c>
      <c r="B115" s="387" t="s">
        <v>453</v>
      </c>
      <c r="C115" s="408">
        <f ca="1">ROUND(IF(C113&lt;=0,0,IF(C114&gt;=200%,C113*60%-C104*35%,IF(C114&gt;=100%,C113*50%-C104*15%,IF(C114&gt;=50%,C113*40%-C104*5%,IF(C114&lt;50%,C113*30%,0))))),0)</f>
        <v>55776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O35:O37"/>
    <mergeCell ref="A12:A13"/>
    <mergeCell ref="B12:B13"/>
    <mergeCell ref="C12:C13"/>
    <mergeCell ref="D12:D13"/>
    <mergeCell ref="A14:A16"/>
    <mergeCell ref="B14:B16"/>
    <mergeCell ref="C14:C16"/>
    <mergeCell ref="D14:D16"/>
    <mergeCell ref="A24:A25"/>
    <mergeCell ref="E33:E35"/>
    <mergeCell ref="K35:K37"/>
    <mergeCell ref="L35:L37"/>
    <mergeCell ref="N35:N37"/>
    <mergeCell ref="L66:M66"/>
    <mergeCell ref="K39:N39"/>
    <mergeCell ref="K40:N40"/>
    <mergeCell ref="K41:N41"/>
    <mergeCell ref="A42:B42"/>
    <mergeCell ref="A43:B43"/>
    <mergeCell ref="A44:B44"/>
    <mergeCell ref="A45:B45"/>
    <mergeCell ref="A46:B46"/>
    <mergeCell ref="A63:C63"/>
    <mergeCell ref="A64:G64"/>
    <mergeCell ref="A66:C66"/>
    <mergeCell ref="A73:C73"/>
    <mergeCell ref="L73:M73"/>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O76:P76"/>
    <mergeCell ref="A77:C77"/>
    <mergeCell ref="K77:K78"/>
    <mergeCell ref="L77:L78"/>
    <mergeCell ref="A79:E79"/>
    <mergeCell ref="K79:K80"/>
    <mergeCell ref="L79:L80"/>
    <mergeCell ref="A80:B80"/>
    <mergeCell ref="E112:H112"/>
    <mergeCell ref="L81:M81"/>
    <mergeCell ref="K83:K89"/>
    <mergeCell ref="A88:H88"/>
    <mergeCell ref="A89:B89"/>
    <mergeCell ref="E94:H94"/>
    <mergeCell ref="E96:H96"/>
    <mergeCell ref="A101:H101"/>
    <mergeCell ref="A102:B102"/>
    <mergeCell ref="E109:G109"/>
    <mergeCell ref="E110:H110"/>
    <mergeCell ref="E111:H111"/>
  </mergeCells>
  <phoneticPr fontId="228" type="noConversion"/>
  <conditionalFormatting sqref="C5:C7">
    <cfRule type="cellIs" dxfId="155" priority="10" stopIfTrue="1" operator="equal">
      <formula>25</formula>
    </cfRule>
  </conditionalFormatting>
  <conditionalFormatting sqref="C8:C9">
    <cfRule type="cellIs" dxfId="154" priority="9" stopIfTrue="1" operator="equal">
      <formula>15</formula>
    </cfRule>
  </conditionalFormatting>
  <conditionalFormatting sqref="C14:C16">
    <cfRule type="cellIs" dxfId="153" priority="8" stopIfTrue="1" operator="equal">
      <formula>30</formula>
    </cfRule>
  </conditionalFormatting>
  <conditionalFormatting sqref="D5:D7">
    <cfRule type="cellIs" dxfId="152" priority="7" stopIfTrue="1" operator="equal">
      <formula>25</formula>
    </cfRule>
  </conditionalFormatting>
  <conditionalFormatting sqref="D8:D9">
    <cfRule type="cellIs" dxfId="151" priority="6" stopIfTrue="1" operator="equal">
      <formula>15</formula>
    </cfRule>
  </conditionalFormatting>
  <conditionalFormatting sqref="C10:D13">
    <cfRule type="cellIs" dxfId="150" priority="5" stopIfTrue="1" operator="equal">
      <formula>15</formula>
    </cfRule>
  </conditionalFormatting>
  <conditionalFormatting sqref="D14:D16">
    <cfRule type="cellIs" dxfId="149" priority="4"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H77">
      <formula1>"非个人房产,个人住宅,个人非住宅"</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tabColor rgb="FF92D050"/>
  </sheetPr>
  <dimension ref="A1:AN118"/>
  <sheetViews>
    <sheetView topLeftCell="A40" zoomScaleNormal="100" workbookViewId="0">
      <selection activeCell="B54" sqref="B54"/>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2427</v>
      </c>
      <c r="D1" s="1521">
        <f>SUM(D29:D30,D33:D39)</f>
        <v>85455</v>
      </c>
      <c r="E1" s="1406" t="s">
        <v>2428</v>
      </c>
      <c r="F1" s="2431">
        <f>'数据-汇总表'!D19</f>
        <v>16706.650000000001</v>
      </c>
      <c r="G1" s="1401"/>
      <c r="H1" s="1401"/>
      <c r="I1" s="1401"/>
      <c r="J1" s="1401"/>
      <c r="K1" s="1401"/>
      <c r="L1" s="1882" t="s">
        <v>2239</v>
      </c>
      <c r="M1" s="1883">
        <f>SUMPRODUCT((区片价!B5:B9=I2)*(区片价!C3:F3=E2)*(区片价!C5:F9))</f>
        <v>0</v>
      </c>
      <c r="N1" s="1884">
        <f>SUMPRODUCT((因素修正幅度!B5:B9=I2)*(因素修正幅度!C3:F3=E2)*(因素修正幅度!C5:F9))</f>
        <v>0</v>
      </c>
      <c r="O1" s="2189"/>
      <c r="P1" s="2189"/>
      <c r="Q1" s="2189"/>
      <c r="R1" s="2915" t="s">
        <v>2762</v>
      </c>
      <c r="S1" s="2915" t="s">
        <v>2763</v>
      </c>
      <c r="T1" s="2915" t="s">
        <v>2784</v>
      </c>
      <c r="U1" s="2915" t="s">
        <v>2785</v>
      </c>
      <c r="V1" s="2915" t="s">
        <v>2786</v>
      </c>
      <c r="W1" s="2189"/>
      <c r="X1" s="2189"/>
      <c r="Y1" s="2189"/>
      <c r="Z1" s="2189"/>
      <c r="AA1" s="2189"/>
      <c r="AB1" s="2189"/>
      <c r="AC1" s="2190"/>
    </row>
    <row r="2" spans="1:39" ht="15.75">
      <c r="A2" s="1406" t="s">
        <v>920</v>
      </c>
      <c r="B2" s="1038">
        <f ca="1">C26</f>
        <v>145453</v>
      </c>
      <c r="C2" s="1407" t="s">
        <v>921</v>
      </c>
      <c r="D2" s="1408" t="s">
        <v>922</v>
      </c>
      <c r="E2" s="1409" t="s">
        <v>3000</v>
      </c>
      <c r="F2" s="1408" t="s">
        <v>924</v>
      </c>
      <c r="G2" s="1652" t="str">
        <f>IF(E2="商业",项目基本情况!B43,IF(E2="办公",项目基本情况!C43,IF(E2="住宅",项目基本情况!D43,项目基本情况!E43)))</f>
        <v>四级</v>
      </c>
      <c r="H2" s="1408" t="s">
        <v>926</v>
      </c>
      <c r="I2" s="1653" t="str">
        <f>IF(E2="商业",项目基本情况!B44,IF(E2="办公",项目基本情况!C44,IF(E2="住宅",项目基本情况!D44,项目基本情况!E44)))</f>
        <v>Ⅳ-18</v>
      </c>
      <c r="J2" s="1410"/>
      <c r="K2" s="1401"/>
      <c r="L2" s="1885" t="s">
        <v>2240</v>
      </c>
      <c r="M2" s="1886">
        <f>SUMPRODUCT((区片价!B10:B28=I2)*(区片价!C3:F3=E2)*(区片价!C10:F28))</f>
        <v>0</v>
      </c>
      <c r="N2" s="1887">
        <f>SUMPRODUCT((因素修正幅度!B10:B28=I2)*(因素修正幅度!C3:F3=E2)*(因素修正幅度!C10:F28))</f>
        <v>0</v>
      </c>
      <c r="O2" s="2189"/>
      <c r="P2" s="2189"/>
      <c r="Q2" s="2189"/>
      <c r="R2" s="2916">
        <v>1</v>
      </c>
      <c r="S2" s="2916">
        <f>ROUND(IF(G3&gt;1,IF(R2&lt;7,SUMPRODUCT((B93:B98=R2)*(C92:N92=G2)*(C93:N98)),SUMIF(C92:N92,G2,C100:N100)),IF(R2&lt;7,SUMPRODUCT((B102:B107=R2)*(C92:N92=G2)*(C102:N107)),SUMIF(C92:N92,G2,C109:N109))),4)</f>
        <v>1.8629</v>
      </c>
      <c r="T2" s="2916">
        <f ca="1">ROUND($C$5*$C$18*$C$19*$C$20*S2*$C$24,0)</f>
        <v>38820</v>
      </c>
      <c r="U2" s="2905"/>
      <c r="V2" s="2916">
        <f ca="1">ROUND(T2*U2/10000,0)</f>
        <v>0</v>
      </c>
      <c r="W2" s="2189"/>
      <c r="X2" s="2189"/>
      <c r="Y2" s="2189"/>
      <c r="Z2" s="2189"/>
      <c r="AA2" s="2189"/>
      <c r="AB2" s="2189"/>
      <c r="AC2" s="2190"/>
    </row>
    <row r="3" spans="1:39" ht="15.75">
      <c r="A3" s="1411" t="s">
        <v>1688</v>
      </c>
      <c r="B3" s="1038">
        <f ca="1">ROUND(B2*10000/D1,0)</f>
        <v>17021</v>
      </c>
      <c r="C3" s="1407" t="s">
        <v>927</v>
      </c>
      <c r="D3" s="1408" t="s">
        <v>928</v>
      </c>
      <c r="E3" s="1412" t="s">
        <v>3004</v>
      </c>
      <c r="F3" s="1413" t="s">
        <v>2933</v>
      </c>
      <c r="G3" s="1039">
        <f>IF(F3="宗地容积率",'数据-汇总表'!I4,IF(F3="估价对象容积率",'数据-汇总表'!I6,'数据-汇总表'!I7))</f>
        <v>5.12</v>
      </c>
      <c r="H3" s="1414" t="s">
        <v>929</v>
      </c>
      <c r="I3" s="1040">
        <v>8</v>
      </c>
      <c r="J3" s="1410" t="s">
        <v>930</v>
      </c>
      <c r="K3" s="1401"/>
      <c r="L3" s="1885" t="s">
        <v>2241</v>
      </c>
      <c r="M3" s="1886">
        <f>SUMPRODUCT((区片价!B29:B48=I2)*(区片价!C3:F3=E2)*(区片价!C29:F48))</f>
        <v>0</v>
      </c>
      <c r="N3" s="1887">
        <f>SUMPRODUCT((因素修正幅度!B29:B48=I2)*(因素修正幅度!C3:F3=E2)*(因素修正幅度!C29:F48))</f>
        <v>0</v>
      </c>
      <c r="O3" s="2189"/>
      <c r="P3" s="2189"/>
      <c r="Q3" s="2189"/>
      <c r="R3" s="2916">
        <v>2</v>
      </c>
      <c r="S3" s="2916">
        <f>ROUND(IF(G3&gt;1,IF(R3&lt;7,SUMPRODUCT((B93:B98=R3)*(C92:N92=G2)*(C93:N98)),SUMIF(C92:N92,G2,C100:N100)),IF(R3&lt;7,SUMPRODUCT((B102:B107=R3)*(C92:N92=G2)*(C102:N107)),SUMIF(C92:N92,G2,C109:N109))),4)</f>
        <v>1.3371999999999999</v>
      </c>
      <c r="T3" s="2916">
        <f t="shared" ref="T3:T16" ca="1" si="0">ROUND($C$5*$C$18*$C$19*$C$20*S3*$C$24,0)</f>
        <v>27865</v>
      </c>
      <c r="U3" s="2905"/>
      <c r="V3" s="2916">
        <f t="shared" ref="V3:V16" ca="1" si="1">ROUND(T3*U3/10000,0)</f>
        <v>0</v>
      </c>
      <c r="W3" s="2189"/>
      <c r="X3" s="2189"/>
      <c r="Y3" s="2189"/>
      <c r="Z3" s="2189"/>
      <c r="AA3" s="2189"/>
      <c r="AB3" s="2189"/>
      <c r="AC3" s="2190"/>
    </row>
    <row r="4" spans="1:39" ht="28.5">
      <c r="A4" s="1891" t="s">
        <v>2281</v>
      </c>
      <c r="B4" s="2432">
        <f ca="1">ROUND(B2*10000/F1,0)</f>
        <v>87063</v>
      </c>
      <c r="C4" s="1894" t="s">
        <v>2255</v>
      </c>
      <c r="D4" s="1894">
        <f ca="1">ROUND(B2/(F1/666.67),0)</f>
        <v>5804</v>
      </c>
      <c r="E4" s="1894" t="s">
        <v>2256</v>
      </c>
      <c r="F4" s="1892"/>
      <c r="G4" s="1892"/>
      <c r="H4" s="1892"/>
      <c r="I4" s="1892"/>
      <c r="J4" s="1893"/>
      <c r="K4" s="1401"/>
      <c r="L4" s="1885" t="s">
        <v>2242</v>
      </c>
      <c r="M4" s="1886">
        <f>SUMPRODUCT((区片价!B49:B75=I2)*(区片价!C3:F3=E2)*(区片价!C49:F75))</f>
        <v>14720</v>
      </c>
      <c r="N4" s="1887">
        <f>SUMPRODUCT((因素修正幅度!B49:B75=I2)*(因素修正幅度!C3:F3=E2)*(因素修正幅度!C49:F75))</f>
        <v>9.6000000000000002E-2</v>
      </c>
      <c r="O4" s="2189"/>
      <c r="P4" s="2189"/>
      <c r="Q4" s="2189"/>
      <c r="R4" s="2916">
        <v>3</v>
      </c>
      <c r="S4" s="2916">
        <f>ROUND(IF(G3&gt;1,IF(R4&lt;7,SUMPRODUCT((B93:B98=R4)*(C92:N92=G2)*(C93:N98)),SUMIF(C92:N92,G2,C100:N100)),IF(R4&lt;7,SUMPRODUCT((B102:B107=R4)*(C92:N92=G2)*(C102:N107)),SUMIF(C92:N92,G2,C109:N109))),4)</f>
        <v>1.0788</v>
      </c>
      <c r="T4" s="2916">
        <f t="shared" ca="1" si="0"/>
        <v>22481</v>
      </c>
      <c r="U4" s="2905"/>
      <c r="V4" s="2916">
        <f t="shared" ca="1" si="1"/>
        <v>0</v>
      </c>
      <c r="W4" s="2189"/>
      <c r="X4" s="2189"/>
      <c r="Y4" s="2189"/>
      <c r="Z4" s="2189"/>
      <c r="AA4" s="2189"/>
      <c r="AB4" s="2189"/>
      <c r="AC4" s="2190"/>
    </row>
    <row r="5" spans="1:39" s="1421" customFormat="1" ht="15.75" thickBot="1">
      <c r="A5" s="1638" t="s">
        <v>1824</v>
      </c>
      <c r="B5" s="1415" t="s">
        <v>931</v>
      </c>
      <c r="C5" s="1041">
        <f>ROUND(IF(E2="商业",IF(F16="增加",C6*C7+C16,C6*C7-C16),IF(E2="住宅",IF(F16="增加",C6*C12+C16,C6*C12-C16),IF(F16="增加",C6+C16,C6-C16))),0)</f>
        <v>14720</v>
      </c>
      <c r="D5" s="3096">
        <f>ROUND(IF(F16="增加",C6+C16,C6-C16),0)</f>
        <v>14720</v>
      </c>
      <c r="E5" s="3096"/>
      <c r="F5" s="1416"/>
      <c r="G5" s="1417"/>
      <c r="H5" s="1417"/>
      <c r="I5" s="1417"/>
      <c r="J5" s="1418"/>
      <c r="K5" s="1594"/>
      <c r="L5" s="1885" t="s">
        <v>2243</v>
      </c>
      <c r="M5" s="1886">
        <f>SUMPRODUCT((区片价!B76:B109=I2)*(区片价!C3:F3=E2)*(区片价!C76:F109))</f>
        <v>0</v>
      </c>
      <c r="N5" s="1887">
        <f>SUMPRODUCT((因素修正幅度!B76:B109=I2)*(因素修正幅度!C3:F3=E2)*(因素修正幅度!C76:F109))</f>
        <v>0</v>
      </c>
      <c r="O5" s="2189"/>
      <c r="P5" s="2189"/>
      <c r="Q5" s="2189"/>
      <c r="R5" s="2916">
        <v>4</v>
      </c>
      <c r="S5" s="2916">
        <f>ROUND(IF(G3&gt;1,IF(R5&lt;7,SUMPRODUCT((B93:B98=R5)*(C92:N92=G2)*(C93:N98)),SUMIF(C92:N92,G2,C100:N100)),IF(R5&lt;7,SUMPRODUCT((B102:B107=R5)*(C92:N92=G2)*(C102:N107)),SUMIF(C92:N92,G2,C109:N109))),4)</f>
        <v>0.86560000000000004</v>
      </c>
      <c r="T5" s="2916">
        <f t="shared" ca="1" si="0"/>
        <v>18038</v>
      </c>
      <c r="U5" s="2905"/>
      <c r="V5" s="2916">
        <f t="shared" ca="1" si="1"/>
        <v>0</v>
      </c>
      <c r="W5" s="2189"/>
      <c r="X5" s="2189"/>
      <c r="Y5" s="2189"/>
      <c r="Z5" s="2189"/>
      <c r="AA5" s="2189"/>
      <c r="AB5" s="2189"/>
      <c r="AC5" s="2191"/>
      <c r="AD5" s="1419"/>
      <c r="AE5" s="1419"/>
      <c r="AF5" s="1419"/>
      <c r="AG5" s="1419"/>
      <c r="AH5" s="1419"/>
      <c r="AI5" s="1419"/>
      <c r="AJ5" s="1420"/>
      <c r="AK5" s="1420"/>
      <c r="AL5" s="1420"/>
      <c r="AM5" s="1420"/>
    </row>
    <row r="6" spans="1:39" ht="15.75" thickBot="1">
      <c r="A6" s="1639" t="s">
        <v>1871</v>
      </c>
      <c r="B6" s="1422" t="s">
        <v>931</v>
      </c>
      <c r="C6" s="1042">
        <f>SUMIF(L1:L12,'基准地价-商业'!G2,M1:M12)</f>
        <v>14720</v>
      </c>
      <c r="D6" s="1423" t="s">
        <v>1696</v>
      </c>
      <c r="E6" s="1424"/>
      <c r="F6" s="1424"/>
      <c r="G6" s="1425"/>
      <c r="H6" s="1425"/>
      <c r="I6" s="1425"/>
      <c r="J6" s="1426"/>
      <c r="K6" s="1595"/>
      <c r="L6" s="1885" t="s">
        <v>2244</v>
      </c>
      <c r="M6" s="1886">
        <f>SUMPRODUCT((区片价!B110:B157=I2)*(区片价!C3:F3=E2)*(区片价!C110:F157))</f>
        <v>0</v>
      </c>
      <c r="N6" s="1887">
        <f>SUMPRODUCT((因素修正幅度!B110:B157=I2)*(因素修正幅度!C3:F3=E2)*(因素修正幅度!C110:F157))</f>
        <v>0</v>
      </c>
      <c r="O6" s="2189"/>
      <c r="P6" s="2189"/>
      <c r="Q6" s="2189"/>
      <c r="R6" s="2916">
        <v>5</v>
      </c>
      <c r="S6" s="2916">
        <f>ROUND(IF(G3&gt;1,IF(R6&lt;7,SUMPRODUCT((B93:B98=R6)*(C92:N92=G2)*(C93:N98)),SUMIF(C92:N92,G2,C100:N100)),IF(R6&lt;7,SUMPRODUCT((B102:B107=R6)*(C92:N92=G2)*(C102:N107)),SUMIF(C92:N92,G2,C109:N109))),4)</f>
        <v>0.73709999999999998</v>
      </c>
      <c r="T6" s="2916">
        <f t="shared" ca="1" si="0"/>
        <v>15360</v>
      </c>
      <c r="U6" s="2905"/>
      <c r="V6" s="2916">
        <f t="shared" ca="1" si="1"/>
        <v>0</v>
      </c>
      <c r="W6" s="2189"/>
      <c r="X6" s="2189"/>
      <c r="Y6" s="2189"/>
      <c r="Z6" s="2189"/>
      <c r="AA6" s="2189"/>
      <c r="AB6" s="2189"/>
      <c r="AC6" s="2191"/>
      <c r="AD6" s="1419"/>
      <c r="AE6" s="1419"/>
      <c r="AF6" s="1419"/>
      <c r="AG6" s="1419"/>
      <c r="AH6" s="1419"/>
      <c r="AI6" s="1419"/>
      <c r="AJ6" s="1420"/>
    </row>
    <row r="7" spans="1:39" ht="24">
      <c r="A7" s="3458" t="str">
        <f>IF(E2="商业",IF(C8="不临58条商业街","",2),"")</f>
        <v/>
      </c>
      <c r="B7" s="1427" t="s">
        <v>932</v>
      </c>
      <c r="C7" s="1043">
        <f>IF(C8="不临58条商业街",1,ROUND(1+(1.6*E8+1.2*E9+0.8*E10+0.4*E11)*C9,4))</f>
        <v>1</v>
      </c>
      <c r="D7" s="1428" t="s">
        <v>933</v>
      </c>
      <c r="E7" s="1044">
        <v>60</v>
      </c>
      <c r="F7" s="1429"/>
      <c r="G7" s="1430"/>
      <c r="H7" s="1430"/>
      <c r="I7" s="1430"/>
      <c r="J7" s="1431"/>
      <c r="K7" s="1595"/>
      <c r="L7" s="1885" t="s">
        <v>2245</v>
      </c>
      <c r="M7" s="1886">
        <f>SUMPRODUCT((区片价!B158:B205=I2)*(区片价!C3:F3=E2)*(区片价!C158:F205))</f>
        <v>0</v>
      </c>
      <c r="N7" s="1887">
        <f>SUMPRODUCT((因素修正幅度!B158:B205=I2)*(因素修正幅度!C3:F3=E2)*(因素修正幅度!C158:F205))</f>
        <v>0</v>
      </c>
      <c r="O7" s="2189"/>
      <c r="P7" s="2189"/>
      <c r="Q7" s="2189"/>
      <c r="R7" s="2916">
        <v>6</v>
      </c>
      <c r="S7" s="2916">
        <f>ROUND(IF(G3&gt;1,IF(R7&lt;7,SUMPRODUCT((B93:B98=R7)*(C92:N92=G2)*(C93:N98)),SUMIF(C92:N92,G2,C100:N100)),IF(R7&lt;7,SUMPRODUCT((B102:B107=R7)*(C92:N92=G2)*(C102:N107)),SUMIF(C92:N92,G2,C109:N109))),4)</f>
        <v>0.6482</v>
      </c>
      <c r="T7" s="2916">
        <f t="shared" ca="1" si="0"/>
        <v>13508</v>
      </c>
      <c r="U7" s="2905"/>
      <c r="V7" s="2916">
        <f t="shared" ca="1" si="1"/>
        <v>0</v>
      </c>
      <c r="W7" s="2914" t="s">
        <v>2765</v>
      </c>
      <c r="X7" s="2906" t="str">
        <f>G2</f>
        <v>四级</v>
      </c>
      <c r="Y7" s="2906" t="s">
        <v>2766</v>
      </c>
      <c r="Z7" s="2907">
        <f>G3</f>
        <v>5.12</v>
      </c>
      <c r="AA7" s="2192"/>
      <c r="AB7" s="2192"/>
      <c r="AC7" s="2193"/>
      <c r="AD7" s="2908"/>
      <c r="AE7" s="2908"/>
      <c r="AF7" s="2908"/>
      <c r="AG7" s="2908"/>
      <c r="AH7" s="2908"/>
      <c r="AI7" s="2908"/>
      <c r="AJ7" s="2909"/>
    </row>
    <row r="8" spans="1:39" ht="25.5">
      <c r="A8" s="3459"/>
      <c r="B8" s="1414" t="s">
        <v>934</v>
      </c>
      <c r="C8" s="1529" t="s">
        <v>3112</v>
      </c>
      <c r="D8" s="1045" t="s">
        <v>935</v>
      </c>
      <c r="E8" s="1046">
        <f>ROUND(C11/E7,4)</f>
        <v>0</v>
      </c>
      <c r="F8" s="1432" t="s">
        <v>936</v>
      </c>
      <c r="G8" s="1433"/>
      <c r="H8" s="1433"/>
      <c r="I8" s="1433"/>
      <c r="J8" s="1434"/>
      <c r="K8" s="1401"/>
      <c r="L8" s="1885" t="s">
        <v>2246</v>
      </c>
      <c r="M8" s="1886">
        <f>SUMPRODUCT((区片价!B206:B244=I2)*(区片价!C3:F3=E2)*(区片价!C206:F244))</f>
        <v>0</v>
      </c>
      <c r="N8" s="1887">
        <f>SUMPRODUCT((因素修正幅度!B206:B244=I2)*(因素修正幅度!C3:F3=E2)*(因素修正幅度!C206:F244))</f>
        <v>0</v>
      </c>
      <c r="O8" s="2189"/>
      <c r="P8" s="2189"/>
      <c r="Q8" s="2189"/>
      <c r="R8" s="2916">
        <v>7</v>
      </c>
      <c r="S8" s="2905"/>
      <c r="T8" s="2916">
        <f t="shared" ca="1" si="0"/>
        <v>0</v>
      </c>
      <c r="U8" s="2905"/>
      <c r="V8" s="2916">
        <f t="shared" ca="1" si="1"/>
        <v>0</v>
      </c>
      <c r="W8" s="3450" t="s">
        <v>2783</v>
      </c>
      <c r="X8" s="3451"/>
      <c r="Y8" s="1849" t="s">
        <v>2767</v>
      </c>
      <c r="Z8" s="1849" t="s">
        <v>2768</v>
      </c>
      <c r="AA8" s="1849" t="s">
        <v>2769</v>
      </c>
      <c r="AB8" s="1849" t="s">
        <v>2770</v>
      </c>
      <c r="AC8" s="1849" t="s">
        <v>2771</v>
      </c>
      <c r="AD8" s="1849" t="s">
        <v>2772</v>
      </c>
      <c r="AE8" s="1849" t="s">
        <v>2773</v>
      </c>
      <c r="AF8" s="1849" t="s">
        <v>2774</v>
      </c>
      <c r="AG8" s="1849" t="s">
        <v>2775</v>
      </c>
      <c r="AH8" s="1849" t="s">
        <v>2776</v>
      </c>
      <c r="AI8" s="1849" t="s">
        <v>2777</v>
      </c>
      <c r="AJ8" s="1849" t="s">
        <v>2778</v>
      </c>
    </row>
    <row r="9" spans="1:39" ht="15">
      <c r="A9" s="3459"/>
      <c r="B9" s="1414" t="s">
        <v>937</v>
      </c>
      <c r="C9" s="1047">
        <f>SUMIF(修正!C59:C119,C8,修正!E59:E119)</f>
        <v>0</v>
      </c>
      <c r="D9" s="1048" t="s">
        <v>938</v>
      </c>
      <c r="E9" s="1048">
        <f>ROUND(C11/E7,4)</f>
        <v>0</v>
      </c>
      <c r="F9" s="1432" t="s">
        <v>939</v>
      </c>
      <c r="G9" s="1433"/>
      <c r="H9" s="1433"/>
      <c r="I9" s="1433"/>
      <c r="J9" s="1434"/>
      <c r="K9" s="1401"/>
      <c r="L9" s="1885" t="s">
        <v>2247</v>
      </c>
      <c r="M9" s="1886">
        <f>SUMPRODUCT((区片价!B245:B289=I2)*(区片价!C3:F3=E2)*(区片价!C245:F289))</f>
        <v>0</v>
      </c>
      <c r="N9" s="1887">
        <f>SUMPRODUCT((因素修正幅度!B245:B289=I2)*(因素修正幅度!C3:F3=E2)*(因素修正幅度!C245:F289))</f>
        <v>0</v>
      </c>
      <c r="O9" s="2189"/>
      <c r="P9" s="2189"/>
      <c r="Q9" s="2189"/>
      <c r="R9" s="2916">
        <v>8</v>
      </c>
      <c r="S9" s="2905"/>
      <c r="T9" s="2916">
        <f t="shared" ca="1" si="0"/>
        <v>0</v>
      </c>
      <c r="U9" s="2905"/>
      <c r="V9" s="2916">
        <f t="shared" ca="1" si="1"/>
        <v>0</v>
      </c>
      <c r="W9" s="3449" t="s">
        <v>2779</v>
      </c>
      <c r="X9" s="2910" t="s">
        <v>2780</v>
      </c>
      <c r="Y9" s="3074"/>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59"/>
      <c r="B10" s="1414" t="s">
        <v>940</v>
      </c>
      <c r="C10" s="1048">
        <f>SUMIF(修正!C59:C119,C8,修正!F59:F119)</f>
        <v>0</v>
      </c>
      <c r="D10" s="1048" t="s">
        <v>941</v>
      </c>
      <c r="E10" s="1048">
        <f>ROUND(C11/E7,4)</f>
        <v>0</v>
      </c>
      <c r="F10" s="1432" t="s">
        <v>942</v>
      </c>
      <c r="G10" s="1433"/>
      <c r="H10" s="1433"/>
      <c r="I10" s="1433"/>
      <c r="J10" s="1434"/>
      <c r="K10" s="1401"/>
      <c r="L10" s="1885" t="s">
        <v>2248</v>
      </c>
      <c r="M10" s="1886">
        <f>SUMPRODUCT((区片价!B290:B316=I2)*(区片价!C3:F3=E2)*(区片价!C290:F316))</f>
        <v>0</v>
      </c>
      <c r="N10" s="1887">
        <f>SUMPRODUCT((因素修正幅度!B290:B316=I2)*(因素修正幅度!C3:F3=E2)*(因素修正幅度!C290:F316))</f>
        <v>0</v>
      </c>
      <c r="O10" s="2189"/>
      <c r="P10" s="2189"/>
      <c r="Q10" s="2189"/>
      <c r="R10" s="2916">
        <v>9</v>
      </c>
      <c r="S10" s="2905"/>
      <c r="T10" s="2916">
        <f t="shared" ca="1" si="0"/>
        <v>0</v>
      </c>
      <c r="U10" s="2905"/>
      <c r="V10" s="2916">
        <f t="shared" ca="1" si="1"/>
        <v>0</v>
      </c>
      <c r="W10" s="3449"/>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59"/>
      <c r="B11" s="1435" t="s">
        <v>943</v>
      </c>
      <c r="C11" s="1049">
        <f>C10/4</f>
        <v>0</v>
      </c>
      <c r="D11" s="1049" t="s">
        <v>944</v>
      </c>
      <c r="E11" s="1049">
        <f>ROUND(C11/E7,4)</f>
        <v>0</v>
      </c>
      <c r="F11" s="1436" t="s">
        <v>945</v>
      </c>
      <c r="G11" s="1437"/>
      <c r="H11" s="1437"/>
      <c r="I11" s="1437"/>
      <c r="J11" s="1438"/>
      <c r="K11" s="1401"/>
      <c r="L11" s="1885" t="s">
        <v>2249</v>
      </c>
      <c r="M11" s="1886">
        <f>SUMPRODUCT((区片价!B317:B337=I2)*(区片价!C3:F3=E2)*(区片价!C317:F337))</f>
        <v>0</v>
      </c>
      <c r="N11" s="1887">
        <f>SUMPRODUCT((因素修正幅度!B317:B337=I2)*(因素修正幅度!C3:F3=E2)*(因素修正幅度!C317:F337))</f>
        <v>0</v>
      </c>
      <c r="O11" s="2189"/>
      <c r="P11" s="2189"/>
      <c r="Q11" s="2189"/>
      <c r="R11" s="2916">
        <v>10</v>
      </c>
      <c r="S11" s="2905"/>
      <c r="T11" s="2916">
        <f t="shared" ca="1" si="0"/>
        <v>0</v>
      </c>
      <c r="U11" s="2905"/>
      <c r="V11" s="2916">
        <f t="shared" ca="1" si="1"/>
        <v>0</v>
      </c>
      <c r="W11" s="3449" t="s">
        <v>2781</v>
      </c>
      <c r="X11" s="1048" t="s">
        <v>2766</v>
      </c>
      <c r="Y11" s="1653">
        <f>$G$3</f>
        <v>5.12</v>
      </c>
      <c r="Z11" s="1653">
        <f t="shared" ref="Z11:AJ11" si="3">$G$3</f>
        <v>5.12</v>
      </c>
      <c r="AA11" s="1653">
        <f t="shared" si="3"/>
        <v>5.12</v>
      </c>
      <c r="AB11" s="1653">
        <f t="shared" si="3"/>
        <v>5.12</v>
      </c>
      <c r="AC11" s="1653">
        <f t="shared" si="3"/>
        <v>5.12</v>
      </c>
      <c r="AD11" s="1653">
        <f t="shared" si="3"/>
        <v>5.12</v>
      </c>
      <c r="AE11" s="1653">
        <f t="shared" si="3"/>
        <v>5.12</v>
      </c>
      <c r="AF11" s="1653">
        <f t="shared" si="3"/>
        <v>5.12</v>
      </c>
      <c r="AG11" s="1653">
        <f t="shared" si="3"/>
        <v>5.12</v>
      </c>
      <c r="AH11" s="1653">
        <f t="shared" si="3"/>
        <v>5.12</v>
      </c>
      <c r="AI11" s="1653">
        <f t="shared" si="3"/>
        <v>5.12</v>
      </c>
      <c r="AJ11" s="1653">
        <f t="shared" si="3"/>
        <v>5.12</v>
      </c>
    </row>
    <row r="12" spans="1:39" ht="25.5" thickBot="1">
      <c r="A12" s="3458" t="s">
        <v>1872</v>
      </c>
      <c r="B12" s="1439" t="s">
        <v>946</v>
      </c>
      <c r="C12" s="1043">
        <f>ROUND(C15*D15*E15*F15*G15*H15*I15*J15,4)</f>
        <v>1</v>
      </c>
      <c r="D12" s="1440" t="s">
        <v>947</v>
      </c>
      <c r="E12" s="1441"/>
      <c r="F12" s="1441"/>
      <c r="G12" s="1442"/>
      <c r="H12" s="1442"/>
      <c r="I12" s="1442"/>
      <c r="J12" s="1443"/>
      <c r="K12" s="1401"/>
      <c r="L12" s="1888" t="s">
        <v>2250</v>
      </c>
      <c r="M12" s="1889">
        <f>SUMPRODUCT((区片价!B338:B344=I2)*(区片价!C3:F3=E2)*(区片价!C338:F344))</f>
        <v>0</v>
      </c>
      <c r="N12" s="1890">
        <f>SUMPRODUCT((因素修正幅度!B338:B344=I2)*(因素修正幅度!C3:F3=E2)*(因素修正幅度!C338:F344))</f>
        <v>0</v>
      </c>
      <c r="O12" s="2189"/>
      <c r="P12" s="2189"/>
      <c r="Q12" s="2189"/>
      <c r="R12" s="2916">
        <v>11</v>
      </c>
      <c r="S12" s="2905"/>
      <c r="T12" s="2916">
        <f t="shared" ca="1" si="0"/>
        <v>0</v>
      </c>
      <c r="U12" s="2905"/>
      <c r="V12" s="2916">
        <f t="shared" ca="1" si="1"/>
        <v>0</v>
      </c>
      <c r="W12" s="3449"/>
      <c r="X12" s="2913" t="s">
        <v>2782</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60"/>
      <c r="B13" s="1444" t="s">
        <v>1697</v>
      </c>
      <c r="C13" s="1445" t="s">
        <v>1698</v>
      </c>
      <c r="D13" s="1089" t="s">
        <v>1699</v>
      </c>
      <c r="E13" s="1089" t="s">
        <v>1700</v>
      </c>
      <c r="F13" s="1446" t="s">
        <v>948</v>
      </c>
      <c r="G13" s="1447" t="s">
        <v>1643</v>
      </c>
      <c r="H13" s="1448" t="s">
        <v>1643</v>
      </c>
      <c r="I13" s="1449" t="s">
        <v>1643</v>
      </c>
      <c r="J13" s="1450" t="s">
        <v>1643</v>
      </c>
      <c r="K13" s="1401"/>
      <c r="L13" s="2189"/>
      <c r="M13" s="2189"/>
      <c r="N13" s="2189"/>
      <c r="O13" s="2189"/>
      <c r="P13" s="2189"/>
      <c r="Q13" s="2189"/>
      <c r="R13" s="2916">
        <v>12</v>
      </c>
      <c r="S13" s="2905"/>
      <c r="T13" s="2916">
        <f t="shared" ca="1" si="0"/>
        <v>0</v>
      </c>
      <c r="U13" s="2905"/>
      <c r="V13" s="2916">
        <f t="shared" ca="1" si="1"/>
        <v>0</v>
      </c>
      <c r="W13" s="3449"/>
      <c r="X13" s="2913"/>
      <c r="Y13" s="2912">
        <f>(-0.163*(Y12^2)-0.59*Y12+7617)*(10^(-4))/Y11</f>
        <v>0.14876953125</v>
      </c>
      <c r="Z13" s="2912">
        <f t="shared" ref="Z13:AJ13" si="5">(-0.163*(Z12^2)-0.59*Z12+7617)*(10^(-4))/Z11</f>
        <v>0.14876953125</v>
      </c>
      <c r="AA13" s="2912">
        <f t="shared" si="5"/>
        <v>0.14876953125</v>
      </c>
      <c r="AB13" s="2912">
        <f t="shared" si="5"/>
        <v>0.14876953125</v>
      </c>
      <c r="AC13" s="2912">
        <f t="shared" si="5"/>
        <v>0.14876953125</v>
      </c>
      <c r="AD13" s="2912">
        <f t="shared" si="5"/>
        <v>0.14876953125</v>
      </c>
      <c r="AE13" s="2912">
        <f t="shared" si="5"/>
        <v>0.14876953125</v>
      </c>
      <c r="AF13" s="2912">
        <f t="shared" si="5"/>
        <v>0.14876953125</v>
      </c>
      <c r="AG13" s="2912">
        <f t="shared" si="5"/>
        <v>0.14876953125</v>
      </c>
      <c r="AH13" s="2912">
        <f t="shared" si="5"/>
        <v>0.14876953125</v>
      </c>
      <c r="AI13" s="2912">
        <f t="shared" si="5"/>
        <v>0.14876953125</v>
      </c>
      <c r="AJ13" s="2912">
        <f t="shared" si="5"/>
        <v>0.14876953125</v>
      </c>
    </row>
    <row r="14" spans="1:39" ht="12.75" customHeight="1" thickBot="1">
      <c r="A14" s="3460"/>
      <c r="B14" s="1451"/>
      <c r="C14" s="1452"/>
      <c r="D14" s="1453"/>
      <c r="E14" s="1453"/>
      <c r="F14" s="1454"/>
      <c r="G14" s="1455" t="s">
        <v>949</v>
      </c>
      <c r="H14" s="1456"/>
      <c r="I14" s="1457"/>
      <c r="J14" s="1458"/>
      <c r="K14" s="1401"/>
      <c r="L14" s="2189"/>
      <c r="M14" s="2189"/>
      <c r="N14" s="2189"/>
      <c r="O14" s="2189"/>
      <c r="P14" s="2189"/>
      <c r="Q14" s="2189"/>
      <c r="R14" s="2916">
        <v>13</v>
      </c>
      <c r="S14" s="2905"/>
      <c r="T14" s="2916">
        <f t="shared" ca="1" si="0"/>
        <v>0</v>
      </c>
      <c r="U14" s="2905"/>
      <c r="V14" s="2916">
        <f t="shared" ca="1" si="1"/>
        <v>0</v>
      </c>
      <c r="W14" s="2189"/>
      <c r="X14" s="2189"/>
      <c r="Y14" s="2189"/>
      <c r="Z14" s="2189"/>
      <c r="AA14" s="2189"/>
      <c r="AB14" s="2189"/>
      <c r="AC14" s="2190"/>
    </row>
    <row r="15" spans="1:39" ht="13.5" customHeight="1" thickBot="1">
      <c r="A15" s="3461"/>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89"/>
      <c r="R15" s="2916">
        <v>14</v>
      </c>
      <c r="S15" s="2905"/>
      <c r="T15" s="2916">
        <f t="shared" ca="1" si="0"/>
        <v>0</v>
      </c>
      <c r="U15" s="2905"/>
      <c r="V15" s="2916">
        <f t="shared" ca="1" si="1"/>
        <v>0</v>
      </c>
      <c r="W15" s="2189"/>
      <c r="X15" s="2189"/>
      <c r="Y15" s="2189"/>
      <c r="Z15" s="2189"/>
      <c r="AA15" s="2189"/>
      <c r="AB15" s="2189"/>
      <c r="AC15" s="2190"/>
    </row>
    <row r="16" spans="1:39" ht="24">
      <c r="A16" s="3458" t="s">
        <v>1839</v>
      </c>
      <c r="B16" s="1427" t="s">
        <v>950</v>
      </c>
      <c r="C16" s="1054">
        <f>ROUND(SUM(G17:J17)/C17,0)</f>
        <v>0</v>
      </c>
      <c r="D16" s="1460" t="s">
        <v>951</v>
      </c>
      <c r="E16" s="1461" t="s">
        <v>3147</v>
      </c>
      <c r="F16" s="1462" t="s">
        <v>3148</v>
      </c>
      <c r="G16" s="1463" t="s">
        <v>952</v>
      </c>
      <c r="H16" s="1463" t="s">
        <v>952</v>
      </c>
      <c r="I16" s="1463" t="s">
        <v>952</v>
      </c>
      <c r="J16" s="1463" t="s">
        <v>952</v>
      </c>
      <c r="K16" s="1401"/>
      <c r="L16" s="1464" t="s">
        <v>988</v>
      </c>
      <c r="M16" s="1047">
        <v>0.25</v>
      </c>
      <c r="N16" s="1047">
        <v>0.2</v>
      </c>
      <c r="O16" s="1047">
        <v>0.15</v>
      </c>
      <c r="P16" s="1539">
        <v>0.1</v>
      </c>
      <c r="Q16" s="2192"/>
      <c r="R16" s="2916">
        <v>15</v>
      </c>
      <c r="S16" s="2905"/>
      <c r="T16" s="2916">
        <f t="shared" ca="1" si="0"/>
        <v>0</v>
      </c>
      <c r="U16" s="2905"/>
      <c r="V16" s="2916">
        <f t="shared" ca="1" si="1"/>
        <v>0</v>
      </c>
      <c r="W16" s="2192"/>
      <c r="X16" s="2192"/>
      <c r="Y16" s="2192"/>
      <c r="Z16" s="2192"/>
      <c r="AA16" s="2192"/>
      <c r="AB16" s="2192"/>
      <c r="AC16" s="2193"/>
    </row>
    <row r="17" spans="1:40" ht="13.5" thickBot="1">
      <c r="A17" s="3459"/>
      <c r="B17" s="1465" t="s">
        <v>953</v>
      </c>
      <c r="C17" s="1055">
        <f>SUMPRODUCT((修正!A2:A5=E2)*(修正!B1:M1=G2)*(修正!B2:M5))</f>
        <v>2.5</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1830</v>
      </c>
      <c r="B18" s="2751" t="s">
        <v>956</v>
      </c>
      <c r="C18" s="2752">
        <f>SUMIF(修正!C18:C39,E3,修正!E18:E39)</f>
        <v>1</v>
      </c>
      <c r="D18" s="2753"/>
      <c r="E18" s="2754"/>
      <c r="F18" s="2755"/>
      <c r="G18" s="2749"/>
      <c r="H18" s="2749"/>
      <c r="I18" s="2749"/>
      <c r="J18" s="2756"/>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1836</v>
      </c>
      <c r="B19" s="1470" t="s">
        <v>957</v>
      </c>
      <c r="C19" s="1057">
        <f>ROUND(IF(H19="按公示增长率计算",SUMPRODUCT((地价!A3:A24=YEAR(G19)&amp;"-"&amp;ROUNDUP(MONTH(G19)/3,0))*(地价!X2:AB2=E2)*(地价!X3:AB24)),IF(H19="地价指数",M20/M19,(1+I19)^O19)),4)</f>
        <v>1.3547</v>
      </c>
      <c r="D19" s="1474" t="s">
        <v>958</v>
      </c>
      <c r="E19" s="1058">
        <v>41640</v>
      </c>
      <c r="F19" s="1474" t="s">
        <v>959</v>
      </c>
      <c r="G19" s="1059">
        <f>'数据-取费表'!B2</f>
        <v>43388</v>
      </c>
      <c r="H19" s="1475" t="s">
        <v>3005</v>
      </c>
      <c r="I19" s="2763" t="str">
        <f>IF(H19="季度增幅（自定义）",SUMIF(N21:N24,E2,O21:O24),"")</f>
        <v/>
      </c>
      <c r="J19" s="1471"/>
      <c r="K19" s="1481"/>
      <c r="L19" s="3016" t="s">
        <v>2840</v>
      </c>
      <c r="M19" s="3017">
        <f>ROUND(SUMIF(地价!B2:F2,E2,地价!B24:F24),0)</f>
        <v>258</v>
      </c>
      <c r="N19" s="2765" t="s">
        <v>1677</v>
      </c>
      <c r="O19" s="2764">
        <f>ROUNDDOWN(DATEDIF(E19,G19,"M")/3,0)</f>
        <v>19</v>
      </c>
      <c r="P19" s="1596"/>
      <c r="R19" s="2904"/>
      <c r="S19" s="2904"/>
      <c r="T19" s="2904"/>
      <c r="U19" s="2904"/>
      <c r="V19" s="2904"/>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57" t="s">
        <v>1837</v>
      </c>
      <c r="B20" s="2758" t="s">
        <v>972</v>
      </c>
      <c r="C20" s="2759">
        <f ca="1">ROUND(POWER(1+G20,J20-I20)*(POWER(1+G20,I20)-1)/(POWER(1+G20,J20)-1),4)</f>
        <v>1</v>
      </c>
      <c r="D20" s="2760" t="s">
        <v>973</v>
      </c>
      <c r="E20" s="3071">
        <f ca="1">存贷款利率!I4/100</f>
        <v>4.3499999999999997E-2</v>
      </c>
      <c r="F20" s="2760" t="s">
        <v>974</v>
      </c>
      <c r="G20" s="2761">
        <f ca="1">SUMIF(M15:P15,E2,M17:P17)</f>
        <v>5.3999999999999999E-2</v>
      </c>
      <c r="H20" s="2760" t="s">
        <v>975</v>
      </c>
      <c r="I20" s="2750">
        <f>SUMIF('数据-取费表'!C6:C15,E2,'数据-取费表'!F6:F15)/COUNTIF('数据-取费表'!C6:C15,E2)</f>
        <v>40</v>
      </c>
      <c r="J20" s="2762">
        <f>IF(E2="住宅",70,IF(E2="商业",40,50))</f>
        <v>40</v>
      </c>
      <c r="K20" s="1481"/>
      <c r="L20" s="3018" t="s">
        <v>2841</v>
      </c>
      <c r="M20" s="3019">
        <f>ROUND(SUMPRODUCT((地价!A4:A24=YEAR(G19)&amp;"-"&amp;ROUNDUP(MONTH(G19)/3,0))*(地价!B2:F2=E2)*(地价!B4:F24)),0)</f>
        <v>341</v>
      </c>
      <c r="N20" s="2768" t="s">
        <v>2646</v>
      </c>
      <c r="O20" s="2766" t="s">
        <v>2645</v>
      </c>
      <c r="P20" s="2767" t="s">
        <v>2651</v>
      </c>
      <c r="R20" s="2904"/>
      <c r="S20" s="2904"/>
      <c r="T20" s="2904"/>
      <c r="U20" s="2904"/>
      <c r="V20" s="2904"/>
      <c r="W20" s="2195"/>
      <c r="X20" s="2195"/>
      <c r="Y20" s="2195"/>
      <c r="Z20" s="2195"/>
      <c r="AA20" s="2195"/>
      <c r="AB20" s="2195"/>
      <c r="AC20" s="2195"/>
      <c r="AD20" s="1472"/>
      <c r="AE20" s="1472"/>
      <c r="AF20" s="1472"/>
      <c r="AG20" s="1472"/>
      <c r="AH20" s="1472"/>
      <c r="AI20" s="1472"/>
    </row>
    <row r="21" spans="1:40" s="1421" customFormat="1" ht="14.25">
      <c r="A21" s="1642" t="s">
        <v>1838</v>
      </c>
      <c r="B21" s="1480" t="s">
        <v>3006</v>
      </c>
      <c r="C21" s="1158">
        <f>IF(B21="容积率修正",IF(G3&lt;=10,D22,J22),C23)</f>
        <v>0.81679999999999997</v>
      </c>
      <c r="D21" s="1481"/>
      <c r="E21" s="1481"/>
      <c r="F21" s="1481"/>
      <c r="G21" s="1481"/>
      <c r="H21" s="1481"/>
      <c r="I21" s="1481"/>
      <c r="J21" s="1482"/>
      <c r="K21" s="1481"/>
      <c r="L21" s="1481"/>
      <c r="M21" s="1481"/>
      <c r="N21" s="1478" t="s">
        <v>976</v>
      </c>
      <c r="O21" s="1542"/>
      <c r="P21" s="2748">
        <f>SUMPRODUCT((地价!A3:A24=YEAR(G19)&amp;"-"&amp;ROUNDUP(MONTH(G19)/3,0))*(地价!AD2:AH2=N21)*(地价!AD3:AH24))</f>
        <v>1.5299999999999999E-2</v>
      </c>
      <c r="R21" s="2904"/>
      <c r="S21" s="2904"/>
      <c r="T21" s="2904"/>
      <c r="U21" s="2904"/>
      <c r="V21" s="2904"/>
      <c r="W21" s="2195"/>
      <c r="X21" s="2195"/>
      <c r="Y21" s="2195"/>
      <c r="Z21" s="2195"/>
      <c r="AA21" s="2195"/>
      <c r="AB21" s="2195"/>
      <c r="AC21" s="2195"/>
      <c r="AD21" s="1403"/>
      <c r="AE21" s="1403"/>
      <c r="AF21" s="1403"/>
      <c r="AG21" s="1403"/>
      <c r="AH21" s="1472"/>
      <c r="AI21" s="1472"/>
    </row>
    <row r="22" spans="1:40" s="1421" customFormat="1" ht="14.25">
      <c r="A22" s="1643" t="s">
        <v>1871</v>
      </c>
      <c r="B22" s="1483" t="s">
        <v>977</v>
      </c>
      <c r="C22" s="1060" t="s">
        <v>1703</v>
      </c>
      <c r="D22" s="1060">
        <f>IF(E22=G22,F22,IF(G3&lt;=10,ROUND(F22+(H22-F22)*(G3-E22)/(G22-E22),4),"——"))</f>
        <v>0.81679999999999997</v>
      </c>
      <c r="E22" s="1039">
        <f>ROUNDDOWN(G3,1)</f>
        <v>5.0999999999999996</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0.8175</v>
      </c>
      <c r="G22" s="1039">
        <f>ROUNDUP(G3,1)</f>
        <v>5.1999999999999993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0.81399999999999995</v>
      </c>
      <c r="I22" s="1060" t="s">
        <v>978</v>
      </c>
      <c r="J22" s="1060" t="str">
        <f>IF(G3&gt;10,D113,"——")</f>
        <v>——</v>
      </c>
      <c r="K22" s="1481"/>
      <c r="L22" s="1481"/>
      <c r="M22" s="1481"/>
      <c r="N22" s="1478" t="s">
        <v>979</v>
      </c>
      <c r="O22" s="1542"/>
      <c r="P22" s="2748">
        <f>SUMPRODUCT((地价!A3:A24=YEAR(G19)&amp;"-"&amp;ROUNDUP(MONTH(G19)/3,0))*(地价!AD2:AH2=N22)*(地价!AD3:AH24))</f>
        <v>1.5299999999999999E-2</v>
      </c>
      <c r="R22" s="2904"/>
      <c r="S22" s="2904"/>
      <c r="T22" s="2904"/>
      <c r="U22" s="2904"/>
      <c r="V22" s="2904"/>
      <c r="W22" s="2195"/>
      <c r="X22" s="2195"/>
      <c r="Y22" s="2195"/>
      <c r="Z22" s="2195"/>
      <c r="AA22" s="2195"/>
      <c r="AB22" s="2195"/>
      <c r="AC22" s="2195"/>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923</v>
      </c>
      <c r="O23" s="1542"/>
      <c r="P23" s="2748">
        <f>SUMPRODUCT((地价!A3:A24=YEAR(G19)&amp;"-"&amp;ROUNDUP(MONTH(G19)/3,0))*(地价!AD2:AH2=N23)*(地价!AD3:AH24))</f>
        <v>2.41E-2</v>
      </c>
      <c r="R23" s="2904"/>
      <c r="S23" s="2904"/>
      <c r="T23" s="2904"/>
      <c r="U23" s="2904"/>
      <c r="V23" s="2904"/>
      <c r="W23" s="2195"/>
      <c r="X23" s="2195"/>
      <c r="Y23" s="2195"/>
      <c r="Z23" s="2195"/>
      <c r="AA23" s="2195"/>
      <c r="AB23" s="2195"/>
      <c r="AC23" s="2195"/>
      <c r="AN23" s="1404"/>
    </row>
    <row r="24" spans="1:40" s="1421" customFormat="1" ht="15.75" thickBot="1">
      <c r="A24" s="1641" t="s">
        <v>1873</v>
      </c>
      <c r="B24" s="1415" t="s">
        <v>981</v>
      </c>
      <c r="C24" s="1062">
        <f>SUMIF(A44:A87,E2,B44:B87)</f>
        <v>1.0449999999999999</v>
      </c>
      <c r="D24" s="1535"/>
      <c r="E24" s="1536"/>
      <c r="F24" s="1536"/>
      <c r="G24" s="1536"/>
      <c r="H24" s="1536"/>
      <c r="I24" s="1536"/>
      <c r="J24" s="1536"/>
      <c r="K24" s="1481"/>
      <c r="L24" s="1481"/>
      <c r="M24" s="1481"/>
      <c r="N24" s="1484" t="s">
        <v>982</v>
      </c>
      <c r="O24" s="1543"/>
      <c r="P24" s="1541">
        <f>SUMPRODUCT((地价!A3:A24=YEAR(G19)&amp;"-"&amp;ROUNDUP(MONTH(G19)/3,0))*(地价!AD2:AH2=N24)*(地价!AD3:AH24))</f>
        <v>1.4200000000000001E-2</v>
      </c>
      <c r="R24" s="2904"/>
      <c r="S24" s="2904"/>
      <c r="T24" s="2904"/>
      <c r="U24" s="2904"/>
      <c r="V24" s="2904"/>
      <c r="W24" s="2195"/>
      <c r="X24" s="2195"/>
      <c r="Y24" s="2195"/>
      <c r="Z24" s="2195"/>
      <c r="AA24" s="2195"/>
      <c r="AB24" s="2195"/>
      <c r="AC24" s="2195"/>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5"/>
      <c r="M25" s="2195"/>
      <c r="N25" s="2776" t="s">
        <v>2649</v>
      </c>
      <c r="O25" s="2195"/>
      <c r="P25" s="1541">
        <f>SUMPRODUCT((地价!A3:A24=YEAR(G19)&amp;"-"&amp;ROUNDUP(MONTH(G19)/3,0))*(地价!AD2:AH2=N25)*(地价!AD3:AH24))</f>
        <v>2.1899999999999999E-2</v>
      </c>
      <c r="R25" s="2904"/>
      <c r="S25" s="2904"/>
      <c r="T25" s="2904"/>
      <c r="U25" s="2904"/>
      <c r="V25" s="2904"/>
      <c r="W25" s="2195"/>
      <c r="X25" s="2195"/>
      <c r="Y25" s="2195"/>
      <c r="Z25" s="2195"/>
      <c r="AA25" s="2195"/>
      <c r="AB25" s="2195"/>
      <c r="AC25" s="2195"/>
    </row>
    <row r="26" spans="1:40" ht="14.25">
      <c r="A26" s="1489"/>
      <c r="B26" s="1483" t="s">
        <v>987</v>
      </c>
      <c r="C26" s="1063">
        <f ca="1">E29+SUM(E33:E39)</f>
        <v>145453</v>
      </c>
      <c r="D26" s="1490"/>
      <c r="E26" s="1456"/>
      <c r="F26" s="1491"/>
      <c r="G26" s="1456"/>
      <c r="H26" s="1456"/>
      <c r="I26" s="1456"/>
      <c r="J26" s="1492"/>
      <c r="K26" s="1401"/>
      <c r="L26" s="2195"/>
      <c r="M26" s="2195"/>
      <c r="N26" s="2195"/>
      <c r="O26" s="2195"/>
      <c r="P26" s="2195"/>
      <c r="Q26" s="2195"/>
      <c r="R26" s="2904"/>
      <c r="S26" s="2904"/>
      <c r="T26" s="2904"/>
      <c r="U26" s="2904"/>
      <c r="V26" s="2904"/>
      <c r="W26" s="2195"/>
      <c r="X26" s="2195"/>
      <c r="Y26" s="2195"/>
      <c r="Z26" s="2195"/>
      <c r="AA26" s="2195"/>
      <c r="AB26" s="2195"/>
      <c r="AC26" s="2195"/>
      <c r="AD26" s="1472"/>
      <c r="AE26" s="1472"/>
      <c r="AF26" s="1472"/>
      <c r="AG26" s="1472"/>
    </row>
    <row r="27" spans="1:40" ht="15" thickBot="1">
      <c r="A27" s="1489"/>
      <c r="B27" s="1493" t="s">
        <v>989</v>
      </c>
      <c r="C27" s="1064">
        <f ca="1">E30+SUM(I33:I39)</f>
        <v>0</v>
      </c>
      <c r="D27" s="1494"/>
      <c r="E27" s="1495"/>
      <c r="F27" s="1496"/>
      <c r="G27" s="1495"/>
      <c r="H27" s="1495"/>
      <c r="I27" s="1495"/>
      <c r="J27" s="1497"/>
      <c r="K27" s="1401"/>
      <c r="L27" s="2195"/>
      <c r="M27" s="2195"/>
      <c r="N27" s="2195"/>
      <c r="O27" s="2195"/>
      <c r="P27" s="2195"/>
      <c r="Q27" s="2195"/>
      <c r="R27" s="2904"/>
      <c r="S27" s="2904"/>
      <c r="T27" s="2904"/>
      <c r="U27" s="2904"/>
      <c r="V27" s="2904"/>
      <c r="W27" s="2195"/>
      <c r="X27" s="2195"/>
      <c r="Y27" s="2195"/>
      <c r="Z27" s="2195"/>
      <c r="AA27" s="2195"/>
      <c r="AB27" s="2195"/>
      <c r="AC27" s="2195"/>
    </row>
    <row r="28" spans="1:40" ht="14.25">
      <c r="A28" s="1485"/>
      <c r="B28" s="1498" t="s">
        <v>990</v>
      </c>
      <c r="C28" s="1499" t="s">
        <v>991</v>
      </c>
      <c r="D28" s="1499" t="s">
        <v>992</v>
      </c>
      <c r="E28" s="1500" t="s">
        <v>993</v>
      </c>
      <c r="F28" s="1501"/>
      <c r="G28" s="1442"/>
      <c r="H28" s="1442"/>
      <c r="I28" s="1442"/>
      <c r="J28" s="1443"/>
      <c r="K28" s="1401"/>
      <c r="L28" s="2195"/>
      <c r="M28" s="2195"/>
      <c r="N28" s="2195"/>
      <c r="O28" s="2195"/>
      <c r="P28" s="2195"/>
      <c r="Q28" s="2195"/>
      <c r="R28" s="2904"/>
      <c r="S28" s="2904"/>
      <c r="T28" s="2904"/>
      <c r="U28" s="2904"/>
      <c r="V28" s="2904"/>
      <c r="W28" s="2195"/>
      <c r="X28" s="2195"/>
      <c r="Y28" s="2195"/>
      <c r="Z28" s="2195"/>
      <c r="AA28" s="2195"/>
      <c r="AB28" s="2195"/>
      <c r="AC28" s="2195"/>
      <c r="AD28" s="1472"/>
      <c r="AE28" s="1472"/>
      <c r="AF28" s="1472"/>
      <c r="AG28" s="1472"/>
    </row>
    <row r="29" spans="1:40" ht="24">
      <c r="A29" s="1502"/>
      <c r="B29" s="1503" t="s">
        <v>994</v>
      </c>
      <c r="C29" s="1063">
        <f ca="1">ROUND(C5*C18*C19*C20*C21*C24,0)</f>
        <v>17021</v>
      </c>
      <c r="D29" s="1504">
        <f>'数据-基础表'!I13</f>
        <v>85455</v>
      </c>
      <c r="E29" s="1849">
        <f ca="1">ROUND(C29*D29/10000,0)</f>
        <v>145453</v>
      </c>
      <c r="F29" s="1505" t="s">
        <v>1702</v>
      </c>
      <c r="G29" s="1506"/>
      <c r="H29" s="1506"/>
      <c r="I29" s="1506"/>
      <c r="J29" s="1507"/>
      <c r="K29" s="1401"/>
      <c r="L29" s="2195"/>
      <c r="M29" s="2195"/>
      <c r="N29" s="2195"/>
      <c r="O29" s="2195"/>
      <c r="P29" s="2195"/>
      <c r="Q29" s="2195"/>
      <c r="R29" s="2904"/>
      <c r="S29" s="2904"/>
      <c r="T29" s="2904"/>
      <c r="U29" s="2904"/>
      <c r="V29" s="2904"/>
      <c r="W29" s="2195"/>
      <c r="X29" s="2195"/>
      <c r="Y29" s="2195"/>
      <c r="Z29" s="2195"/>
      <c r="AA29" s="2195"/>
      <c r="AB29" s="2195"/>
      <c r="AC29" s="2195"/>
      <c r="AH29" s="1402"/>
      <c r="AI29" s="1402"/>
      <c r="AJ29" s="1405"/>
      <c r="AK29" s="1405"/>
      <c r="AL29" s="1405"/>
      <c r="AM29" s="1405"/>
    </row>
    <row r="30" spans="1:40" ht="24.75" thickBot="1">
      <c r="A30" s="1508"/>
      <c r="B30" s="1509" t="s">
        <v>995</v>
      </c>
      <c r="C30" s="1051">
        <f ca="1">ROUND(IF(E2="工业",C29*M39,C29*M38),0)</f>
        <v>4255</v>
      </c>
      <c r="D30" s="1510"/>
      <c r="E30" s="1849">
        <f ca="1">ROUND(C30*D30/10000,0)</f>
        <v>0</v>
      </c>
      <c r="F30" s="1511" t="s">
        <v>996</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64" t="s">
        <v>2959</v>
      </c>
      <c r="B33" s="1524" t="s">
        <v>1000</v>
      </c>
      <c r="C33" s="1063">
        <f ca="1">ROUND(D5*C19*C20*C24*F33,0)</f>
        <v>14587</v>
      </c>
      <c r="D33" s="1537"/>
      <c r="E33" s="1048">
        <f ca="1">ROUND(C33*D33/10000,0)</f>
        <v>0</v>
      </c>
      <c r="F33" s="1048">
        <f>SUMIF(修正!A45:A56,G2,修正!B45:B56)</f>
        <v>0.7</v>
      </c>
      <c r="G33" s="1048">
        <f t="shared" ref="G33" ca="1" si="6">ROUND(IF(E2="工业",C33*$M$39,C33*$M$38),0)</f>
        <v>3647</v>
      </c>
      <c r="H33" s="1048">
        <f>D33</f>
        <v>0</v>
      </c>
      <c r="I33" s="1048">
        <f ca="1">ROUND(G33*H33/10000,0)</f>
        <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65"/>
      <c r="B34" s="1445" t="s">
        <v>1001</v>
      </c>
      <c r="C34" s="1063">
        <f ca="1">ROUND(D5*C19*C20*C24*F34,0)</f>
        <v>8335</v>
      </c>
      <c r="D34" s="1537"/>
      <c r="E34" s="1048">
        <f t="shared" ref="E34:E39" ca="1" si="7">ROUND(C34*D34/10000,0)</f>
        <v>0</v>
      </c>
      <c r="F34" s="1048">
        <f>SUMIF(修正!A45:A56,G2,修正!C45:C56)</f>
        <v>0.4</v>
      </c>
      <c r="G34" s="1048">
        <f ca="1">ROUND(IF(E2="工业",C34*$M$39,C34*$M$38),0)</f>
        <v>2084</v>
      </c>
      <c r="H34" s="1048">
        <f t="shared" ref="H34:H39" si="8">D34</f>
        <v>0</v>
      </c>
      <c r="I34" s="1048">
        <f t="shared" ref="I34:I39" ca="1" si="9">ROUND(G34*H34/10000,0)</f>
        <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65"/>
      <c r="B35" s="1445" t="s">
        <v>1002</v>
      </c>
      <c r="C35" s="1063">
        <f ca="1">ROUND(D5*C19*C20*C24*F35,0)</f>
        <v>5835</v>
      </c>
      <c r="D35" s="1537"/>
      <c r="E35" s="1048">
        <f t="shared" ca="1" si="7"/>
        <v>0</v>
      </c>
      <c r="F35" s="1048">
        <f>SUMIF(修正!A45:A56,G2,修正!D45:D56)</f>
        <v>0.28000000000000003</v>
      </c>
      <c r="G35" s="1048">
        <f ca="1">ROUND(IF(E2="工业",C35*$M$39,C35*$M$38),0)</f>
        <v>1459</v>
      </c>
      <c r="H35" s="1048">
        <f t="shared" si="8"/>
        <v>0</v>
      </c>
      <c r="I35" s="1048">
        <f t="shared" ca="1" si="9"/>
        <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66"/>
      <c r="B36" s="1445" t="s">
        <v>1003</v>
      </c>
      <c r="C36" s="1063">
        <f ca="1">ROUND(D5*C19*C20*C24*F36,0)</f>
        <v>5210</v>
      </c>
      <c r="D36" s="1537"/>
      <c r="E36" s="1048">
        <f t="shared" ca="1" si="7"/>
        <v>0</v>
      </c>
      <c r="F36" s="1048">
        <f>SUMIF(修正!A45:A56,G2,修正!E45:E56)</f>
        <v>0.25</v>
      </c>
      <c r="G36" s="1048">
        <f ca="1">ROUND(IF(E2="工业",C36*$M$39,C36*$M$38),0)</f>
        <v>1303</v>
      </c>
      <c r="H36" s="1048">
        <f t="shared" si="8"/>
        <v>0</v>
      </c>
      <c r="I36" s="1048">
        <f t="shared" ca="1" si="9"/>
        <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1004</v>
      </c>
      <c r="C37" s="1048">
        <f ca="1">ROUND(D5*C19*C20*C24*F37,0)</f>
        <v>5210</v>
      </c>
      <c r="D37" s="1537"/>
      <c r="E37" s="1048">
        <f t="shared" ca="1" si="7"/>
        <v>0</v>
      </c>
      <c r="F37" s="1063">
        <f>SUMIF(修正!A45:A56,G2,修正!F45:F56)</f>
        <v>0.25</v>
      </c>
      <c r="G37" s="1048">
        <f ca="1">ROUND(IF(E2="工业",C37*$M$39,C37*$M$38),0)</f>
        <v>1303</v>
      </c>
      <c r="H37" s="1048">
        <f t="shared" si="8"/>
        <v>0</v>
      </c>
      <c r="I37" s="1048">
        <f t="shared" ca="1" si="9"/>
        <v>0</v>
      </c>
      <c r="J37" s="1525"/>
      <c r="K37" s="1401"/>
      <c r="L37" s="1544" t="s">
        <v>1704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1005</v>
      </c>
      <c r="C38" s="1048">
        <f ca="1">ROUND(D5*C19*C41*C24*F38,0)</f>
        <v>0</v>
      </c>
      <c r="D38" s="1537"/>
      <c r="E38" s="1048">
        <f t="shared" ca="1" si="7"/>
        <v>0</v>
      </c>
      <c r="F38" s="1063">
        <f>SUMIF(修正!A45:A56,G2,修正!G45:G56)</f>
        <v>0.25</v>
      </c>
      <c r="G38" s="1048">
        <f ca="1">ROUND(IF(E2="工业",C38*$M$39,C38*$M$38),0)</f>
        <v>0</v>
      </c>
      <c r="H38" s="1048">
        <f t="shared" si="8"/>
        <v>0</v>
      </c>
      <c r="I38" s="1048">
        <f t="shared" ca="1" si="9"/>
        <v>0</v>
      </c>
      <c r="J38" s="1525"/>
      <c r="K38" s="1401"/>
      <c r="L38" s="1546" t="s">
        <v>1706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1006</v>
      </c>
      <c r="C39" s="1051">
        <f ca="1">ROUND(D5*C19*C41*C24*F39,0)</f>
        <v>0</v>
      </c>
      <c r="D39" s="1538"/>
      <c r="E39" s="1051">
        <f t="shared" ca="1" si="7"/>
        <v>0</v>
      </c>
      <c r="F39" s="1065">
        <f>SUMIF(修正!A45:A56,G2,修正!H45:H56)</f>
        <v>0.2</v>
      </c>
      <c r="G39" s="1051">
        <f ca="1">ROUND(IF(E2="工业",C39*$M$39,C39*$M$38),0)</f>
        <v>0</v>
      </c>
      <c r="H39" s="1051">
        <f t="shared" si="8"/>
        <v>0</v>
      </c>
      <c r="I39" s="1051">
        <f t="shared" ca="1" si="9"/>
        <v>0</v>
      </c>
      <c r="J39" s="1527"/>
      <c r="K39" s="1401"/>
      <c r="L39" s="1548" t="s">
        <v>1705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ht="12.75">
      <c r="A41" s="1403"/>
      <c r="B41" s="3177" t="s">
        <v>2987</v>
      </c>
      <c r="C41" s="839">
        <f ca="1">ROUND(POWER(1+E41,H41-G41)*(POWER(1+E41,G41)-1)/(POWER(1+E41,H41)-1),4)</f>
        <v>0</v>
      </c>
      <c r="D41" s="378" t="s">
        <v>2985</v>
      </c>
      <c r="E41" s="3176">
        <f ca="1">G20</f>
        <v>5.3999999999999999E-2</v>
      </c>
      <c r="F41" s="378" t="s">
        <v>2986</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398" t="s">
        <v>1007</v>
      </c>
      <c r="B44" s="2399"/>
      <c r="C44" s="2400"/>
      <c r="D44" s="2401"/>
      <c r="E44" s="2401"/>
      <c r="F44" s="2402"/>
      <c r="G44" s="1066"/>
      <c r="H44" s="2402"/>
      <c r="I44" s="1066"/>
      <c r="J44" s="1066"/>
      <c r="K44" s="1066"/>
      <c r="L44" s="1066"/>
      <c r="M44" s="1066"/>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03" t="s">
        <v>1008</v>
      </c>
      <c r="B45" s="2404">
        <f>1+E47</f>
        <v>1.0449999999999999</v>
      </c>
      <c r="C45" s="2405"/>
      <c r="D45" s="2406"/>
      <c r="E45" s="2407"/>
      <c r="F45" s="2408"/>
      <c r="G45" s="2402"/>
      <c r="H45" s="2402"/>
      <c r="I45" s="1066"/>
      <c r="J45" s="1066"/>
      <c r="K45" s="1066"/>
      <c r="L45" s="1066"/>
      <c r="M45" s="1066"/>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7" t="s">
        <v>1009</v>
      </c>
      <c r="B46" s="2387" t="s">
        <v>1010</v>
      </c>
      <c r="C46" s="2409" t="s">
        <v>1011</v>
      </c>
      <c r="D46" s="2410" t="s">
        <v>1012</v>
      </c>
      <c r="E46" s="2411" t="s">
        <v>1014</v>
      </c>
      <c r="F46" s="2412" t="s">
        <v>2251</v>
      </c>
      <c r="G46" s="2410" t="s">
        <v>1015</v>
      </c>
      <c r="H46" s="2393" t="s">
        <v>2419</v>
      </c>
      <c r="I46" s="2410" t="s">
        <v>1013</v>
      </c>
      <c r="J46" s="2413" t="s">
        <v>1016</v>
      </c>
      <c r="K46" s="2413" t="s">
        <v>1017</v>
      </c>
      <c r="L46" s="2413" t="s">
        <v>1018</v>
      </c>
      <c r="M46" s="2413" t="s">
        <v>1019</v>
      </c>
      <c r="N46" s="2413" t="s">
        <v>1020</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48">
      <c r="A47" s="1067" t="s">
        <v>1021</v>
      </c>
      <c r="B47" s="2390" t="str">
        <f>估价对象房地状况!C16</f>
        <v>估价对象位于酒仙桥商圈，周边商业氛围较成熟，人流量较大，商业繁华度较好</v>
      </c>
      <c r="C47" s="1050" t="s">
        <v>3018</v>
      </c>
      <c r="D47" s="2396">
        <f t="shared" ref="D47:D55" si="10">SUMIF($J$46:$N$46,C47,J47:N47)</f>
        <v>1.5800000000000002E-2</v>
      </c>
      <c r="E47" s="2415">
        <f>ROUND(SUM(D47:D55),4)</f>
        <v>4.4999999999999998E-2</v>
      </c>
      <c r="F47" s="2416">
        <f>IF(E2="商业",SUMIF(L1:L12,G2,N1:N12),"——")</f>
        <v>9.6000000000000002E-2</v>
      </c>
      <c r="G47" s="2394">
        <v>1.5800000000000002E-2</v>
      </c>
      <c r="H47" s="2440">
        <f t="shared" ref="H47:H55" si="11">IFERROR(ROUNDDOWN(($F$47*I47/2),4),"——")</f>
        <v>1.5800000000000002E-2</v>
      </c>
      <c r="I47" s="2414">
        <v>0.33</v>
      </c>
      <c r="J47" s="2417">
        <f t="shared" ref="J47:J55" si="12">K47+$G47</f>
        <v>3.1600000000000003E-2</v>
      </c>
      <c r="K47" s="2417">
        <f t="shared" ref="K47:K55" si="13">$L47+$G47</f>
        <v>1.5800000000000002E-2</v>
      </c>
      <c r="L47" s="2417">
        <v>0</v>
      </c>
      <c r="M47" s="2417">
        <f t="shared" ref="M47:N55" si="14">L47-$G47</f>
        <v>-1.5800000000000002E-2</v>
      </c>
      <c r="N47" s="2417">
        <f t="shared" si="14"/>
        <v>-3.1600000000000003E-2</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96">
      <c r="A48" s="1067" t="s">
        <v>1022</v>
      </c>
      <c r="B48" s="2387" t="str">
        <f>估价对象房地状况!C18</f>
        <v>估价对象周边有445路、516路、659路、983路等多条公交线路经过，距14号线地铁（将台站）约300米，道路状况较好、公共交通通达情况较好、综合评价交通便捷度较好。</v>
      </c>
      <c r="C48" s="1050" t="s">
        <v>3018</v>
      </c>
      <c r="D48" s="2396">
        <f t="shared" si="10"/>
        <v>1.2E-2</v>
      </c>
      <c r="E48" s="2418"/>
      <c r="F48" s="2416"/>
      <c r="G48" s="2394">
        <v>1.2E-2</v>
      </c>
      <c r="H48" s="2440">
        <f t="shared" si="11"/>
        <v>1.2E-2</v>
      </c>
      <c r="I48" s="2414">
        <v>0.25</v>
      </c>
      <c r="J48" s="2417">
        <f t="shared" si="12"/>
        <v>2.4E-2</v>
      </c>
      <c r="K48" s="2417">
        <f t="shared" si="13"/>
        <v>1.2E-2</v>
      </c>
      <c r="L48" s="2417">
        <v>0</v>
      </c>
      <c r="M48" s="2417">
        <f t="shared" si="14"/>
        <v>-1.2E-2</v>
      </c>
      <c r="N48" s="2417">
        <f t="shared" si="14"/>
        <v>-2.4E-2</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7" t="s">
        <v>1023</v>
      </c>
      <c r="B49" s="2387">
        <f>估价对象房地状况!C19</f>
        <v>0</v>
      </c>
      <c r="C49" s="1050" t="s">
        <v>3018</v>
      </c>
      <c r="D49" s="2396">
        <f t="shared" si="10"/>
        <v>2.3999999999999998E-3</v>
      </c>
      <c r="E49" s="2418"/>
      <c r="F49" s="2416"/>
      <c r="G49" s="2394">
        <v>2.3999999999999998E-3</v>
      </c>
      <c r="H49" s="2440">
        <f t="shared" si="11"/>
        <v>2.3999999999999998E-3</v>
      </c>
      <c r="I49" s="2414">
        <v>0.05</v>
      </c>
      <c r="J49" s="2417">
        <f t="shared" si="12"/>
        <v>4.7999999999999996E-3</v>
      </c>
      <c r="K49" s="2417">
        <f t="shared" si="13"/>
        <v>2.3999999999999998E-3</v>
      </c>
      <c r="L49" s="2417">
        <v>0</v>
      </c>
      <c r="M49" s="2417">
        <f t="shared" si="14"/>
        <v>-2.3999999999999998E-3</v>
      </c>
      <c r="N49" s="2417">
        <f t="shared" si="14"/>
        <v>-4.7999999999999996E-3</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7" t="s">
        <v>1024</v>
      </c>
      <c r="B50" s="3073" t="s">
        <v>2935</v>
      </c>
      <c r="C50" s="1050" t="s">
        <v>3018</v>
      </c>
      <c r="D50" s="2396">
        <f t="shared" si="10"/>
        <v>2.3999999999999998E-3</v>
      </c>
      <c r="E50" s="2418"/>
      <c r="F50" s="2416"/>
      <c r="G50" s="2394">
        <v>2.3999999999999998E-3</v>
      </c>
      <c r="H50" s="2440">
        <f t="shared" si="11"/>
        <v>2.3999999999999998E-3</v>
      </c>
      <c r="I50" s="2414">
        <v>0.05</v>
      </c>
      <c r="J50" s="2417">
        <f t="shared" si="12"/>
        <v>4.7999999999999996E-3</v>
      </c>
      <c r="K50" s="2417">
        <f t="shared" si="13"/>
        <v>2.3999999999999998E-3</v>
      </c>
      <c r="L50" s="2417">
        <v>0</v>
      </c>
      <c r="M50" s="2417">
        <f t="shared" si="14"/>
        <v>-2.3999999999999998E-3</v>
      </c>
      <c r="N50" s="2417">
        <f t="shared" si="14"/>
        <v>-4.7999999999999996E-3</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7" t="s">
        <v>1025</v>
      </c>
      <c r="B51" s="2387">
        <f>估价对象房地状况!C24</f>
        <v>0</v>
      </c>
      <c r="C51" s="1050" t="s">
        <v>3019</v>
      </c>
      <c r="D51" s="2396">
        <f t="shared" si="10"/>
        <v>-3.8E-3</v>
      </c>
      <c r="E51" s="2418"/>
      <c r="F51" s="2416"/>
      <c r="G51" s="2394">
        <v>3.8E-3</v>
      </c>
      <c r="H51" s="2440">
        <f t="shared" si="11"/>
        <v>3.8E-3</v>
      </c>
      <c r="I51" s="2414">
        <v>0.08</v>
      </c>
      <c r="J51" s="2417">
        <f t="shared" si="12"/>
        <v>7.6E-3</v>
      </c>
      <c r="K51" s="2417">
        <f t="shared" si="13"/>
        <v>3.8E-3</v>
      </c>
      <c r="L51" s="2417">
        <v>0</v>
      </c>
      <c r="M51" s="2417">
        <f t="shared" si="14"/>
        <v>-3.8E-3</v>
      </c>
      <c r="N51" s="2417">
        <f t="shared" si="14"/>
        <v>-7.6E-3</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7" t="s">
        <v>1026</v>
      </c>
      <c r="B52" s="3072" t="s">
        <v>2934</v>
      </c>
      <c r="C52" s="1050" t="s">
        <v>3018</v>
      </c>
      <c r="D52" s="2396">
        <f t="shared" si="10"/>
        <v>1.4E-3</v>
      </c>
      <c r="E52" s="2418"/>
      <c r="F52" s="2416"/>
      <c r="G52" s="2394">
        <v>1.4E-3</v>
      </c>
      <c r="H52" s="2440">
        <f t="shared" si="11"/>
        <v>1.4E-3</v>
      </c>
      <c r="I52" s="2414">
        <v>0.03</v>
      </c>
      <c r="J52" s="2417">
        <f t="shared" si="12"/>
        <v>2.8E-3</v>
      </c>
      <c r="K52" s="2417">
        <f t="shared" si="13"/>
        <v>1.4E-3</v>
      </c>
      <c r="L52" s="2417">
        <v>0</v>
      </c>
      <c r="M52" s="2417">
        <f t="shared" si="14"/>
        <v>-1.4E-3</v>
      </c>
      <c r="N52" s="2417">
        <f t="shared" si="14"/>
        <v>-2.8E-3</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19" t="s">
        <v>1027</v>
      </c>
      <c r="B53" s="2388" t="str">
        <f>估价对象房地状况!C21</f>
        <v>估价对象所在区域公共配套设施齐备度较好</v>
      </c>
      <c r="C53" s="1050" t="s">
        <v>3018</v>
      </c>
      <c r="D53" s="2396">
        <f t="shared" si="10"/>
        <v>2.3999999999999998E-3</v>
      </c>
      <c r="E53" s="2418"/>
      <c r="F53" s="2416"/>
      <c r="G53" s="2394">
        <v>2.3999999999999998E-3</v>
      </c>
      <c r="H53" s="2440">
        <f t="shared" si="11"/>
        <v>2.3999999999999998E-3</v>
      </c>
      <c r="I53" s="2414">
        <v>0.05</v>
      </c>
      <c r="J53" s="2417">
        <f t="shared" si="12"/>
        <v>4.7999999999999996E-3</v>
      </c>
      <c r="K53" s="2417">
        <f t="shared" si="13"/>
        <v>2.3999999999999998E-3</v>
      </c>
      <c r="L53" s="2417">
        <v>0</v>
      </c>
      <c r="M53" s="2417">
        <f t="shared" si="14"/>
        <v>-2.3999999999999998E-3</v>
      </c>
      <c r="N53" s="2417">
        <f t="shared" si="14"/>
        <v>-4.7999999999999996E-3</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19" t="s">
        <v>1028</v>
      </c>
      <c r="B54" s="2387" t="str">
        <f>估价对象房地状况!C22</f>
        <v>估价对象所在区域基础设施水平达到七通一平</v>
      </c>
      <c r="C54" s="1050" t="s">
        <v>3149</v>
      </c>
      <c r="D54" s="2396">
        <f t="shared" si="10"/>
        <v>9.5999999999999992E-3</v>
      </c>
      <c r="E54" s="2418"/>
      <c r="F54" s="2416"/>
      <c r="G54" s="2394">
        <v>4.7999999999999996E-3</v>
      </c>
      <c r="H54" s="2440">
        <f t="shared" si="11"/>
        <v>4.7999999999999996E-3</v>
      </c>
      <c r="I54" s="2414">
        <v>0.1</v>
      </c>
      <c r="J54" s="2417">
        <f t="shared" si="12"/>
        <v>9.5999999999999992E-3</v>
      </c>
      <c r="K54" s="2417">
        <f t="shared" si="13"/>
        <v>4.7999999999999996E-3</v>
      </c>
      <c r="L54" s="2417">
        <v>0</v>
      </c>
      <c r="M54" s="2417">
        <f t="shared" si="14"/>
        <v>-4.7999999999999996E-3</v>
      </c>
      <c r="N54" s="2417">
        <f t="shared" si="14"/>
        <v>-9.5999999999999992E-3</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20" t="s">
        <v>1029</v>
      </c>
      <c r="B55" s="2391" t="str">
        <f>估价对象房地状况!C20</f>
        <v>区域自然环境：；人文环境；综合评价环境状况较好</v>
      </c>
      <c r="C55" s="1050" t="s">
        <v>3018</v>
      </c>
      <c r="D55" s="2396">
        <f t="shared" si="10"/>
        <v>2.8E-3</v>
      </c>
      <c r="E55" s="2422"/>
      <c r="F55" s="2416"/>
      <c r="G55" s="2394">
        <v>2.8E-3</v>
      </c>
      <c r="H55" s="2440">
        <f t="shared" si="11"/>
        <v>2.8E-3</v>
      </c>
      <c r="I55" s="2421">
        <v>0.06</v>
      </c>
      <c r="J55" s="2417">
        <f t="shared" si="12"/>
        <v>5.5999999999999999E-3</v>
      </c>
      <c r="K55" s="2417">
        <f t="shared" si="13"/>
        <v>2.8E-3</v>
      </c>
      <c r="L55" s="2417">
        <v>0</v>
      </c>
      <c r="M55" s="2417">
        <f t="shared" si="14"/>
        <v>-2.8E-3</v>
      </c>
      <c r="N55" s="2417">
        <f t="shared" si="14"/>
        <v>-5.5999999999999999E-3</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hidden="1">
      <c r="A56" s="2403" t="s">
        <v>1030</v>
      </c>
      <c r="B56" s="2404">
        <f>1+E58</f>
        <v>1</v>
      </c>
      <c r="C56" s="2423"/>
      <c r="D56" s="2406"/>
      <c r="E56" s="2407"/>
      <c r="F56" s="2408"/>
      <c r="G56" s="2402"/>
      <c r="H56" s="2402"/>
      <c r="I56" s="2402"/>
      <c r="J56" s="1066"/>
      <c r="K56" s="1066"/>
      <c r="L56" s="1066"/>
      <c r="M56" s="1066"/>
      <c r="N56" s="1066"/>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hidden="1">
      <c r="A57" s="1067" t="s">
        <v>1009</v>
      </c>
      <c r="B57" s="2387"/>
      <c r="C57" s="2409" t="s">
        <v>1011</v>
      </c>
      <c r="D57" s="2410" t="s">
        <v>1012</v>
      </c>
      <c r="E57" s="2411" t="s">
        <v>1014</v>
      </c>
      <c r="F57" s="2412" t="s">
        <v>2252</v>
      </c>
      <c r="G57" s="2410" t="s">
        <v>1015</v>
      </c>
      <c r="H57" s="2393" t="s">
        <v>2419</v>
      </c>
      <c r="I57" s="2410" t="s">
        <v>1013</v>
      </c>
      <c r="J57" s="2413" t="s">
        <v>1016</v>
      </c>
      <c r="K57" s="2413" t="s">
        <v>1017</v>
      </c>
      <c r="L57" s="2413" t="s">
        <v>1018</v>
      </c>
      <c r="M57" s="2413" t="s">
        <v>1019</v>
      </c>
      <c r="N57" s="2413" t="s">
        <v>1020</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48" hidden="1">
      <c r="A58" s="1067" t="s">
        <v>1031</v>
      </c>
      <c r="B58" s="2390" t="str">
        <f>估价对象房地状况!C17</f>
        <v>估价对象位于酒仙桥商圈，周边办公楼项目较多，入驻率高，办公集聚程度较好</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96" hidden="1">
      <c r="A59" s="1067" t="s">
        <v>1022</v>
      </c>
      <c r="B59" s="2387" t="str">
        <f>估价对象房地状况!C18</f>
        <v>估价对象周边有445路、516路、659路、983路等多条公交线路经过，距14号线地铁（将台站）约300米，道路状况较好、公共交通通达情况较好、综合评价交通便捷度较好。</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hidden="1">
      <c r="A60" s="1067" t="s">
        <v>1023</v>
      </c>
      <c r="B60" s="2387">
        <f>估价对象房地状况!C19</f>
        <v>0</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hidden="1">
      <c r="A61" s="1067" t="s">
        <v>1024</v>
      </c>
      <c r="B61" s="3073" t="s">
        <v>2936</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hidden="1">
      <c r="A62" s="1067" t="s">
        <v>1025</v>
      </c>
      <c r="B62" s="2387">
        <f>估价对象房地状况!C24</f>
        <v>0</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hidden="1">
      <c r="A63" s="1067" t="s">
        <v>1026</v>
      </c>
      <c r="B63" s="3072" t="s">
        <v>2934</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hidden="1">
      <c r="A64" s="1067" t="s">
        <v>1027</v>
      </c>
      <c r="B64" s="2388" t="str">
        <f>估价对象房地状况!C21</f>
        <v>估价对象所在区域公共配套设施齐备度较好</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hidden="1">
      <c r="A65" s="1067" t="s">
        <v>1028</v>
      </c>
      <c r="B65" s="2388" t="str">
        <f>估价对象房地状况!C22</f>
        <v>估价对象所在区域基础设施水平达到七通一平</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hidden="1" thickBot="1">
      <c r="A66" s="2420" t="s">
        <v>1029</v>
      </c>
      <c r="B66" s="2392" t="str">
        <f>估价对象房地状况!C20</f>
        <v>区域自然环境：；人文环境；综合评价环境状况较好</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hidden="1">
      <c r="A67" s="2403" t="s">
        <v>1032</v>
      </c>
      <c r="B67" s="2404">
        <f>1+E69</f>
        <v>1</v>
      </c>
      <c r="C67" s="2423"/>
      <c r="D67" s="2406"/>
      <c r="E67" s="2407"/>
      <c r="F67" s="2408"/>
      <c r="G67" s="2402"/>
      <c r="H67" s="2402"/>
      <c r="I67" s="2402"/>
      <c r="J67" s="1066"/>
      <c r="K67" s="1066"/>
      <c r="L67" s="1066"/>
      <c r="M67" s="1066"/>
      <c r="N67" s="1066"/>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hidden="1">
      <c r="A68" s="1067" t="s">
        <v>1009</v>
      </c>
      <c r="B68" s="2387"/>
      <c r="C68" s="2409" t="s">
        <v>1011</v>
      </c>
      <c r="D68" s="2410" t="s">
        <v>1012</v>
      </c>
      <c r="E68" s="2411" t="s">
        <v>1014</v>
      </c>
      <c r="F68" s="2412" t="s">
        <v>2253</v>
      </c>
      <c r="G68" s="2410" t="s">
        <v>1015</v>
      </c>
      <c r="H68" s="2393" t="s">
        <v>2419</v>
      </c>
      <c r="I68" s="2410" t="s">
        <v>1013</v>
      </c>
      <c r="J68" s="2413" t="s">
        <v>1016</v>
      </c>
      <c r="K68" s="2413" t="s">
        <v>1017</v>
      </c>
      <c r="L68" s="2413" t="s">
        <v>1018</v>
      </c>
      <c r="M68" s="2413" t="s">
        <v>1019</v>
      </c>
      <c r="N68" s="2413" t="s">
        <v>1020</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hidden="1">
      <c r="A69" s="1067" t="s">
        <v>1033</v>
      </c>
      <c r="B69" s="2390" t="str">
        <f>估价对象房地状况!C15</f>
        <v>估价对象周边居住用地比例、居住小区规模和社区发展完善程度，综合评价居住社区成熟度一般</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96" hidden="1">
      <c r="A70" s="1067" t="s">
        <v>1034</v>
      </c>
      <c r="B70" s="2387" t="str">
        <f>估价对象房地状况!C18</f>
        <v>估价对象周边有445路、516路、659路、983路等多条公交线路经过，距14号线地铁（将台站）约300米，道路状况较好、公共交通通达情况较好、综合评价交通便捷度较好。</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hidden="1">
      <c r="A71" s="1067" t="s">
        <v>1023</v>
      </c>
      <c r="B71" s="2387">
        <f>估价对象房地状况!C19</f>
        <v>0</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hidden="1">
      <c r="A72" s="1067" t="s">
        <v>1035</v>
      </c>
      <c r="B72" s="2387">
        <f>估价对象房地状况!C24</f>
        <v>0</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hidden="1">
      <c r="A73" s="1067" t="s">
        <v>1027</v>
      </c>
      <c r="B73" s="2388" t="str">
        <f>估价对象房地状况!C21</f>
        <v>估价对象所在区域公共配套设施齐备度较好</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hidden="1">
      <c r="A74" s="1067" t="s">
        <v>1028</v>
      </c>
      <c r="B74" s="2388" t="str">
        <f>估价对象房地状况!C22</f>
        <v>估价对象所在区域基础设施水平达到七通一平</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hidden="1">
      <c r="A75" s="1067" t="s">
        <v>1026</v>
      </c>
      <c r="B75" s="3072" t="s">
        <v>2934</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hidden="1">
      <c r="A76" s="1067" t="s">
        <v>1029</v>
      </c>
      <c r="B76" s="2390" t="str">
        <f>估价对象房地状况!C20</f>
        <v>区域自然环境：；人文环境；综合评价环境状况较好</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3"/>
      <c r="AN76" s="1404"/>
    </row>
    <row r="77" spans="1:40" ht="24.75" hidden="1" thickBot="1">
      <c r="A77" s="2420" t="s">
        <v>1036</v>
      </c>
      <c r="B77" s="1850"/>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5"/>
      <c r="AD77" s="1404"/>
      <c r="AJ77" s="1403"/>
      <c r="AN77" s="1404"/>
    </row>
    <row r="78" spans="1:40" ht="15" hidden="1">
      <c r="A78" s="2403" t="s">
        <v>1037</v>
      </c>
      <c r="B78" s="2404">
        <f>1+E80</f>
        <v>1</v>
      </c>
      <c r="C78" s="2423"/>
      <c r="D78" s="2406"/>
      <c r="E78" s="2407"/>
      <c r="F78" s="2408"/>
      <c r="G78" s="2402"/>
      <c r="H78" s="2402"/>
      <c r="I78" s="2402"/>
      <c r="J78" s="1066"/>
      <c r="K78" s="1066"/>
      <c r="L78" s="1066"/>
      <c r="M78" s="1066"/>
      <c r="N78" s="1066"/>
      <c r="AC78" s="1405"/>
      <c r="AD78" s="1404"/>
      <c r="AJ78" s="1403"/>
      <c r="AN78" s="1404"/>
    </row>
    <row r="79" spans="1:40" ht="24" hidden="1">
      <c r="A79" s="1067" t="s">
        <v>1009</v>
      </c>
      <c r="B79" s="2387"/>
      <c r="C79" s="2409" t="s">
        <v>1011</v>
      </c>
      <c r="D79" s="2410" t="s">
        <v>1012</v>
      </c>
      <c r="E79" s="2411" t="s">
        <v>1014</v>
      </c>
      <c r="F79" s="2412" t="s">
        <v>2254</v>
      </c>
      <c r="G79" s="2410" t="s">
        <v>1015</v>
      </c>
      <c r="H79" s="2393" t="s">
        <v>2419</v>
      </c>
      <c r="I79" s="2410" t="s">
        <v>1013</v>
      </c>
      <c r="J79" s="2413" t="s">
        <v>1016</v>
      </c>
      <c r="K79" s="2413" t="s">
        <v>1017</v>
      </c>
      <c r="L79" s="2413" t="s">
        <v>1018</v>
      </c>
      <c r="M79" s="2413" t="s">
        <v>1019</v>
      </c>
      <c r="N79" s="2413" t="s">
        <v>1020</v>
      </c>
      <c r="AC79" s="1405"/>
      <c r="AD79" s="1404"/>
      <c r="AJ79" s="1403"/>
      <c r="AN79" s="1404"/>
    </row>
    <row r="80" spans="1:40" ht="36" hidden="1">
      <c r="A80" s="1067" t="s">
        <v>1038</v>
      </c>
      <c r="B80" s="2387" t="str">
        <f>估价对象房地状况!G15</f>
        <v>估价对象位于XX开发区，园区建设成熟度XX，产业集聚程度XX</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5"/>
      <c r="AD80" s="1404"/>
      <c r="AJ80" s="1403"/>
      <c r="AN80" s="1404"/>
    </row>
    <row r="81" spans="1:40" ht="48" hidden="1">
      <c r="A81" s="1067" t="s">
        <v>1034</v>
      </c>
      <c r="B81" s="2387" t="str">
        <f>估价对象房地状况!G16</f>
        <v>估价对象周边道路状况、公共交通通达情况、停车便捷程度，综合评价交通便捷度较好</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5"/>
      <c r="AD81" s="1404"/>
      <c r="AJ81" s="1403"/>
      <c r="AN81" s="1404"/>
    </row>
    <row r="82" spans="1:40" ht="24" hidden="1">
      <c r="A82" s="1067" t="s">
        <v>1023</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5"/>
      <c r="AD82" s="1404"/>
      <c r="AJ82" s="1403"/>
      <c r="AN82" s="1404"/>
    </row>
    <row r="83" spans="1:40" ht="14.25" hidden="1">
      <c r="A83" s="1067" t="s">
        <v>1035</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5"/>
      <c r="AD83" s="1404"/>
      <c r="AJ83" s="1403"/>
      <c r="AN83" s="1404"/>
    </row>
    <row r="84" spans="1:40" ht="24" hidden="1">
      <c r="A84" s="1067" t="s">
        <v>1027</v>
      </c>
      <c r="B84" s="2388" t="str">
        <f>估价对象房地状况!G19</f>
        <v>估价对象所在区域公共配套设施齐备情况</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5"/>
      <c r="AD84" s="1404"/>
      <c r="AJ84" s="1403"/>
      <c r="AN84" s="1404"/>
    </row>
    <row r="85" spans="1:40" ht="24" hidden="1">
      <c r="A85" s="1067" t="s">
        <v>1028</v>
      </c>
      <c r="B85" s="2388" t="str">
        <f>估价对象房地状况!G20</f>
        <v>估价对象所在区域基础设施水平</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5"/>
      <c r="AD85" s="1404"/>
      <c r="AJ85" s="1403"/>
      <c r="AN85" s="1404"/>
    </row>
    <row r="86" spans="1:40" ht="24" hidden="1">
      <c r="A86" s="1067" t="s">
        <v>1026</v>
      </c>
      <c r="B86" s="3072" t="s">
        <v>2934</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5"/>
      <c r="AD86" s="1404"/>
      <c r="AJ86" s="1403"/>
      <c r="AN86" s="1404"/>
    </row>
    <row r="87" spans="1:40" ht="36.75" hidden="1" thickBot="1">
      <c r="A87" s="2420" t="s">
        <v>1039</v>
      </c>
      <c r="B87" s="2389" t="str">
        <f>估价对象房地状况!G18</f>
        <v>该园区内是否有污染型企业，绿化情况，卫生条件，整体环境状况判断</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5"/>
      <c r="AD87" s="1404"/>
      <c r="AJ87" s="1403"/>
      <c r="AN87" s="1404"/>
    </row>
    <row r="90" spans="1:40">
      <c r="A90" s="3462" t="s">
        <v>1634</v>
      </c>
      <c r="B90" s="3462"/>
      <c r="C90" s="3462"/>
      <c r="D90" s="3462"/>
      <c r="E90" s="3462"/>
      <c r="F90" s="3462"/>
      <c r="G90" s="3462"/>
      <c r="H90" s="3462"/>
      <c r="I90" s="3462"/>
      <c r="J90" s="3462"/>
      <c r="K90" s="2429"/>
      <c r="L90" s="2429"/>
      <c r="M90" s="2429"/>
      <c r="N90" s="2429"/>
    </row>
    <row r="91" spans="1:40">
      <c r="A91" s="3463" t="s">
        <v>1444</v>
      </c>
      <c r="B91" s="3463" t="s">
        <v>1635</v>
      </c>
      <c r="C91" s="1140" t="s">
        <v>1636</v>
      </c>
      <c r="D91" s="1141"/>
      <c r="E91" s="1141"/>
      <c r="F91" s="1141"/>
      <c r="G91" s="1141"/>
      <c r="H91" s="1141"/>
      <c r="I91" s="1141"/>
      <c r="J91" s="1142"/>
      <c r="K91" s="1134"/>
      <c r="L91" s="1134"/>
      <c r="M91" s="1134"/>
      <c r="N91" s="1134"/>
    </row>
    <row r="92" spans="1:40">
      <c r="A92" s="3463"/>
      <c r="B92" s="3463"/>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452"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3"/>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2" t="s">
        <v>1638</v>
      </c>
      <c r="B101" s="1147" t="s">
        <v>906</v>
      </c>
      <c r="C101" s="1148">
        <f>$G$3</f>
        <v>5.12</v>
      </c>
      <c r="D101" s="1148">
        <f t="shared" ref="D101:N101" si="31">$G$3</f>
        <v>5.12</v>
      </c>
      <c r="E101" s="1148">
        <f t="shared" si="31"/>
        <v>5.12</v>
      </c>
      <c r="F101" s="1148">
        <f t="shared" si="31"/>
        <v>5.12</v>
      </c>
      <c r="G101" s="1148">
        <f t="shared" si="31"/>
        <v>5.12</v>
      </c>
      <c r="H101" s="1148">
        <f t="shared" si="31"/>
        <v>5.12</v>
      </c>
      <c r="I101" s="1148">
        <f t="shared" si="31"/>
        <v>5.12</v>
      </c>
      <c r="J101" s="1148">
        <f t="shared" si="31"/>
        <v>5.12</v>
      </c>
      <c r="K101" s="1148">
        <f t="shared" si="31"/>
        <v>5.12</v>
      </c>
      <c r="L101" s="1148">
        <f t="shared" si="31"/>
        <v>5.12</v>
      </c>
      <c r="M101" s="1148">
        <f t="shared" si="31"/>
        <v>5.12</v>
      </c>
      <c r="N101" s="1148">
        <f t="shared" si="31"/>
        <v>5.12</v>
      </c>
    </row>
    <row r="102" spans="1:14">
      <c r="A102" s="3453"/>
      <c r="B102" s="1143">
        <v>1</v>
      </c>
      <c r="C102" s="1144">
        <f>1.9362/C101</f>
        <v>0.37816406249999995</v>
      </c>
      <c r="D102" s="1144">
        <f>1.9362/D101</f>
        <v>0.37816406249999995</v>
      </c>
      <c r="E102" s="1144">
        <f>1.8629/E101</f>
        <v>0.36384765624999998</v>
      </c>
      <c r="F102" s="1144">
        <f>1.8629/F101</f>
        <v>0.36384765624999998</v>
      </c>
      <c r="G102" s="1144">
        <f>1.8629/G101</f>
        <v>0.36384765624999998</v>
      </c>
      <c r="H102" s="1144">
        <f>1.8629/H101</f>
        <v>0.36384765624999998</v>
      </c>
      <c r="I102" s="1144">
        <f>1.8629/I101</f>
        <v>0.36384765624999998</v>
      </c>
      <c r="J102" s="1144">
        <f>1.942/J101</f>
        <v>0.37929687499999998</v>
      </c>
      <c r="K102" s="1144">
        <f>1.942/K101</f>
        <v>0.37929687499999998</v>
      </c>
      <c r="L102" s="1144">
        <f>1.942/L101</f>
        <v>0.37929687499999998</v>
      </c>
      <c r="M102" s="1144">
        <f>1.942/M101</f>
        <v>0.37929687499999998</v>
      </c>
      <c r="N102" s="1144">
        <f>1.942/N101</f>
        <v>0.37929687499999998</v>
      </c>
    </row>
    <row r="103" spans="1:14">
      <c r="A103" s="3453"/>
      <c r="B103" s="1143">
        <v>2</v>
      </c>
      <c r="C103" s="1144">
        <f>1.4198/C101</f>
        <v>0.27730468749999998</v>
      </c>
      <c r="D103" s="1144">
        <f>1.4198/D101</f>
        <v>0.27730468749999998</v>
      </c>
      <c r="E103" s="1144">
        <f>1.3372/E101</f>
        <v>0.261171875</v>
      </c>
      <c r="F103" s="1144">
        <f>1.3372/F101</f>
        <v>0.261171875</v>
      </c>
      <c r="G103" s="1144">
        <f>1.3372/G101</f>
        <v>0.261171875</v>
      </c>
      <c r="H103" s="1144">
        <f>1.3372/H101</f>
        <v>0.261171875</v>
      </c>
      <c r="I103" s="1144">
        <f>1.3372/I101</f>
        <v>0.261171875</v>
      </c>
      <c r="J103" s="1144">
        <f>1.2799/J101</f>
        <v>0.24998046874999999</v>
      </c>
      <c r="K103" s="1144">
        <f>1.2799/K101</f>
        <v>0.24998046874999999</v>
      </c>
      <c r="L103" s="1144">
        <f>1.2799/L101</f>
        <v>0.24998046874999999</v>
      </c>
      <c r="M103" s="1144">
        <f>1.2799/M101</f>
        <v>0.24998046874999999</v>
      </c>
      <c r="N103" s="1144">
        <f>1.2799/N101</f>
        <v>0.24998046874999999</v>
      </c>
    </row>
    <row r="104" spans="1:14">
      <c r="A104" s="3453"/>
      <c r="B104" s="1143">
        <v>3</v>
      </c>
      <c r="C104" s="1144">
        <f>1.1594/C101</f>
        <v>0.2264453125</v>
      </c>
      <c r="D104" s="1144">
        <f>1.1594/D101</f>
        <v>0.2264453125</v>
      </c>
      <c r="E104" s="1144">
        <f>1.0788/E101</f>
        <v>0.21070312499999999</v>
      </c>
      <c r="F104" s="1144">
        <f>1.0788/F101</f>
        <v>0.21070312499999999</v>
      </c>
      <c r="G104" s="1144">
        <f>1.0788/G101</f>
        <v>0.21070312499999999</v>
      </c>
      <c r="H104" s="1144">
        <f>1.0788/H101</f>
        <v>0.21070312499999999</v>
      </c>
      <c r="I104" s="1144">
        <f>1.0788/I101</f>
        <v>0.21070312499999999</v>
      </c>
      <c r="J104" s="1144">
        <f>1.0072/J101</f>
        <v>0.19671875000000003</v>
      </c>
      <c r="K104" s="1144">
        <f>1.0072/K101</f>
        <v>0.19671875000000003</v>
      </c>
      <c r="L104" s="1144">
        <f>1.0072/L101</f>
        <v>0.19671875000000003</v>
      </c>
      <c r="M104" s="1144">
        <f>1.0072/M101</f>
        <v>0.19671875000000003</v>
      </c>
      <c r="N104" s="1144">
        <f>1.0072/N101</f>
        <v>0.19671875000000003</v>
      </c>
    </row>
    <row r="105" spans="1:14">
      <c r="A105" s="3453"/>
      <c r="B105" s="1143">
        <v>4</v>
      </c>
      <c r="C105" s="1144">
        <f>0.9622/C101</f>
        <v>0.1879296875</v>
      </c>
      <c r="D105" s="1144">
        <f>0.9622/D101</f>
        <v>0.1879296875</v>
      </c>
      <c r="E105" s="1144">
        <f>0.8656/E101</f>
        <v>0.1690625</v>
      </c>
      <c r="F105" s="1144">
        <f>0.8656/F101</f>
        <v>0.1690625</v>
      </c>
      <c r="G105" s="1144">
        <f>0.8656/G101</f>
        <v>0.1690625</v>
      </c>
      <c r="H105" s="1144">
        <f>0.8656/H101</f>
        <v>0.1690625</v>
      </c>
      <c r="I105" s="1144">
        <f>0.8656/I101</f>
        <v>0.1690625</v>
      </c>
      <c r="J105" s="1144">
        <f>0.7525/J101</f>
        <v>0.14697265625</v>
      </c>
      <c r="K105" s="1144">
        <f>0.7525/K101</f>
        <v>0.14697265625</v>
      </c>
      <c r="L105" s="1144">
        <f>0.7525/L101</f>
        <v>0.14697265625</v>
      </c>
      <c r="M105" s="1144">
        <f>0.7525/M101</f>
        <v>0.14697265625</v>
      </c>
      <c r="N105" s="1144">
        <f>0.7525/N101</f>
        <v>0.14697265625</v>
      </c>
    </row>
    <row r="106" spans="1:14">
      <c r="A106" s="3453"/>
      <c r="B106" s="1143">
        <v>5</v>
      </c>
      <c r="C106" s="1144">
        <f>0.8417/C101</f>
        <v>0.16439453125</v>
      </c>
      <c r="D106" s="1144">
        <f>0.8417/D101</f>
        <v>0.16439453125</v>
      </c>
      <c r="E106" s="1144">
        <f>0.7371/E101</f>
        <v>0.14396484374999999</v>
      </c>
      <c r="F106" s="1144">
        <f>0.7371/F101</f>
        <v>0.14396484374999999</v>
      </c>
      <c r="G106" s="1144">
        <f>0.7371/G101</f>
        <v>0.14396484374999999</v>
      </c>
      <c r="H106" s="1144">
        <f>0.7371/H101</f>
        <v>0.14396484374999999</v>
      </c>
      <c r="I106" s="1144">
        <f>0.7371/I101</f>
        <v>0.14396484374999999</v>
      </c>
      <c r="J106" s="1144">
        <f>0.5659/J101</f>
        <v>0.11052734374999999</v>
      </c>
      <c r="K106" s="1144">
        <f>0.5659/K101</f>
        <v>0.11052734374999999</v>
      </c>
      <c r="L106" s="1144">
        <f>0.5659/L101</f>
        <v>0.11052734374999999</v>
      </c>
      <c r="M106" s="1144">
        <f>0.5659/M101</f>
        <v>0.11052734374999999</v>
      </c>
      <c r="N106" s="1144">
        <f>0.5659/N101</f>
        <v>0.11052734374999999</v>
      </c>
    </row>
    <row r="107" spans="1:14">
      <c r="A107" s="3453"/>
      <c r="B107" s="1143">
        <v>6</v>
      </c>
      <c r="C107" s="1144">
        <f>0.7608/C101</f>
        <v>0.14859375</v>
      </c>
      <c r="D107" s="1144">
        <f>0.7608/D101</f>
        <v>0.14859375</v>
      </c>
      <c r="E107" s="1144">
        <f>0.6482/E101</f>
        <v>0.12660156249999999</v>
      </c>
      <c r="F107" s="1144">
        <f>0.6482/F101</f>
        <v>0.12660156249999999</v>
      </c>
      <c r="G107" s="1144">
        <f>0.6482/G101</f>
        <v>0.12660156249999999</v>
      </c>
      <c r="H107" s="1144">
        <f>0.6482/H101</f>
        <v>0.12660156249999999</v>
      </c>
      <c r="I107" s="1144">
        <f>0.6482/I101</f>
        <v>0.12660156249999999</v>
      </c>
      <c r="J107" s="1144">
        <f>0.4525/J101</f>
        <v>8.837890625E-2</v>
      </c>
      <c r="K107" s="1144">
        <f>0.4525/K101</f>
        <v>8.837890625E-2</v>
      </c>
      <c r="L107" s="1144">
        <f>0.4525/L101</f>
        <v>8.837890625E-2</v>
      </c>
      <c r="M107" s="1144">
        <f>0.4525/M101</f>
        <v>8.837890625E-2</v>
      </c>
      <c r="N107" s="1144">
        <f>0.4525/N101</f>
        <v>8.837890625E-2</v>
      </c>
    </row>
    <row r="108" spans="1:14">
      <c r="A108" s="3453"/>
      <c r="B108" s="3455"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4"/>
      <c r="B109" s="3456"/>
      <c r="C109" s="1146">
        <f>(-0.163*(C108^2)-0.59*C108+7617)*(10^(-4))/C101</f>
        <v>0.14847359374999999</v>
      </c>
      <c r="D109" s="1146">
        <f>(-0.163*(D108^2)-0.59*D108+7617)*(10^(-4))/D101</f>
        <v>0.14847359374999999</v>
      </c>
      <c r="E109" s="1146">
        <f>(-0.161*(E108^2)-7.509*E108+6533)*(10^(-4))/E101</f>
        <v>0.12622312499999999</v>
      </c>
      <c r="F109" s="1146">
        <f>(-0.161*(F108^2)-7.509*F108+6533)*(10^(-4))/F101</f>
        <v>0.12622312499999999</v>
      </c>
      <c r="G109" s="1146">
        <f>(-0.161*(G108^2)-7.509*G108+6533)*(10^(-4))/G101</f>
        <v>0.12622312499999999</v>
      </c>
      <c r="H109" s="1146">
        <f>(-0.161*(H108^2)-7.509*H108+6533)*(10^(-4))/H101</f>
        <v>0.12622312499999999</v>
      </c>
      <c r="I109" s="1146">
        <f>(-0.161*(I108^2)-7.509*I108+6533)*(10^(-4))/I101</f>
        <v>0.12622312499999999</v>
      </c>
      <c r="J109" s="1146">
        <f>(-0.214*(J108^2)-21.991*J108+4665)*(10^(-4))/J101</f>
        <v>8.74096875E-2</v>
      </c>
      <c r="K109" s="1146">
        <f>(-0.214*(K108^2)-21.991*K108+4665)*(10^(-4))/K101</f>
        <v>8.74096875E-2</v>
      </c>
      <c r="L109" s="1146">
        <f>(-0.214*(L108^2)-21.991*L108+4665)*(10^(-4))/L101</f>
        <v>8.74096875E-2</v>
      </c>
      <c r="M109" s="1146">
        <f>(-0.214*(M108^2)-21.991*M108+4665)*(10^(-4))/M101</f>
        <v>8.74096875E-2</v>
      </c>
      <c r="N109" s="1146">
        <f>(-0.214*(N108^2)-21.991*N108+4665)*(10^(-4))/N101</f>
        <v>8.74096875E-2</v>
      </c>
    </row>
    <row r="110" spans="1:14">
      <c r="A110" s="3457" t="s">
        <v>1640</v>
      </c>
      <c r="B110" s="3457"/>
      <c r="C110" s="3457"/>
      <c r="D110" s="3457"/>
      <c r="E110" s="3457"/>
      <c r="F110" s="3457"/>
      <c r="G110" s="3457"/>
      <c r="H110" s="3457"/>
      <c r="I110" s="3457"/>
      <c r="J110" s="3457"/>
      <c r="K110" s="2427"/>
      <c r="L110" s="2427"/>
      <c r="M110" s="2427"/>
      <c r="N110" s="2427"/>
    </row>
    <row r="112" spans="1:14" ht="12.75" thickBot="1"/>
    <row r="113" spans="1:13" ht="25.5" thickBot="1">
      <c r="A113" s="1016" t="s">
        <v>896</v>
      </c>
      <c r="B113" s="2430">
        <f>G3</f>
        <v>5.12</v>
      </c>
      <c r="C113" s="1017" t="s">
        <v>897</v>
      </c>
      <c r="D113" s="1018">
        <f>SUMPRODUCT((A115:A118=F113)*(B114:M114=H113)*B115:M118)</f>
        <v>0.77729999999999999</v>
      </c>
      <c r="E113" s="1019" t="s">
        <v>898</v>
      </c>
      <c r="F113" s="1020" t="str">
        <f>E2</f>
        <v>商业</v>
      </c>
      <c r="G113" s="1019" t="s">
        <v>899</v>
      </c>
      <c r="H113" s="1020" t="str">
        <f>G2</f>
        <v>四级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0.88539999999999996</v>
      </c>
      <c r="C115" s="1030">
        <f>B115</f>
        <v>0.88539999999999996</v>
      </c>
      <c r="D115" s="1030">
        <f>ROUND(0.8331-0.0109*B113,4)</f>
        <v>0.77729999999999999</v>
      </c>
      <c r="E115" s="1030">
        <f>D115</f>
        <v>0.77729999999999999</v>
      </c>
      <c r="F115" s="1030">
        <f>E115</f>
        <v>0.77729999999999999</v>
      </c>
      <c r="G115" s="1030">
        <f>F115</f>
        <v>0.77729999999999999</v>
      </c>
      <c r="H115" s="1030">
        <f>G115</f>
        <v>0.77729999999999999</v>
      </c>
      <c r="I115" s="1030">
        <f>ROUND(0.689-0.0155*B113,4)</f>
        <v>0.60960000000000003</v>
      </c>
      <c r="J115" s="1030">
        <f t="shared" ref="J115:M118" si="33">I115</f>
        <v>0.60960000000000003</v>
      </c>
      <c r="K115" s="1030">
        <f t="shared" si="33"/>
        <v>0.60960000000000003</v>
      </c>
      <c r="L115" s="1030">
        <f t="shared" si="33"/>
        <v>0.60960000000000003</v>
      </c>
      <c r="M115" s="1031">
        <f t="shared" si="33"/>
        <v>0.60960000000000003</v>
      </c>
    </row>
    <row r="116" spans="1:13" ht="12.75">
      <c r="A116" s="1029" t="s">
        <v>901</v>
      </c>
      <c r="B116" s="1030">
        <f>ROUND(0.949-0.012*B113,4)</f>
        <v>0.88759999999999994</v>
      </c>
      <c r="C116" s="1030">
        <f>B116</f>
        <v>0.88759999999999994</v>
      </c>
      <c r="D116" s="1030">
        <f>ROUND(0.8567-0.013*B113,4)</f>
        <v>0.79010000000000002</v>
      </c>
      <c r="E116" s="1030">
        <f t="shared" ref="E116:H117" si="34">D116</f>
        <v>0.79010000000000002</v>
      </c>
      <c r="F116" s="1030">
        <f t="shared" si="34"/>
        <v>0.79010000000000002</v>
      </c>
      <c r="G116" s="1030">
        <f t="shared" si="34"/>
        <v>0.79010000000000002</v>
      </c>
      <c r="H116" s="1030">
        <f t="shared" si="34"/>
        <v>0.79010000000000002</v>
      </c>
      <c r="I116" s="1030">
        <f>ROUND(0.7694-0.014*B113,4)</f>
        <v>0.69769999999999999</v>
      </c>
      <c r="J116" s="1030">
        <f t="shared" si="33"/>
        <v>0.69769999999999999</v>
      </c>
      <c r="K116" s="1030">
        <f t="shared" si="33"/>
        <v>0.69769999999999999</v>
      </c>
      <c r="L116" s="1030">
        <f t="shared" si="33"/>
        <v>0.69769999999999999</v>
      </c>
      <c r="M116" s="1031">
        <f t="shared" si="33"/>
        <v>0.69769999999999999</v>
      </c>
    </row>
    <row r="117" spans="1:13" ht="12.75">
      <c r="A117" s="1032" t="s">
        <v>902</v>
      </c>
      <c r="B117" s="1030">
        <f>ROUND(0.8808-0.006*B113,4)</f>
        <v>0.85009999999999997</v>
      </c>
      <c r="C117" s="1030">
        <f>B117</f>
        <v>0.85009999999999997</v>
      </c>
      <c r="D117" s="1030">
        <f>ROUND(0.8748-0.008*B113,4)</f>
        <v>0.83379999999999999</v>
      </c>
      <c r="E117" s="1030">
        <f t="shared" si="34"/>
        <v>0.83379999999999999</v>
      </c>
      <c r="F117" s="1030">
        <f t="shared" si="34"/>
        <v>0.83379999999999999</v>
      </c>
      <c r="G117" s="1030">
        <f t="shared" si="34"/>
        <v>0.83379999999999999</v>
      </c>
      <c r="H117" s="1030">
        <f t="shared" si="34"/>
        <v>0.83379999999999999</v>
      </c>
      <c r="I117" s="1030">
        <f>ROUND(0.7412-0.0095*B113,4)</f>
        <v>0.69259999999999999</v>
      </c>
      <c r="J117" s="1030">
        <f t="shared" si="33"/>
        <v>0.69259999999999999</v>
      </c>
      <c r="K117" s="1030">
        <f t="shared" si="33"/>
        <v>0.69259999999999999</v>
      </c>
      <c r="L117" s="1030">
        <f t="shared" si="33"/>
        <v>0.69259999999999999</v>
      </c>
      <c r="M117" s="1031">
        <f t="shared" si="33"/>
        <v>0.69259999999999999</v>
      </c>
    </row>
    <row r="118" spans="1:13" ht="13.5" thickBot="1">
      <c r="A118" s="1033" t="s">
        <v>903</v>
      </c>
      <c r="B118" s="1034">
        <f>ROUND(0.7275-0.01*B113,4)</f>
        <v>0.67630000000000001</v>
      </c>
      <c r="C118" s="1034">
        <f>B118</f>
        <v>0.67630000000000001</v>
      </c>
      <c r="D118" s="1034">
        <f>ROUND(0.7043-0.012*B113,4)</f>
        <v>0.64290000000000003</v>
      </c>
      <c r="E118" s="1034">
        <f>D118</f>
        <v>0.64290000000000003</v>
      </c>
      <c r="F118" s="1034">
        <f>E118</f>
        <v>0.64290000000000003</v>
      </c>
      <c r="G118" s="1034">
        <f>ROUND(0.6299-0.0122*B113,4)</f>
        <v>0.56740000000000002</v>
      </c>
      <c r="H118" s="1034">
        <f>G118</f>
        <v>0.56740000000000002</v>
      </c>
      <c r="I118" s="1034">
        <f>ROUND(0.5667-0.0136*B113,4)</f>
        <v>0.49709999999999999</v>
      </c>
      <c r="J118" s="1034">
        <f t="shared" si="33"/>
        <v>0.49709999999999999</v>
      </c>
      <c r="K118" s="1034">
        <f t="shared" si="33"/>
        <v>0.49709999999999999</v>
      </c>
      <c r="L118" s="1034">
        <f t="shared" si="33"/>
        <v>0.49709999999999999</v>
      </c>
      <c r="M118" s="1035">
        <f t="shared" si="33"/>
        <v>0.49709999999999999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45" priority="5" stopIfTrue="1" operator="notEqual">
      <formula>"——"</formula>
    </cfRule>
  </conditionalFormatting>
  <conditionalFormatting sqref="F58">
    <cfRule type="cellIs" dxfId="144" priority="4" stopIfTrue="1" operator="notEqual">
      <formula>"——"</formula>
    </cfRule>
  </conditionalFormatting>
  <conditionalFormatting sqref="F69">
    <cfRule type="cellIs" dxfId="143" priority="3" stopIfTrue="1" operator="notEqual">
      <formula>"——"</formula>
    </cfRule>
  </conditionalFormatting>
  <conditionalFormatting sqref="F80">
    <cfRule type="cellIs" dxfId="142" priority="2" stopIfTrue="1" operator="notEqual">
      <formula>"——"</formula>
    </cfRule>
  </conditionalFormatting>
  <conditionalFormatting sqref="H58:H66 H47:H55 H69:H77 H80:H87">
    <cfRule type="cellIs" dxfId="14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B1" zoomScaleNormal="100" workbookViewId="0">
      <selection activeCell="C39" sqref="C39"/>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3000</v>
      </c>
      <c r="D1" s="3101" t="s">
        <v>3119</v>
      </c>
      <c r="E1" s="2366" t="s">
        <v>2375</v>
      </c>
      <c r="F1" s="2367">
        <f ca="1">J53</f>
        <v>38</v>
      </c>
      <c r="G1" s="774">
        <f>MATCH(C1,'数据-取费表'!A6:A16,0)+5</f>
        <v>6</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343281</v>
      </c>
      <c r="C2" s="2057"/>
      <c r="D2" s="2055"/>
      <c r="E2" s="2056"/>
      <c r="F2" s="2056"/>
      <c r="G2" s="1590"/>
      <c r="H2" s="2057"/>
      <c r="I2" s="2057"/>
      <c r="J2" s="2057"/>
      <c r="K2" s="2058"/>
      <c r="L2" s="2057"/>
      <c r="M2" s="2057"/>
    </row>
    <row r="3" spans="1:33" ht="18" customHeight="1" thickBot="1">
      <c r="A3" s="833" t="s">
        <v>1728</v>
      </c>
      <c r="B3" s="834">
        <f ca="1">IF(ISERROR(B2*10000/F43),0,ROUND(B2*10000/F43,0))</f>
        <v>40171</v>
      </c>
      <c r="C3" s="2057"/>
      <c r="D3" s="2055"/>
      <c r="E3" s="2056"/>
      <c r="F3" s="2056"/>
      <c r="G3" s="1590"/>
      <c r="H3" s="776" t="s">
        <v>695</v>
      </c>
      <c r="I3" s="1362"/>
      <c r="J3" s="1362"/>
      <c r="K3" s="1591"/>
      <c r="L3" s="1362"/>
      <c r="M3" s="1362"/>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2459</v>
      </c>
      <c r="C5" s="55">
        <f ca="1">C6+C10+C12</f>
        <v>30558</v>
      </c>
      <c r="D5" s="2475" t="s">
        <v>2462</v>
      </c>
      <c r="E5" s="2469"/>
      <c r="F5" s="2470"/>
      <c r="G5" s="1592"/>
      <c r="H5" s="781">
        <v>1</v>
      </c>
      <c r="I5" s="782" t="s">
        <v>2459</v>
      </c>
      <c r="J5" s="55">
        <f ca="1">J6+J10+J12</f>
        <v>0</v>
      </c>
      <c r="K5" s="2475" t="s">
        <v>2462</v>
      </c>
      <c r="L5" s="2469"/>
      <c r="M5" s="2470"/>
    </row>
    <row r="6" spans="1:33" ht="18" customHeight="1">
      <c r="A6" s="1830" t="s">
        <v>1825</v>
      </c>
      <c r="B6" s="3469" t="s">
        <v>2464</v>
      </c>
      <c r="C6" s="783">
        <f ca="1">ROUND(F6*F8*F7*(1-F9)/10000,0)</f>
        <v>30520</v>
      </c>
      <c r="D6" s="2476" t="s">
        <v>2463</v>
      </c>
      <c r="E6" s="784" t="s">
        <v>1739</v>
      </c>
      <c r="F6" s="785">
        <f ca="1">INDIRECT("'数据-取费表'!u"&amp;$G$1)</f>
        <v>10.3</v>
      </c>
      <c r="G6" s="1592"/>
      <c r="H6" s="2483" t="s">
        <v>2469</v>
      </c>
      <c r="I6" s="3469" t="s">
        <v>2464</v>
      </c>
      <c r="J6" s="783">
        <f ca="1">ROUND(M6*M8*M7*(1-M9)/10000,0)</f>
        <v>0</v>
      </c>
      <c r="K6" s="341" t="s">
        <v>1738</v>
      </c>
      <c r="L6" s="784" t="s">
        <v>1739</v>
      </c>
      <c r="M6" s="785">
        <f ca="1">INDIRECT("'数据-取费表'!z"&amp;$G$1)</f>
        <v>0</v>
      </c>
    </row>
    <row r="7" spans="1:33" ht="18" customHeight="1">
      <c r="A7" s="2479"/>
      <c r="B7" s="3470"/>
      <c r="C7" s="788"/>
      <c r="D7" s="789"/>
      <c r="E7" s="784" t="s">
        <v>1740</v>
      </c>
      <c r="F7" s="785">
        <f ca="1">IF(INDIRECT("'数据-取费表'!ah"&amp;$G$1)="",INDIRECT("'数据-取费表'!k"&amp;$G$1),INDIRECT("'数据-取费表'!ah"&amp;$G$1))</f>
        <v>85455</v>
      </c>
      <c r="G7" s="1592"/>
      <c r="H7" s="2468"/>
      <c r="I7" s="3470"/>
      <c r="J7" s="788"/>
      <c r="K7" s="789"/>
      <c r="L7" s="784" t="s">
        <v>1740</v>
      </c>
      <c r="M7" s="785">
        <f ca="1">F7</f>
        <v>85455</v>
      </c>
    </row>
    <row r="8" spans="1:33" ht="18" customHeight="1">
      <c r="A8" s="2472"/>
      <c r="B8" s="3471"/>
      <c r="C8" s="788"/>
      <c r="D8" s="789"/>
      <c r="E8" s="784" t="s">
        <v>1741</v>
      </c>
      <c r="F8" s="785">
        <f ca="1">INDIRECT("'数据-取费表'!ai"&amp;$G$1)</f>
        <v>365</v>
      </c>
      <c r="G8" s="1592"/>
      <c r="H8" s="2468"/>
      <c r="I8" s="3471"/>
      <c r="J8" s="788"/>
      <c r="K8" s="789"/>
      <c r="L8" s="784" t="s">
        <v>1741</v>
      </c>
      <c r="M8" s="785">
        <f ca="1">INDIRECT("'数据-取费表'!ai"&amp;$G$1)</f>
        <v>365</v>
      </c>
    </row>
    <row r="9" spans="1:33" ht="18" customHeight="1">
      <c r="A9" s="786"/>
      <c r="B9" s="3472"/>
      <c r="C9" s="788"/>
      <c r="D9" s="789"/>
      <c r="E9" s="784" t="s">
        <v>1742</v>
      </c>
      <c r="F9" s="794">
        <f ca="1">INDIRECT("'数据-取费表'!w"&amp;$G$1)</f>
        <v>0.05</v>
      </c>
      <c r="G9" s="1592"/>
      <c r="H9" s="2484"/>
      <c r="I9" s="3471"/>
      <c r="J9" s="788"/>
      <c r="K9" s="789"/>
      <c r="L9" s="795" t="s">
        <v>1742</v>
      </c>
      <c r="M9" s="796">
        <f ca="1">INDIRECT("'数据-取费表'!ab"&amp;$G$1)</f>
        <v>0</v>
      </c>
    </row>
    <row r="10" spans="1:33" ht="18" customHeight="1">
      <c r="A10" s="1830" t="s">
        <v>2467</v>
      </c>
      <c r="B10" s="2473" t="s">
        <v>2460</v>
      </c>
      <c r="C10" s="799">
        <f ca="1">ROUND(IF(F10="押一",C6/12*F11,IF(F10="押二",C6/12*2*F11,IF(F10="押三",C6/12*3*F11,C11*F11))),0)</f>
        <v>38</v>
      </c>
      <c r="D10" s="2480" t="s">
        <v>2972</v>
      </c>
      <c r="E10" s="2477" t="s">
        <v>2465</v>
      </c>
      <c r="F10" s="2600" t="s">
        <v>3118</v>
      </c>
      <c r="G10" s="1592"/>
      <c r="H10" s="2540" t="s">
        <v>2470</v>
      </c>
      <c r="I10" s="2545" t="s">
        <v>2460</v>
      </c>
      <c r="J10" s="783">
        <f ca="1">ROUND(IF(M10="押一",J6/12*M11,IF(M10="押二",J6/12*2*M11,IF(M10="押三",J6/12*3*M11,J11*M11))),0)</f>
        <v>0</v>
      </c>
      <c r="K10" s="2480" t="s">
        <v>2972</v>
      </c>
      <c r="L10" s="2477" t="s">
        <v>2465</v>
      </c>
      <c r="M10" s="2600"/>
    </row>
    <row r="11" spans="1:33" ht="18" customHeight="1">
      <c r="A11" s="790"/>
      <c r="B11" s="2474" t="s">
        <v>2574</v>
      </c>
      <c r="C11" s="2478"/>
      <c r="D11" s="789"/>
      <c r="E11" s="2477" t="s">
        <v>2466</v>
      </c>
      <c r="F11" s="796">
        <f ca="1">'数据-取费表'!B39</f>
        <v>1.4999999999999999E-2</v>
      </c>
      <c r="G11" s="1592"/>
      <c r="H11" s="2541"/>
      <c r="I11" s="2474" t="s">
        <v>2574</v>
      </c>
      <c r="J11" s="2478"/>
      <c r="K11" s="2542"/>
      <c r="L11" s="2477" t="s">
        <v>2466</v>
      </c>
      <c r="M11" s="2471">
        <f ca="1">'数据-取费表'!B39</f>
        <v>1.4999999999999999E-2</v>
      </c>
    </row>
    <row r="12" spans="1:33" ht="18" customHeight="1" thickBot="1">
      <c r="A12" s="2516" t="s">
        <v>2468</v>
      </c>
      <c r="B12" s="2517" t="s">
        <v>2461</v>
      </c>
      <c r="C12" s="2518"/>
      <c r="D12" s="2519"/>
      <c r="E12" s="2520"/>
      <c r="F12" s="2521"/>
      <c r="G12" s="1592"/>
      <c r="H12" s="2530" t="s">
        <v>2471</v>
      </c>
      <c r="I12" s="2543" t="s">
        <v>2461</v>
      </c>
      <c r="J12" s="2544"/>
      <c r="K12" s="2519"/>
      <c r="L12" s="2520"/>
      <c r="M12" s="2533"/>
    </row>
    <row r="13" spans="1:33" ht="18" customHeight="1" thickTop="1">
      <c r="A13" s="1829">
        <v>2</v>
      </c>
      <c r="B13" s="1827" t="s">
        <v>1743</v>
      </c>
      <c r="C13" s="792">
        <f ca="1">ROUND(C29*F13,0)</f>
        <v>65619</v>
      </c>
      <c r="D13" s="1834" t="s">
        <v>2298</v>
      </c>
      <c r="E13" s="1834" t="s">
        <v>1745</v>
      </c>
      <c r="F13" s="2515">
        <f ca="1">INDIRECT("'数据-取费表'!y"&amp;$G$1)</f>
        <v>1</v>
      </c>
      <c r="G13" s="1592"/>
      <c r="H13" s="1829">
        <v>2</v>
      </c>
      <c r="I13" s="1827" t="s">
        <v>1743</v>
      </c>
      <c r="J13" s="1819">
        <f ca="1">ROUND(J14*J15,0)</f>
        <v>65619</v>
      </c>
      <c r="K13" s="1821" t="s">
        <v>1744</v>
      </c>
      <c r="L13" s="2531"/>
      <c r="M13" s="2532"/>
    </row>
    <row r="14" spans="1:33" ht="18" customHeight="1">
      <c r="A14" s="1648" t="s">
        <v>1885</v>
      </c>
      <c r="B14" s="784" t="s">
        <v>645</v>
      </c>
      <c r="C14" s="804">
        <f ca="1">INDIRECT("'数据-取费表'!m"&amp;$G$1)+INDIRECT("'数据-取费表'!t"&amp;$G$1)</f>
        <v>41018</v>
      </c>
      <c r="D14" s="1979" t="s">
        <v>1746</v>
      </c>
      <c r="E14" s="1980"/>
      <c r="F14" s="805"/>
      <c r="G14" s="1592"/>
      <c r="H14" s="1649" t="s">
        <v>1831</v>
      </c>
      <c r="I14" s="2231" t="s">
        <v>2826</v>
      </c>
      <c r="J14" s="53">
        <f ca="1">C29</f>
        <v>65619</v>
      </c>
      <c r="K14" s="26"/>
      <c r="L14" s="801"/>
      <c r="M14" s="802"/>
    </row>
    <row r="15" spans="1:33" s="2064" customFormat="1" ht="18" customHeight="1" thickBot="1">
      <c r="A15" s="1648" t="s">
        <v>1886</v>
      </c>
      <c r="B15" s="784" t="s">
        <v>647</v>
      </c>
      <c r="C15" s="53">
        <f ca="1">ROUND(C14*F15,0)</f>
        <v>1231</v>
      </c>
      <c r="D15" s="806" t="s">
        <v>1747</v>
      </c>
      <c r="E15" s="806" t="s">
        <v>1748</v>
      </c>
      <c r="F15" s="807">
        <f>'数据-取费表'!B33</f>
        <v>0.03</v>
      </c>
      <c r="G15" s="1593"/>
      <c r="H15" s="2530" t="s">
        <v>1890</v>
      </c>
      <c r="I15" s="2525" t="s">
        <v>1745</v>
      </c>
      <c r="J15" s="2534">
        <f ca="1">INDIRECT("'数据-取费表'!ad"&amp;$G$1)</f>
        <v>1</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29" t="s">
        <v>1749</v>
      </c>
      <c r="I16" s="1827" t="s">
        <v>1750</v>
      </c>
      <c r="J16" s="792">
        <f ca="1">ROUND(J17+J22+J23+J24,0)</f>
        <v>7041</v>
      </c>
      <c r="K16" s="1821" t="s">
        <v>1751</v>
      </c>
      <c r="L16" s="2465"/>
      <c r="M16" s="2470"/>
    </row>
    <row r="17" spans="1:33" s="2064" customFormat="1" ht="18" customHeight="1">
      <c r="A17" s="1648" t="s">
        <v>1888</v>
      </c>
      <c r="B17" s="784" t="s">
        <v>653</v>
      </c>
      <c r="C17" s="53">
        <f ca="1">ROUND(F17*(F43+INDIRECT("'数据-取费表'!S"&amp;$G$1))/10000,0)</f>
        <v>1709</v>
      </c>
      <c r="D17" s="784" t="s">
        <v>1752</v>
      </c>
      <c r="E17" s="784" t="s">
        <v>1753</v>
      </c>
      <c r="F17" s="56">
        <f>'数据-取费表'!B35</f>
        <v>200</v>
      </c>
      <c r="G17" s="1593"/>
      <c r="H17" s="1649" t="s">
        <v>1831</v>
      </c>
      <c r="I17" s="784" t="s">
        <v>656</v>
      </c>
      <c r="J17" s="53">
        <f ca="1">ROUND(IF(项目基本情况!B11="自然人",J5*M17,J18+J19+J20),0)</f>
        <v>5532</v>
      </c>
      <c r="K17" s="2464" t="s">
        <v>1754</v>
      </c>
      <c r="L17" s="2463" t="s">
        <v>1755</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4" t="s">
        <v>659</v>
      </c>
      <c r="C18" s="53">
        <f ca="1">ROUND(C14*F18,0)</f>
        <v>615</v>
      </c>
      <c r="D18" s="784" t="s">
        <v>1747</v>
      </c>
      <c r="E18" s="784" t="s">
        <v>1748</v>
      </c>
      <c r="F18" s="809">
        <f>'数据-取费表'!B36</f>
        <v>1.4999999999999999E-2</v>
      </c>
      <c r="G18" s="1593"/>
      <c r="H18" s="1648" t="s">
        <v>1885</v>
      </c>
      <c r="I18" s="784" t="s">
        <v>1756</v>
      </c>
      <c r="J18" s="53">
        <f ca="1">ROUND(J5*M18/1.05,1)</f>
        <v>0</v>
      </c>
      <c r="K18" s="2463" t="s">
        <v>1757</v>
      </c>
      <c r="L18" s="784" t="s">
        <v>1748</v>
      </c>
      <c r="M18" s="809">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1831</v>
      </c>
      <c r="B19" s="784" t="s">
        <v>662</v>
      </c>
      <c r="C19" s="53">
        <f ca="1">SUM(C14:C18)</f>
        <v>44573</v>
      </c>
      <c r="D19" s="261" t="s">
        <v>1758</v>
      </c>
      <c r="E19" s="1982"/>
      <c r="F19" s="56"/>
      <c r="G19" s="1592"/>
      <c r="H19" s="1648" t="s">
        <v>1886</v>
      </c>
      <c r="I19" s="784" t="s">
        <v>1759</v>
      </c>
      <c r="J19" s="53">
        <f ca="1">IF(K19="按租金收入计税",ROUND(J5*M19,1),ROUND(C29*F33*0.7,1))</f>
        <v>5512</v>
      </c>
      <c r="K19" s="811" t="s">
        <v>665</v>
      </c>
      <c r="L19" s="784" t="s">
        <v>1748</v>
      </c>
      <c r="M19" s="809">
        <f>IF(K19="按租金收入计税",'数据-取费表'!B51,'数据-取费表'!B50)</f>
        <v>1.2E-2</v>
      </c>
    </row>
    <row r="20" spans="1:33" s="2064" customFormat="1" ht="18" customHeight="1">
      <c r="A20" s="1649" t="s">
        <v>1890</v>
      </c>
      <c r="B20" s="784" t="s">
        <v>666</v>
      </c>
      <c r="C20" s="53">
        <f ca="1">ROUND(C19*F20,0)</f>
        <v>1337</v>
      </c>
      <c r="D20" s="812" t="s">
        <v>1760</v>
      </c>
      <c r="E20" s="784" t="s">
        <v>1748</v>
      </c>
      <c r="F20" s="809">
        <f>'数据-取费表'!B37</f>
        <v>0.03</v>
      </c>
      <c r="G20" s="1593"/>
      <c r="H20" s="1651" t="s">
        <v>1881</v>
      </c>
      <c r="I20" s="341" t="s">
        <v>1761</v>
      </c>
      <c r="J20" s="54">
        <f ca="1">ROUND(M20*M21/10000,0)</f>
        <v>20</v>
      </c>
      <c r="K20" s="814" t="s">
        <v>1762</v>
      </c>
      <c r="L20" s="784" t="s">
        <v>1763</v>
      </c>
      <c r="M20" s="640">
        <f>'数据-取费表'!B52</f>
        <v>12</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4" t="s">
        <v>1764</v>
      </c>
      <c r="C21" s="53" t="s">
        <v>1765</v>
      </c>
      <c r="D21" s="812" t="s">
        <v>2299</v>
      </c>
      <c r="E21" s="784" t="s">
        <v>1766</v>
      </c>
      <c r="F21" s="809">
        <f>'数据-取费表'!B38</f>
        <v>0.03</v>
      </c>
      <c r="G21" s="1593"/>
      <c r="H21" s="2485"/>
      <c r="I21" s="793"/>
      <c r="J21" s="69"/>
      <c r="K21" s="816"/>
      <c r="L21" s="784" t="s">
        <v>1767</v>
      </c>
      <c r="M21" s="785">
        <f ca="1">INDIRECT("'数据-取费表'!r"&amp;$G$1)</f>
        <v>16706.650000000001</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4" t="s">
        <v>1768</v>
      </c>
      <c r="C22" s="53"/>
      <c r="D22" s="2551" t="str">
        <f>IF(F23&lt;=1,"单利计息。","复利计息。")&amp;"建造成本、管理费用、销售费用产生的利息。"</f>
        <v>复利计息。建造成本、管理费用、销售费用产生的利息。</v>
      </c>
      <c r="E22" s="1982"/>
      <c r="F22" s="56"/>
      <c r="G22" s="1592"/>
      <c r="H22" s="1649" t="s">
        <v>1890</v>
      </c>
      <c r="I22" s="784" t="s">
        <v>1769</v>
      </c>
      <c r="J22" s="53">
        <f ca="1">ROUND(J14*M22,0)</f>
        <v>1312</v>
      </c>
      <c r="K22" s="2463" t="s">
        <v>1770</v>
      </c>
      <c r="L22" s="784" t="s">
        <v>1748</v>
      </c>
      <c r="M22" s="817">
        <f ca="1">INDIRECT("'数据-取费表'!Ak"&amp;$G$1)</f>
        <v>0.02</v>
      </c>
    </row>
    <row r="23" spans="1:33" s="2064" customFormat="1" ht="18" customHeight="1">
      <c r="A23" s="1648" t="s">
        <v>1832</v>
      </c>
      <c r="B23" s="784" t="s">
        <v>2536</v>
      </c>
      <c r="C23" s="53">
        <f ca="1">ROUND(IF('数据-取费表'!B22&lt;=1,(C19+C20)*F24*F23/2,(C19+C20)*(POWER((1+F24),F23/2)-1)),0)</f>
        <v>2181</v>
      </c>
      <c r="D23" s="2550"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197</v>
      </c>
      <c r="K23" s="2463" t="s">
        <v>1772</v>
      </c>
      <c r="L23" s="784" t="s">
        <v>1748</v>
      </c>
      <c r="M23" s="818">
        <f ca="1">INDIRECT("'数据-取费表'!Al"&amp;$G$1)</f>
        <v>3.0000000000000001E-3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4" t="s">
        <v>1773</v>
      </c>
      <c r="C24" s="53">
        <f ca="1">ROUND(IF('数据-取费表'!B22&lt;=1,F21*F24*F23/2,F21*(POWER((1+F24),F23/2)-1)),4)</f>
        <v>1.4E-3</v>
      </c>
      <c r="D24" s="2550" t="str">
        <f>IF(F23&lt;=1,"销售费用×利率×(建设周期÷2)","销售费用×((1+利率)^(建设周期÷2)-1)")</f>
        <v>销售费用×((1+利率)^(建设周期÷2)-1)</v>
      </c>
      <c r="E24" s="784" t="s">
        <v>1774</v>
      </c>
      <c r="F24" s="819">
        <f ca="1">'数据-取费表'!B40</f>
        <v>4.7500000000000001E-2</v>
      </c>
      <c r="G24" s="1593"/>
      <c r="H24" s="2530" t="s">
        <v>1892</v>
      </c>
      <c r="I24" s="2525" t="s">
        <v>666</v>
      </c>
      <c r="J24" s="2523">
        <f ca="1">ROUND(J5*M24,0)</f>
        <v>0</v>
      </c>
      <c r="K24" s="2524" t="s">
        <v>1775</v>
      </c>
      <c r="L24" s="2525" t="s">
        <v>1748</v>
      </c>
      <c r="M24" s="2521">
        <f ca="1">INDIRECT("'数据-取费表'!Am"&amp;$G$1)</f>
        <v>0.03</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4" t="s">
        <v>684</v>
      </c>
      <c r="C25" s="53"/>
      <c r="D25" s="261" t="s">
        <v>1776</v>
      </c>
      <c r="E25" s="1982"/>
      <c r="F25" s="56"/>
      <c r="G25" s="1592"/>
      <c r="H25" s="1829" t="s">
        <v>1777</v>
      </c>
      <c r="I25" s="2986" t="s">
        <v>2822</v>
      </c>
      <c r="J25" s="792">
        <f ca="1">J5-J16</f>
        <v>-7041</v>
      </c>
      <c r="K25" s="2527" t="s">
        <v>1778</v>
      </c>
      <c r="L25" s="2528"/>
      <c r="M25" s="2529"/>
    </row>
    <row r="26" spans="1:33" ht="18" customHeight="1">
      <c r="A26" s="1648" t="s">
        <v>1832</v>
      </c>
      <c r="B26" s="784" t="s">
        <v>2439</v>
      </c>
      <c r="C26" s="53">
        <f ca="1">ROUND((C19+C20)*F26,0)</f>
        <v>11478</v>
      </c>
      <c r="D26" s="812" t="s">
        <v>1779</v>
      </c>
      <c r="E26" s="795" t="s">
        <v>1780</v>
      </c>
      <c r="F26" s="794">
        <f ca="1">INDIRECT("'数据-取费表'!q"&amp;$G$1)</f>
        <v>0.25</v>
      </c>
      <c r="G26" s="1592"/>
      <c r="H26" s="2481" t="s">
        <v>1781</v>
      </c>
      <c r="I26" s="2232" t="s">
        <v>2827</v>
      </c>
      <c r="J26" s="783">
        <f ca="1">IF(J5&lt;&gt;0,ROUND(J25*(1-((1+M28)/(1+M26))^M27)/(M26-M28),0),0)</f>
        <v>0</v>
      </c>
      <c r="K26" s="814" t="s">
        <v>1782</v>
      </c>
      <c r="L26" s="784" t="s">
        <v>2420</v>
      </c>
      <c r="M26" s="794">
        <f ca="1">INDIRECT("'数据-取费表'!I"&amp;$G$1)</f>
        <v>0.06</v>
      </c>
    </row>
    <row r="27" spans="1:33" ht="18" customHeight="1">
      <c r="A27" s="1648" t="s">
        <v>1833</v>
      </c>
      <c r="B27" s="784" t="s">
        <v>686</v>
      </c>
      <c r="C27" s="53">
        <f ca="1">ROUND(F21*F26,4)</f>
        <v>7.4999999999999997E-3</v>
      </c>
      <c r="D27" s="812" t="s">
        <v>1783</v>
      </c>
      <c r="E27" s="806"/>
      <c r="F27" s="807"/>
      <c r="G27" s="1592"/>
      <c r="H27" s="2482"/>
      <c r="I27" s="787"/>
      <c r="J27" s="788"/>
      <c r="K27" s="821" t="s">
        <v>1784</v>
      </c>
      <c r="L27" s="784" t="s">
        <v>1785</v>
      </c>
      <c r="M27" s="822">
        <f ca="1">INDIRECT("'数据-取费表'!ag"&amp;$G$1)</f>
        <v>-2</v>
      </c>
    </row>
    <row r="28" spans="1:33" s="2064" customFormat="1" ht="18" customHeight="1">
      <c r="A28" s="1650" t="s">
        <v>1842</v>
      </c>
      <c r="B28" s="784" t="s">
        <v>687</v>
      </c>
      <c r="C28" s="53">
        <f>ROUND(F28/(1+'数据-取费表'!C42),4)</f>
        <v>5.33E-2</v>
      </c>
      <c r="D28" s="812" t="s">
        <v>2300</v>
      </c>
      <c r="E28" s="784" t="s">
        <v>1786</v>
      </c>
      <c r="F28" s="809">
        <f>'数据-取费表'!B41</f>
        <v>5.6000000000000001E-2</v>
      </c>
      <c r="G28" s="1593"/>
      <c r="H28" s="1829"/>
      <c r="I28" s="791"/>
      <c r="J28" s="792"/>
      <c r="K28" s="816"/>
      <c r="L28" s="784" t="s">
        <v>1787</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1893</v>
      </c>
      <c r="B29" s="2520" t="s">
        <v>2301</v>
      </c>
      <c r="C29" s="2523">
        <f ca="1">ROUND((C19+C20+C23+C26)/(1-F21-C24-C27-C28),0)</f>
        <v>65619</v>
      </c>
      <c r="D29" s="2524"/>
      <c r="E29" s="2525"/>
      <c r="F29" s="2526"/>
      <c r="G29" s="1593"/>
      <c r="H29" s="823" t="s">
        <v>1788</v>
      </c>
      <c r="I29" s="824" t="s">
        <v>1789</v>
      </c>
      <c r="J29" s="825">
        <f ca="1">ROUND(J26/(1+F40)^F41,0)</f>
        <v>0</v>
      </c>
      <c r="K29" s="826" t="s">
        <v>1790</v>
      </c>
      <c r="L29" s="827"/>
      <c r="M29" s="828">
        <f ca="1">INDIRECT("'数据-取费表'!k"&amp;$G$1)</f>
        <v>85455</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7743</v>
      </c>
      <c r="D30" s="1821" t="s">
        <v>1792</v>
      </c>
      <c r="E30" s="2465"/>
      <c r="F30" s="2470"/>
      <c r="G30" s="2062"/>
      <c r="H30" s="2065"/>
      <c r="I30" s="2066"/>
      <c r="J30" s="2067"/>
      <c r="K30" s="2068"/>
      <c r="L30" s="2069"/>
      <c r="M30" s="2070"/>
    </row>
    <row r="31" spans="1:33" ht="18" customHeight="1">
      <c r="A31" s="1649" t="s">
        <v>1831</v>
      </c>
      <c r="B31" s="784" t="s">
        <v>656</v>
      </c>
      <c r="C31" s="53">
        <f ca="1">ROUND(IF(项目基本情况!B11="自然人",C5*F31,C32+C33+C34),1)</f>
        <v>5316.8</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1832</v>
      </c>
      <c r="B32" s="784" t="s">
        <v>1795</v>
      </c>
      <c r="C32" s="53">
        <f ca="1">ROUND(C5*F32/1.05,1)</f>
        <v>1629.8</v>
      </c>
      <c r="D32" s="1977" t="s">
        <v>1796</v>
      </c>
      <c r="E32" s="784" t="s">
        <v>1797</v>
      </c>
      <c r="F32" s="809">
        <f>'数据-取费表'!B41</f>
        <v>5.6000000000000001E-2</v>
      </c>
      <c r="G32" s="2062"/>
      <c r="H32" s="2071"/>
      <c r="I32" s="2072"/>
      <c r="J32" s="2073"/>
      <c r="K32" s="2074"/>
      <c r="L32" s="2075"/>
      <c r="M32" s="2076"/>
    </row>
    <row r="33" spans="1:18" ht="18" customHeight="1">
      <c r="A33" s="1648" t="s">
        <v>1833</v>
      </c>
      <c r="B33" s="784" t="s">
        <v>1798</v>
      </c>
      <c r="C33" s="53">
        <f ca="1">IF(D33="按租金收入计税",ROUND(C5*F33,1),IF(D33="按房产原值计税",ROUND(C29*F33*0.7,1),INDIRECT("'数据-取费表'!Aj"&amp;$G$1)))</f>
        <v>3667</v>
      </c>
      <c r="D33" s="811" t="s">
        <v>3121</v>
      </c>
      <c r="E33" s="784" t="s">
        <v>1797</v>
      </c>
      <c r="F33" s="809">
        <f>IF(D33="按租金收入计税",'数据-取费表'!B51,'数据-取费表'!B50)</f>
        <v>0.12</v>
      </c>
      <c r="G33" s="2062"/>
      <c r="H33" s="2077"/>
      <c r="I33" s="2077"/>
      <c r="J33" s="2077"/>
      <c r="K33" s="2078"/>
      <c r="L33" s="2077"/>
      <c r="M33" s="2077"/>
    </row>
    <row r="34" spans="1:18" ht="18" customHeight="1">
      <c r="A34" s="1651" t="s">
        <v>1834</v>
      </c>
      <c r="B34" s="341" t="s">
        <v>1799</v>
      </c>
      <c r="C34" s="54">
        <f ca="1">ROUND(F34*F35/10000,1)</f>
        <v>20</v>
      </c>
      <c r="D34" s="814" t="s">
        <v>1800</v>
      </c>
      <c r="E34" s="784" t="s">
        <v>1801</v>
      </c>
      <c r="F34" s="640">
        <f>'数据-取费表'!B52</f>
        <v>12</v>
      </c>
      <c r="G34" s="2062"/>
      <c r="H34" s="2065"/>
      <c r="I34" s="835" t="s">
        <v>1814</v>
      </c>
      <c r="J34" s="836"/>
      <c r="K34" s="2080"/>
      <c r="L34" s="2079"/>
      <c r="M34" s="2079"/>
    </row>
    <row r="35" spans="1:18" ht="18" customHeight="1">
      <c r="A35" s="815"/>
      <c r="B35" s="793"/>
      <c r="C35" s="69"/>
      <c r="D35" s="816"/>
      <c r="E35" s="784" t="s">
        <v>1802</v>
      </c>
      <c r="F35" s="785">
        <f ca="1">INDIRECT("'数据-取费表'!r"&amp;$G$1)</f>
        <v>16706.650000000001</v>
      </c>
      <c r="G35" s="2062"/>
      <c r="H35" s="2065"/>
      <c r="I35" s="837" t="s">
        <v>1815</v>
      </c>
      <c r="J35" s="838">
        <f ca="1">ROUND(C13*J36,0)</f>
        <v>5250</v>
      </c>
      <c r="K35" s="2078"/>
      <c r="L35" s="2077"/>
      <c r="M35" s="2077"/>
    </row>
    <row r="36" spans="1:18" ht="18" customHeight="1">
      <c r="A36" s="1649" t="s">
        <v>1890</v>
      </c>
      <c r="B36" s="784" t="s">
        <v>1803</v>
      </c>
      <c r="C36" s="53">
        <f ca="1">ROUND(C29*F36,1)</f>
        <v>1312.4</v>
      </c>
      <c r="D36" s="1977" t="s">
        <v>1804</v>
      </c>
      <c r="E36" s="784" t="s">
        <v>1797</v>
      </c>
      <c r="F36" s="817">
        <f ca="1">INDIRECT("'数据-取费表'!Ak"&amp;$G$1)</f>
        <v>0.02</v>
      </c>
      <c r="G36" s="2062"/>
      <c r="H36" s="2077"/>
      <c r="I36" s="839" t="s">
        <v>1816</v>
      </c>
      <c r="J36" s="840">
        <f ca="1">INDIRECT("'数据-取费表'!j"&amp;$G$1)</f>
        <v>0.08</v>
      </c>
      <c r="K36" s="2082"/>
      <c r="L36" s="2077"/>
      <c r="M36" s="2077"/>
    </row>
    <row r="37" spans="1:18" ht="18" customHeight="1">
      <c r="A37" s="1649" t="s">
        <v>1891</v>
      </c>
      <c r="B37" s="784" t="s">
        <v>679</v>
      </c>
      <c r="C37" s="53">
        <f ca="1">ROUND(C13*F37,1)</f>
        <v>196.9</v>
      </c>
      <c r="D37" s="1977" t="s">
        <v>1805</v>
      </c>
      <c r="E37" s="784" t="s">
        <v>1797</v>
      </c>
      <c r="F37" s="818">
        <f ca="1">INDIRECT("'数据-取费表'!Al"&amp;$G$1)</f>
        <v>3.0000000000000001E-3</v>
      </c>
      <c r="G37" s="2062"/>
      <c r="H37" s="2077"/>
      <c r="I37" s="841" t="s">
        <v>1817</v>
      </c>
      <c r="J37" s="842"/>
      <c r="K37" s="2082"/>
      <c r="L37" s="2077"/>
      <c r="M37" s="2077"/>
    </row>
    <row r="38" spans="1:18" ht="18" customHeight="1" thickBot="1">
      <c r="A38" s="2530" t="s">
        <v>1892</v>
      </c>
      <c r="B38" s="2525" t="s">
        <v>666</v>
      </c>
      <c r="C38" s="2523">
        <f ca="1">ROUND(C5*F38,1)</f>
        <v>916.7</v>
      </c>
      <c r="D38" s="2524" t="s">
        <v>1806</v>
      </c>
      <c r="E38" s="2525" t="s">
        <v>1797</v>
      </c>
      <c r="F38" s="2521">
        <f ca="1">INDIRECT("'数据-取费表'!Am"&amp;$G$1)</f>
        <v>0.03</v>
      </c>
      <c r="G38" s="2062"/>
      <c r="H38" s="2077"/>
      <c r="I38" s="843" t="s">
        <v>1818</v>
      </c>
      <c r="J38" s="844"/>
      <c r="K38" s="2083"/>
      <c r="L38" s="2077"/>
      <c r="M38" s="2077"/>
    </row>
    <row r="39" spans="1:18" ht="24.6" customHeight="1" thickTop="1">
      <c r="A39" s="1829" t="s">
        <v>1895</v>
      </c>
      <c r="B39" s="2986" t="s">
        <v>2822</v>
      </c>
      <c r="C39" s="792">
        <f ca="1">C5-C30</f>
        <v>22815</v>
      </c>
      <c r="D39" s="2527" t="s">
        <v>1807</v>
      </c>
      <c r="E39" s="2528"/>
      <c r="F39" s="2529"/>
      <c r="G39" s="2062"/>
      <c r="H39" s="2077"/>
      <c r="I39" s="837" t="s">
        <v>1819</v>
      </c>
      <c r="J39" s="845">
        <f ca="1">ROUND(J35/C39,3)</f>
        <v>0.23</v>
      </c>
      <c r="K39" s="2083"/>
      <c r="L39" s="2077"/>
      <c r="M39" s="2077"/>
    </row>
    <row r="40" spans="1:18" ht="18" customHeight="1">
      <c r="A40" s="781" t="s">
        <v>1896</v>
      </c>
      <c r="B40" s="2232" t="s">
        <v>2302</v>
      </c>
      <c r="C40" s="783">
        <f ca="1">ROUND(C39*(1-((1+F42)/(1+F40))^F41)/(F40-F42),0)</f>
        <v>343281</v>
      </c>
      <c r="D40" s="814" t="s">
        <v>1808</v>
      </c>
      <c r="E40" s="784" t="s">
        <v>2420</v>
      </c>
      <c r="F40" s="794">
        <f ca="1">INDIRECT("'数据-取费表'!I"&amp;$G$1)</f>
        <v>0.06</v>
      </c>
      <c r="G40" s="2062"/>
      <c r="H40" s="2062"/>
      <c r="I40" s="837" t="s">
        <v>1820</v>
      </c>
      <c r="J40" s="845">
        <f ca="1">1-J39</f>
        <v>0.77</v>
      </c>
      <c r="K40" s="2083"/>
      <c r="L40" s="2062"/>
      <c r="M40" s="2062"/>
    </row>
    <row r="41" spans="1:18" ht="18" customHeight="1">
      <c r="A41" s="786"/>
      <c r="B41" s="787"/>
      <c r="C41" s="788"/>
      <c r="D41" s="821" t="s">
        <v>1809</v>
      </c>
      <c r="E41" s="784" t="s">
        <v>2962</v>
      </c>
      <c r="F41" s="822">
        <f ca="1">IF(INDIRECT("'数据-取费表'!af"&amp;$G$1)=0,INDIRECT("'数据-取费表'!ae"&amp;$G$1),INDIRECT("'数据-取费表'!af"&amp;$G$1))</f>
        <v>40</v>
      </c>
      <c r="G41" s="2062"/>
      <c r="H41" s="1988"/>
      <c r="I41" s="843" t="s">
        <v>1821</v>
      </c>
      <c r="J41" s="846"/>
      <c r="K41" s="2082"/>
      <c r="L41" s="1988"/>
      <c r="M41" s="1988"/>
    </row>
    <row r="42" spans="1:18" ht="18" customHeight="1">
      <c r="A42" s="790"/>
      <c r="B42" s="791"/>
      <c r="C42" s="792"/>
      <c r="D42" s="816"/>
      <c r="E42" s="784" t="s">
        <v>1810</v>
      </c>
      <c r="F42" s="794">
        <f ca="1">INDIRECT("'数据-取费表'!v"&amp;$G$1)</f>
        <v>0</v>
      </c>
      <c r="G42" s="2062"/>
      <c r="H42" s="1988"/>
      <c r="I42" s="847" t="s">
        <v>1822</v>
      </c>
      <c r="J42" s="845">
        <f ca="1">ROUND(C13/C40,3)</f>
        <v>0.191</v>
      </c>
      <c r="K42" s="2082"/>
      <c r="L42" s="1988"/>
      <c r="M42" s="1988"/>
    </row>
    <row r="43" spans="1:18" ht="18" customHeight="1" thickBot="1">
      <c r="A43" s="823" t="s">
        <v>1788</v>
      </c>
      <c r="B43" s="824" t="s">
        <v>1811</v>
      </c>
      <c r="C43" s="825">
        <f ca="1">ROUND(C40*10000/F43,0)</f>
        <v>40171</v>
      </c>
      <c r="D43" s="826" t="s">
        <v>1812</v>
      </c>
      <c r="E43" s="827" t="s">
        <v>1813</v>
      </c>
      <c r="F43" s="828">
        <f ca="1">INDIRECT("'数据-取费表'!k"&amp;$G$1)</f>
        <v>85455</v>
      </c>
      <c r="G43" s="2062"/>
      <c r="H43" s="1988"/>
      <c r="I43" s="847" t="s">
        <v>1823</v>
      </c>
      <c r="J43" s="848">
        <f ca="1">1-J42</f>
        <v>0.80899999999999994</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53">
        <f ca="1">C67-C40</f>
        <v>-366287</v>
      </c>
      <c r="D46" s="2085"/>
      <c r="E46" s="2085"/>
      <c r="F46" s="2085"/>
      <c r="I46" s="2357" t="s">
        <v>2344</v>
      </c>
      <c r="J46" s="2358"/>
      <c r="K46" s="2359"/>
      <c r="L46" s="3136">
        <f>IF(OR(M47="住宅",D1="土地（套用方法）"),0,IF(L48&gt;J51,L60,J60))</f>
        <v>0</v>
      </c>
      <c r="O46" s="2373" t="s">
        <v>2411</v>
      </c>
      <c r="P46" s="1592"/>
      <c r="Q46" s="1604"/>
      <c r="R46" s="1592"/>
    </row>
    <row r="47" spans="1:18" s="2059" customFormat="1" ht="18" customHeight="1" thickBot="1">
      <c r="A47" s="2351">
        <v>1</v>
      </c>
      <c r="B47" s="2352" t="s">
        <v>635</v>
      </c>
      <c r="C47" s="2553">
        <f ca="1">C48+C52+C54</f>
        <v>0</v>
      </c>
      <c r="D47" s="2085"/>
      <c r="E47" s="2085"/>
      <c r="F47" s="2085"/>
      <c r="I47" s="3126" t="s">
        <v>2345</v>
      </c>
      <c r="J47" s="2360" t="s">
        <v>3024</v>
      </c>
      <c r="K47" s="3133" t="s">
        <v>2350</v>
      </c>
      <c r="L47" s="3137">
        <f ca="1">INDIRECT("'数据-取费表'!d"&amp;$G$1)</f>
        <v>40</v>
      </c>
      <c r="M47" s="1604" t="str">
        <f>IF(ISNUMBER(FIND("住宅",C1)),"住宅","非住宅")</f>
        <v>非住宅</v>
      </c>
      <c r="O47" s="2374" t="s">
        <v>2376</v>
      </c>
      <c r="P47" s="2375" t="s">
        <v>2377</v>
      </c>
      <c r="Q47" s="2376" t="s">
        <v>2378</v>
      </c>
      <c r="R47" s="2375" t="s">
        <v>2379</v>
      </c>
    </row>
    <row r="48" spans="1:18" s="2059" customFormat="1" ht="18" customHeight="1" thickBot="1">
      <c r="A48" s="2621" t="s">
        <v>2538</v>
      </c>
      <c r="B48" s="2622" t="s">
        <v>2539</v>
      </c>
      <c r="C48" s="2353">
        <f ca="1">ROUND(F48*F50*F49*(1-F51)/10000,0)</f>
        <v>0</v>
      </c>
      <c r="D48" s="2354" t="s">
        <v>636</v>
      </c>
      <c r="E48" s="2355" t="s">
        <v>2297</v>
      </c>
      <c r="F48" s="2356"/>
      <c r="G48" s="2090"/>
      <c r="I48" s="3102" t="s">
        <v>2346</v>
      </c>
      <c r="J48" s="2361" t="s">
        <v>2351</v>
      </c>
      <c r="K48" s="3134" t="s">
        <v>2352</v>
      </c>
      <c r="L48" s="1908">
        <f ca="1">INDIRECT("'数据-取费表'!f"&amp;$G$1)</f>
        <v>40</v>
      </c>
      <c r="O48" s="2377" t="s">
        <v>2380</v>
      </c>
      <c r="P48" s="2378" t="s">
        <v>2406</v>
      </c>
      <c r="Q48" s="2379">
        <f ca="1">C40+J29</f>
        <v>343281</v>
      </c>
      <c r="R48" s="2378" t="s">
        <v>2381</v>
      </c>
    </row>
    <row r="49" spans="1:18" s="2059" customFormat="1" ht="18" customHeight="1" thickBot="1">
      <c r="A49" s="786"/>
      <c r="B49" s="787"/>
      <c r="C49" s="788"/>
      <c r="D49" s="789"/>
      <c r="E49" s="784" t="s">
        <v>1740</v>
      </c>
      <c r="F49" s="785">
        <f ca="1">F7</f>
        <v>85455</v>
      </c>
      <c r="G49" s="2090"/>
      <c r="H49" s="2093"/>
      <c r="I49" s="3102" t="s">
        <v>2347</v>
      </c>
      <c r="J49" s="2362"/>
      <c r="K49" s="3135" t="s">
        <v>2353</v>
      </c>
      <c r="L49" s="2363"/>
      <c r="O49" s="2377" t="s">
        <v>2382</v>
      </c>
      <c r="P49" s="2378" t="s">
        <v>2407</v>
      </c>
      <c r="Q49" s="2379" t="str">
        <f ca="1">J60</f>
        <v>0</v>
      </c>
      <c r="R49" s="2378" t="s">
        <v>2383</v>
      </c>
    </row>
    <row r="50" spans="1:18" s="2059" customFormat="1" ht="18" customHeight="1" thickBot="1">
      <c r="A50" s="786"/>
      <c r="B50" s="787"/>
      <c r="C50" s="788"/>
      <c r="D50" s="789"/>
      <c r="E50" s="784" t="s">
        <v>1741</v>
      </c>
      <c r="F50" s="785">
        <f ca="1">F8</f>
        <v>365</v>
      </c>
      <c r="G50" s="2095"/>
      <c r="H50" s="2093"/>
      <c r="I50" s="3102" t="s">
        <v>2348</v>
      </c>
      <c r="J50" s="3130">
        <f>SUMPRODUCT((I63:I65=J47)*(J62:L62=J48)*(J63:L65))</f>
        <v>60</v>
      </c>
      <c r="K50" s="3135" t="s">
        <v>2354</v>
      </c>
      <c r="L50" s="2363"/>
      <c r="O50" s="2380" t="s">
        <v>2384</v>
      </c>
      <c r="P50" s="2378" t="s">
        <v>2408</v>
      </c>
      <c r="Q50" s="2379">
        <f ca="1">C29</f>
        <v>65619</v>
      </c>
      <c r="R50" s="2378" t="s">
        <v>2381</v>
      </c>
    </row>
    <row r="51" spans="1:18" s="2059" customFormat="1" ht="18" customHeight="1" thickBot="1">
      <c r="A51" s="786"/>
      <c r="B51" s="787"/>
      <c r="C51" s="788"/>
      <c r="D51" s="789"/>
      <c r="E51" s="784" t="s">
        <v>640</v>
      </c>
      <c r="F51" s="2350"/>
      <c r="H51" s="2093"/>
      <c r="I51" s="3127" t="s">
        <v>2349</v>
      </c>
      <c r="J51" s="3131">
        <f>IF(J49="",J50,J49+J50-YEAR('数据-取费表'!B2))</f>
        <v>60</v>
      </c>
      <c r="K51" s="3102" t="s">
        <v>2355</v>
      </c>
      <c r="L51" s="3138">
        <f ca="1">ROUND(-PV(INDIRECT("'数据-取费表'!h"&amp;$G$1),L48,(C39-C13*J36),0),0)</f>
        <v>347670</v>
      </c>
      <c r="O51" s="2380" t="s">
        <v>2385</v>
      </c>
      <c r="P51" s="2378" t="s">
        <v>2386</v>
      </c>
      <c r="Q51" s="2381" t="e">
        <f ca="1">J58</f>
        <v>#VALUE!</v>
      </c>
      <c r="R51" s="2382"/>
    </row>
    <row r="52" spans="1:18" s="2059" customFormat="1" ht="18" customHeight="1" thickBot="1">
      <c r="A52" s="781" t="s">
        <v>2537</v>
      </c>
      <c r="B52" s="2473" t="s">
        <v>2460</v>
      </c>
      <c r="C52" s="799">
        <f ca="1">ROUND(IF(F52="押一",C48/12*F11,IF(F52="押二",C48/12*2*F11,IF(F52="押三",C48/12*3*F11,C53*F11))),0)</f>
        <v>0</v>
      </c>
      <c r="D52" s="2480" t="s">
        <v>2973</v>
      </c>
      <c r="E52" s="2477" t="s">
        <v>2465</v>
      </c>
      <c r="F52" s="2600"/>
      <c r="I52" s="3128" t="s">
        <v>2422</v>
      </c>
      <c r="J52" s="2364"/>
      <c r="K52" s="3128" t="s">
        <v>2421</v>
      </c>
      <c r="L52" s="2364"/>
      <c r="O52" s="2380" t="s">
        <v>2387</v>
      </c>
      <c r="P52" s="2378" t="s">
        <v>2388</v>
      </c>
      <c r="Q52" s="2381">
        <f>J52</f>
        <v>0</v>
      </c>
      <c r="R52" s="2382"/>
    </row>
    <row r="53" spans="1:18" s="2059" customFormat="1" ht="39.75" customHeight="1" thickBot="1">
      <c r="A53" s="786"/>
      <c r="B53" s="2474" t="s">
        <v>2574</v>
      </c>
      <c r="C53" s="2478"/>
      <c r="D53" s="2480"/>
      <c r="E53" s="2477"/>
      <c r="F53" s="800"/>
      <c r="I53" s="3129" t="s">
        <v>2976</v>
      </c>
      <c r="J53" s="3132">
        <f ca="1">IF(M47="住宅",IF(D1="——",MAX(J51,L48),MAX(J51,L48-'数据-取费表'!B20)),IF(D1="——",MIN(J51,L48),MIN(J51,L48-'数据-取费表'!B20)))</f>
        <v>38</v>
      </c>
      <c r="K53" s="3467" t="s">
        <v>2964</v>
      </c>
      <c r="L53" s="3468"/>
      <c r="O53" s="2380" t="s">
        <v>2389</v>
      </c>
      <c r="P53" s="2378" t="s">
        <v>2390</v>
      </c>
      <c r="Q53" s="2379">
        <f ca="1">J53</f>
        <v>38</v>
      </c>
      <c r="R53" s="2378" t="s">
        <v>2391</v>
      </c>
    </row>
    <row r="54" spans="1:18" s="2059" customFormat="1" ht="18" customHeight="1" thickBot="1">
      <c r="A54" s="2516" t="s">
        <v>2468</v>
      </c>
      <c r="B54" s="2517" t="s">
        <v>2461</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2392</v>
      </c>
      <c r="P54" s="2378" t="s">
        <v>2409</v>
      </c>
      <c r="Q54" s="2379">
        <f ca="1">Q48+Q49</f>
        <v>343281</v>
      </c>
      <c r="R54" s="2382" t="s">
        <v>2393</v>
      </c>
    </row>
    <row r="55" spans="1:18" s="2059" customFormat="1" ht="18" customHeight="1" thickTop="1" thickBot="1">
      <c r="A55" s="797">
        <v>2</v>
      </c>
      <c r="B55" s="798" t="s">
        <v>644</v>
      </c>
      <c r="C55" s="799">
        <f ca="1">C13</f>
        <v>65619</v>
      </c>
      <c r="D55" s="795"/>
      <c r="E55" s="795"/>
      <c r="F55" s="800"/>
      <c r="I55" s="3141" t="s">
        <v>2356</v>
      </c>
      <c r="J55" s="3077" t="e">
        <f ca="1">ROUND(IF(J47="钢混",J57/J50,1-(1-2%)*(J50-J57)/J50),3)</f>
        <v>#VALUE!</v>
      </c>
      <c r="K55" s="3142" t="s">
        <v>2357</v>
      </c>
      <c r="L55" s="2365"/>
      <c r="O55" s="2383" t="s">
        <v>2412</v>
      </c>
      <c r="P55" s="1592"/>
      <c r="Q55" s="1604"/>
      <c r="R55" s="1592"/>
    </row>
    <row r="56" spans="1:18" s="2059" customFormat="1" ht="42.75" customHeight="1" thickBot="1">
      <c r="A56" s="1650"/>
      <c r="B56" s="2231" t="s">
        <v>2303</v>
      </c>
      <c r="C56" s="53">
        <f ca="1">C29</f>
        <v>65619</v>
      </c>
      <c r="D56" s="2618"/>
      <c r="E56" s="784"/>
      <c r="F56" s="809"/>
      <c r="I56" s="3143" t="s">
        <v>2358</v>
      </c>
      <c r="J56" s="3153" t="s">
        <v>1679</v>
      </c>
      <c r="K56" s="3102" t="s">
        <v>2363</v>
      </c>
      <c r="L56" s="1908" t="str">
        <f ca="1">IF(L48&lt;J51,"——",L48-J51)</f>
        <v>——</v>
      </c>
      <c r="O56" s="2374" t="s">
        <v>2376</v>
      </c>
      <c r="P56" s="2375" t="s">
        <v>2377</v>
      </c>
      <c r="Q56" s="2376" t="s">
        <v>2378</v>
      </c>
      <c r="R56" s="2375" t="s">
        <v>2379</v>
      </c>
    </row>
    <row r="57" spans="1:18" s="2059" customFormat="1" ht="28.5" customHeight="1" thickBot="1">
      <c r="A57" s="797" t="s">
        <v>1749</v>
      </c>
      <c r="B57" s="798" t="s">
        <v>651</v>
      </c>
      <c r="C57" s="799">
        <f ca="1">ROUND(C58+C63+C64+C65,0)</f>
        <v>1529</v>
      </c>
      <c r="D57" s="26" t="s">
        <v>1751</v>
      </c>
      <c r="E57" s="2619"/>
      <c r="F57" s="56"/>
      <c r="I57" s="3144" t="s">
        <v>2359</v>
      </c>
      <c r="J57" s="3145" t="str">
        <f ca="1">IF(OR(M47="住宅",J51&lt;L48,J56="是"),"——",J51-L48)</f>
        <v>——</v>
      </c>
      <c r="K57" s="3102" t="s">
        <v>2364</v>
      </c>
      <c r="L57" s="1908" t="str">
        <f ca="1">IF(L48&lt;J51,"——",IF(L55="比较法",L49,IF(L55="基准地价",L50,L51)))</f>
        <v>——</v>
      </c>
      <c r="O57" s="2377" t="s">
        <v>2380</v>
      </c>
      <c r="P57" s="2378" t="s">
        <v>2410</v>
      </c>
      <c r="Q57" s="2379">
        <f ca="1">C40+J29</f>
        <v>343281</v>
      </c>
      <c r="R57" s="2378" t="s">
        <v>2381</v>
      </c>
    </row>
    <row r="58" spans="1:18" s="2059" customFormat="1" ht="28.5" customHeight="1" thickBot="1">
      <c r="A58" s="1649" t="s">
        <v>1825</v>
      </c>
      <c r="B58" s="784" t="s">
        <v>656</v>
      </c>
      <c r="C58" s="53">
        <f ca="1">ROUND(IF(项目基本情况!B11="自然人",C47*F58,C59+C60+C61),1)</f>
        <v>20</v>
      </c>
      <c r="D58" s="2617" t="s">
        <v>657</v>
      </c>
      <c r="E58" s="2618" t="s">
        <v>690</v>
      </c>
      <c r="F58" s="810" t="str">
        <f ca="1">IF(项目基本情况!B11="企业","",IF(INDIRECT("'数据-取费表'!c"&amp;$G$1)="住宅",5%,IF(F48*F49*F50/12/(1+'数据-取费表'!C42)&gt;20000,12%,7%)))</f>
        <v/>
      </c>
      <c r="I58" s="3144" t="s">
        <v>2360</v>
      </c>
      <c r="J58" s="3078" t="e">
        <f ca="1">IF(J55&lt;0.4,0.4,J55)</f>
        <v>#VALUE!</v>
      </c>
      <c r="K58" s="3102" t="s">
        <v>2365</v>
      </c>
      <c r="L58" s="1908" t="e">
        <f ca="1">ROUND(POWER(1+L52,L47-L48)*(POWER(1+L52,L48)-1)/(POWER(1+L52,L47)-1),4)</f>
        <v>#DIV/0!</v>
      </c>
      <c r="O58" s="2377" t="s">
        <v>2382</v>
      </c>
      <c r="P58" s="2378" t="s">
        <v>2413</v>
      </c>
      <c r="Q58" s="2379">
        <f ca="1">L60</f>
        <v>0</v>
      </c>
      <c r="R58" s="2382" t="s">
        <v>2415</v>
      </c>
    </row>
    <row r="59" spans="1:18" s="2059" customFormat="1" ht="28.5" customHeight="1" thickBot="1">
      <c r="A59" s="1648" t="s">
        <v>1832</v>
      </c>
      <c r="B59" s="784" t="s">
        <v>660</v>
      </c>
      <c r="C59" s="53">
        <f ca="1">ROUND(C47*F59/1.05,1)</f>
        <v>0</v>
      </c>
      <c r="D59" s="2618" t="s">
        <v>1757</v>
      </c>
      <c r="E59" s="784" t="s">
        <v>1748</v>
      </c>
      <c r="F59" s="809">
        <f t="shared" ref="F59:F65" si="0">F32</f>
        <v>5.6000000000000001E-2</v>
      </c>
      <c r="I59" s="3144" t="s">
        <v>2361</v>
      </c>
      <c r="J59" s="3145" t="str">
        <f ca="1">IF(OR(M47="住宅",J51&lt;L48,J56="是"),"——",ROUND(C29*J58,0))</f>
        <v>——</v>
      </c>
      <c r="K59" s="3102"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2384</v>
      </c>
      <c r="P59" s="2378" t="s">
        <v>2414</v>
      </c>
      <c r="Q59" s="2379">
        <f>IF(L55="比较法",L49,IF(L55="基准地价",L50,0))</f>
        <v>0</v>
      </c>
      <c r="R59" s="2378" t="s">
        <v>2381</v>
      </c>
    </row>
    <row r="60" spans="1:18" s="2059" customFormat="1" ht="18" customHeight="1" thickBot="1">
      <c r="A60" s="1648" t="s">
        <v>1833</v>
      </c>
      <c r="B60" s="784" t="s">
        <v>1759</v>
      </c>
      <c r="C60" s="53">
        <f ca="1">IF(D60="按租金收入计税",ROUND(C47*F60,1),IF(D60="按房产原值计税",ROUND(C56*F60*0.7,1),INDIRECT("'数据-取费表'!Aj"&amp;$G$1)))</f>
        <v>0</v>
      </c>
      <c r="D60" s="2618" t="str">
        <f>D33</f>
        <v>按租金收入计税</v>
      </c>
      <c r="E60" s="784" t="s">
        <v>1748</v>
      </c>
      <c r="F60" s="809">
        <f t="shared" si="0"/>
        <v>0.12</v>
      </c>
      <c r="I60" s="3146" t="s">
        <v>2362</v>
      </c>
      <c r="J60" s="3147" t="str">
        <f ca="1">IF(OR(M47="住宅",J51&lt;L48,J56="是"),"0",ROUND(J59/(1+J52)^J53,0))</f>
        <v>0</v>
      </c>
      <c r="K60" s="3148" t="s">
        <v>2367</v>
      </c>
      <c r="L60" s="3147">
        <f ca="1">IF(OR(M47="住宅",L48&lt;J51),0,ROUND(L57*(L58/L59-1),0))</f>
        <v>0</v>
      </c>
      <c r="O60" s="2380" t="s">
        <v>2385</v>
      </c>
      <c r="P60" s="2378" t="s">
        <v>2394</v>
      </c>
      <c r="Q60" s="2381">
        <f>L52</f>
        <v>0</v>
      </c>
      <c r="R60" s="2382"/>
    </row>
    <row r="61" spans="1:18" s="2059" customFormat="1" ht="18" customHeight="1" thickBot="1">
      <c r="A61" s="1651" t="s">
        <v>1834</v>
      </c>
      <c r="B61" s="341" t="s">
        <v>668</v>
      </c>
      <c r="C61" s="54">
        <f ca="1">ROUND(F61*F62/10000,1)</f>
        <v>20</v>
      </c>
      <c r="D61" s="814" t="s">
        <v>669</v>
      </c>
      <c r="E61" s="784" t="s">
        <v>670</v>
      </c>
      <c r="F61" s="640">
        <f t="shared" si="0"/>
        <v>12</v>
      </c>
      <c r="K61" s="2086"/>
      <c r="O61" s="2380" t="s">
        <v>2387</v>
      </c>
      <c r="P61" s="2378" t="s">
        <v>2395</v>
      </c>
      <c r="Q61" s="2379" t="e">
        <f ca="1">L58</f>
        <v>#DIV/0!</v>
      </c>
      <c r="R61" s="2382" t="s">
        <v>2396</v>
      </c>
    </row>
    <row r="62" spans="1:18" s="2059" customFormat="1" ht="15.75" thickBot="1">
      <c r="A62" s="815"/>
      <c r="B62" s="793"/>
      <c r="C62" s="69"/>
      <c r="D62" s="816"/>
      <c r="E62" s="784" t="s">
        <v>674</v>
      </c>
      <c r="F62" s="785">
        <f t="shared" ca="1" si="0"/>
        <v>16706.650000000001</v>
      </c>
      <c r="I62" s="3149" t="s">
        <v>2368</v>
      </c>
      <c r="J62" s="3150" t="s">
        <v>2369</v>
      </c>
      <c r="K62" s="3150" t="s">
        <v>2370</v>
      </c>
      <c r="L62" s="3150" t="s">
        <v>2351</v>
      </c>
      <c r="M62" s="3151" t="s">
        <v>2940</v>
      </c>
      <c r="O62" s="2380" t="s">
        <v>2389</v>
      </c>
      <c r="P62" s="2378" t="str">
        <f>K59</f>
        <v>建设期及建筑物耐用年限下的土地年期修正系数Kn</v>
      </c>
      <c r="Q62" s="2379" t="e">
        <f ca="1">L59</f>
        <v>#DIV/0!</v>
      </c>
      <c r="R62" s="2382" t="s">
        <v>2398</v>
      </c>
    </row>
    <row r="63" spans="1:18" s="2059" customFormat="1" ht="15.75" thickBot="1">
      <c r="A63" s="1649" t="s">
        <v>1890</v>
      </c>
      <c r="B63" s="784" t="s">
        <v>676</v>
      </c>
      <c r="C63" s="53">
        <f ca="1">ROUND(C56*F63,1)</f>
        <v>1312.4</v>
      </c>
      <c r="D63" s="2618" t="s">
        <v>1804</v>
      </c>
      <c r="E63" s="784" t="s">
        <v>1748</v>
      </c>
      <c r="F63" s="817">
        <f t="shared" ca="1" si="0"/>
        <v>0.02</v>
      </c>
      <c r="I63" s="3149" t="s">
        <v>2371</v>
      </c>
      <c r="J63" s="3150">
        <v>70</v>
      </c>
      <c r="K63" s="3150">
        <v>50</v>
      </c>
      <c r="L63" s="3150">
        <v>80</v>
      </c>
      <c r="M63" s="3152">
        <v>0.02</v>
      </c>
      <c r="O63" s="2377" t="s">
        <v>2392</v>
      </c>
      <c r="P63" s="2378" t="s">
        <v>2409</v>
      </c>
      <c r="Q63" s="2379">
        <f ca="1">Q57+Q58</f>
        <v>343281</v>
      </c>
      <c r="R63" s="2382" t="s">
        <v>2393</v>
      </c>
    </row>
    <row r="64" spans="1:18" s="2059" customFormat="1" ht="16.5" thickBot="1">
      <c r="A64" s="1649" t="s">
        <v>1891</v>
      </c>
      <c r="B64" s="784" t="s">
        <v>679</v>
      </c>
      <c r="C64" s="53">
        <f ca="1">ROUND(C55*F64,1)</f>
        <v>196.9</v>
      </c>
      <c r="D64" s="2618" t="s">
        <v>680</v>
      </c>
      <c r="E64" s="784" t="s">
        <v>1748</v>
      </c>
      <c r="F64" s="818">
        <f t="shared" ca="1" si="0"/>
        <v>3.0000000000000001E-3</v>
      </c>
      <c r="I64" s="3149" t="s">
        <v>2372</v>
      </c>
      <c r="J64" s="3150">
        <v>50</v>
      </c>
      <c r="K64" s="3150">
        <v>35</v>
      </c>
      <c r="L64" s="3150">
        <v>60</v>
      </c>
      <c r="M64" s="846">
        <v>0</v>
      </c>
      <c r="O64" s="2383" t="s">
        <v>2416</v>
      </c>
      <c r="P64" s="1592"/>
      <c r="Q64" s="1604"/>
      <c r="R64" s="1592"/>
    </row>
    <row r="65" spans="1:18" s="2059" customFormat="1" ht="15.75" thickBot="1">
      <c r="A65" s="1649" t="s">
        <v>1892</v>
      </c>
      <c r="B65" s="784" t="s">
        <v>666</v>
      </c>
      <c r="C65" s="53">
        <f ca="1">ROUND(C47*F65,1)</f>
        <v>0</v>
      </c>
      <c r="D65" s="2618" t="s">
        <v>683</v>
      </c>
      <c r="E65" s="784" t="s">
        <v>1748</v>
      </c>
      <c r="F65" s="794">
        <f t="shared" ca="1" si="0"/>
        <v>0.03</v>
      </c>
      <c r="I65" s="3149" t="s">
        <v>2373</v>
      </c>
      <c r="J65" s="3150">
        <v>40</v>
      </c>
      <c r="K65" s="3150">
        <v>30</v>
      </c>
      <c r="L65" s="3150">
        <v>50</v>
      </c>
      <c r="M65" s="3152">
        <v>0.02</v>
      </c>
      <c r="O65" s="2374" t="s">
        <v>2376</v>
      </c>
      <c r="P65" s="2375" t="s">
        <v>2377</v>
      </c>
      <c r="Q65" s="2376" t="s">
        <v>2378</v>
      </c>
      <c r="R65" s="2375" t="s">
        <v>2379</v>
      </c>
    </row>
    <row r="66" spans="1:18" s="2059" customFormat="1" ht="24.75" thickBot="1">
      <c r="A66" s="797" t="s">
        <v>1777</v>
      </c>
      <c r="B66" s="2987" t="s">
        <v>2822</v>
      </c>
      <c r="C66" s="799">
        <f ca="1">C47-C57</f>
        <v>-1529</v>
      </c>
      <c r="D66" s="2617" t="s">
        <v>700</v>
      </c>
      <c r="E66" s="2616"/>
      <c r="F66" s="820"/>
      <c r="K66" s="2086"/>
      <c r="O66" s="2377" t="s">
        <v>2380</v>
      </c>
      <c r="P66" s="2378" t="s">
        <v>2410</v>
      </c>
      <c r="Q66" s="2379">
        <f ca="1">C40+J29</f>
        <v>343281</v>
      </c>
      <c r="R66" s="2378" t="s">
        <v>2381</v>
      </c>
    </row>
    <row r="67" spans="1:18" s="2059" customFormat="1" ht="20.25" thickBot="1">
      <c r="A67" s="781" t="s">
        <v>1781</v>
      </c>
      <c r="B67" s="2232" t="s">
        <v>2302</v>
      </c>
      <c r="C67" s="783">
        <f ca="1">ROUND(C66*(1-((1+F69)/(1+F67))^F68)/(F67-F69),0)</f>
        <v>-23006</v>
      </c>
      <c r="D67" s="814" t="s">
        <v>704</v>
      </c>
      <c r="E67" s="784" t="s">
        <v>705</v>
      </c>
      <c r="F67" s="794">
        <f ca="1">F40</f>
        <v>0.06</v>
      </c>
      <c r="K67" s="2086"/>
      <c r="O67" s="2377" t="s">
        <v>2382</v>
      </c>
      <c r="P67" s="2378" t="s">
        <v>2413</v>
      </c>
      <c r="Q67" s="2379">
        <f ca="1">L60</f>
        <v>0</v>
      </c>
      <c r="R67" s="2382" t="s">
        <v>2415</v>
      </c>
    </row>
    <row r="68" spans="1:18" ht="21.75" thickBot="1">
      <c r="A68" s="786"/>
      <c r="B68" s="787"/>
      <c r="C68" s="788"/>
      <c r="D68" s="821" t="s">
        <v>1809</v>
      </c>
      <c r="E68" s="784" t="s">
        <v>1785</v>
      </c>
      <c r="F68" s="822">
        <f ca="1">F41</f>
        <v>40</v>
      </c>
      <c r="O68" s="2380" t="s">
        <v>2384</v>
      </c>
      <c r="P68" s="2378" t="s">
        <v>2414</v>
      </c>
      <c r="Q68" s="2384">
        <f ca="1">L51</f>
        <v>347670</v>
      </c>
      <c r="R68" s="2385" t="s">
        <v>2417</v>
      </c>
    </row>
    <row r="69" spans="1:18" ht="20.25" thickBot="1">
      <c r="A69" s="790"/>
      <c r="B69" s="791"/>
      <c r="C69" s="792"/>
      <c r="D69" s="816"/>
      <c r="E69" s="784" t="s">
        <v>710</v>
      </c>
      <c r="F69" s="2350"/>
      <c r="O69" s="2380" t="s">
        <v>2385</v>
      </c>
      <c r="P69" s="2386" t="s">
        <v>2399</v>
      </c>
      <c r="Q69" s="2379">
        <f ca="1">ROUND(Q70-Q71*Q72,0)</f>
        <v>17565</v>
      </c>
      <c r="R69" s="2382"/>
    </row>
    <row r="70" spans="1:18" ht="15.75" thickBot="1">
      <c r="A70" s="823" t="s">
        <v>1788</v>
      </c>
      <c r="B70" s="824" t="s">
        <v>1811</v>
      </c>
      <c r="C70" s="825">
        <f ca="1">ROUND(C67*10000/F70,0)</f>
        <v>-2692</v>
      </c>
      <c r="D70" s="826" t="s">
        <v>1812</v>
      </c>
      <c r="E70" s="827" t="s">
        <v>1813</v>
      </c>
      <c r="F70" s="828">
        <f ca="1">F43</f>
        <v>85455</v>
      </c>
      <c r="O70" s="2380" t="s">
        <v>2400</v>
      </c>
      <c r="P70" s="2386" t="s">
        <v>2401</v>
      </c>
      <c r="Q70" s="2379">
        <f ca="1">C39</f>
        <v>22815</v>
      </c>
      <c r="R70" s="2378" t="s">
        <v>2381</v>
      </c>
    </row>
    <row r="71" spans="1:18" ht="15.75" thickBot="1">
      <c r="O71" s="2380" t="s">
        <v>2402</v>
      </c>
      <c r="P71" s="2386" t="s">
        <v>2403</v>
      </c>
      <c r="Q71" s="2379">
        <f ca="1">C13</f>
        <v>65619</v>
      </c>
      <c r="R71" s="2378" t="s">
        <v>2381</v>
      </c>
    </row>
    <row r="72" spans="1:18" ht="15.75" thickBot="1">
      <c r="O72" s="2380" t="s">
        <v>2404</v>
      </c>
      <c r="P72" s="2386" t="s">
        <v>2405</v>
      </c>
      <c r="Q72" s="2381">
        <f ca="1">J36</f>
        <v>0.08</v>
      </c>
      <c r="R72" s="2382"/>
    </row>
    <row r="73" spans="1:18" ht="15.75" thickBot="1">
      <c r="O73" s="2380" t="s">
        <v>2387</v>
      </c>
      <c r="P73" s="2378" t="s">
        <v>2394</v>
      </c>
      <c r="Q73" s="2381">
        <f>L52</f>
        <v>0</v>
      </c>
      <c r="R73" s="2382"/>
    </row>
    <row r="74" spans="1:18" ht="20.25" thickBot="1">
      <c r="O74" s="2380" t="s">
        <v>2389</v>
      </c>
      <c r="P74" s="2378" t="s">
        <v>2395</v>
      </c>
      <c r="Q74" s="2379" t="e">
        <f ca="1">L58</f>
        <v>#DIV/0!</v>
      </c>
      <c r="R74" s="2382" t="s">
        <v>2396</v>
      </c>
    </row>
    <row r="75" spans="1:18" ht="15.75" thickBot="1">
      <c r="O75" s="2380" t="s">
        <v>2418</v>
      </c>
      <c r="P75" s="2378" t="str">
        <f>K59</f>
        <v>建设期及建筑物耐用年限下的土地年期修正系数Kn</v>
      </c>
      <c r="Q75" s="2379" t="e">
        <f ca="1">L59</f>
        <v>#DIV/0!</v>
      </c>
      <c r="R75" s="2382" t="s">
        <v>2398</v>
      </c>
    </row>
    <row r="76" spans="1:18" ht="15.75" thickBot="1">
      <c r="O76" s="2377" t="s">
        <v>2392</v>
      </c>
      <c r="P76" s="2378" t="s">
        <v>2409</v>
      </c>
      <c r="Q76" s="2379">
        <f ca="1">Q66+Q67</f>
        <v>343281</v>
      </c>
      <c r="R76" s="2382"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40" priority="7">
      <formula>$L$48&gt;$J$51</formula>
    </cfRule>
  </conditionalFormatting>
  <conditionalFormatting sqref="I55">
    <cfRule type="expression" dxfId="139" priority="8">
      <formula>$J$51&gt;$L$48</formula>
    </cfRule>
  </conditionalFormatting>
  <conditionalFormatting sqref="I60">
    <cfRule type="expression" dxfId="138" priority="6">
      <formula>$J$51&gt;$L$48</formula>
    </cfRule>
  </conditionalFormatting>
  <conditionalFormatting sqref="K60">
    <cfRule type="expression" dxfId="137" priority="5">
      <formula>$L$48&gt;$J$51</formula>
    </cfRule>
  </conditionalFormatting>
  <conditionalFormatting sqref="C11">
    <cfRule type="expression" dxfId="136" priority="4">
      <formula>$F$10="自定义"</formula>
    </cfRule>
  </conditionalFormatting>
  <conditionalFormatting sqref="J11">
    <cfRule type="expression" dxfId="135" priority="2">
      <formula>$M$10="自定义"</formula>
    </cfRule>
  </conditionalFormatting>
  <conditionalFormatting sqref="C53">
    <cfRule type="expression" dxfId="13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0866141732283472" right="0.70866141732283472" top="0.74803149606299213" bottom="0.74803149606299213" header="0.31496062992125984" footer="0.31496062992125984"/>
  <pageSetup paperSize="9" scale="82" orientation="portrait" r:id="rId1"/>
  <ignoredErrors>
    <ignoredError sqref="F62:F65 F67:F68 F70 F49:F50" evalError="1"/>
  </ignoredError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59" t="str">
        <f>项目基本情况!B1</f>
        <v>北京市国有建设用地使用权市场价格预评估</v>
      </c>
      <c r="C37" s="3259"/>
      <c r="D37" s="3259"/>
      <c r="E37" s="3259"/>
      <c r="F37" s="3259"/>
      <c r="G37" s="3259"/>
      <c r="H37" s="3259"/>
      <c r="I37" s="3259"/>
    </row>
    <row r="38" spans="1:9">
      <c r="A38" s="1656"/>
      <c r="B38" s="1656"/>
    </row>
    <row r="39" spans="1:9">
      <c r="A39" s="1654" t="s">
        <v>1902</v>
      </c>
      <c r="B39" s="1654" t="s">
        <v>2047</v>
      </c>
    </row>
    <row r="40" spans="1:9">
      <c r="A40" s="1654"/>
      <c r="B40" s="1654">
        <f>项目基本情况!B5</f>
        <v>0</v>
      </c>
    </row>
    <row r="41" spans="1:9">
      <c r="A41" s="1654"/>
      <c r="B41" s="1654"/>
    </row>
    <row r="42" spans="1:9">
      <c r="A42" s="1654" t="s">
        <v>1902</v>
      </c>
      <c r="B42" s="1654" t="s">
        <v>2048</v>
      </c>
    </row>
    <row r="43" spans="1:9">
      <c r="A43" s="1654"/>
      <c r="B43" s="1654" t="s">
        <v>1904</v>
      </c>
    </row>
    <row r="44" spans="1:9">
      <c r="A44" s="1654"/>
      <c r="B44" s="1654"/>
    </row>
    <row r="45" spans="1:9">
      <c r="A45" s="1654" t="s">
        <v>1902</v>
      </c>
      <c r="B45" s="1654" t="s">
        <v>2046</v>
      </c>
    </row>
    <row r="46" spans="1:9" s="1654" customFormat="1" ht="12.75">
      <c r="B46" s="1654" t="str">
        <f>项目基本情况!K4</f>
        <v>叶凌、杨红英</v>
      </c>
    </row>
    <row r="47" spans="1:9">
      <c r="A47" s="1654"/>
      <c r="B47" s="1654"/>
    </row>
    <row r="48" spans="1:9">
      <c r="A48" s="1654" t="s">
        <v>1902</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M44" sqref="M44"/>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788" t="s">
        <v>3000</v>
      </c>
      <c r="C1" s="2104"/>
      <c r="D1" s="2104"/>
      <c r="E1" s="2104"/>
      <c r="F1" s="2104"/>
      <c r="G1" s="2104"/>
      <c r="H1" s="2104"/>
      <c r="I1" s="2104"/>
      <c r="J1" s="2104"/>
      <c r="K1" s="422">
        <f>MATCH(B1,'数据-取费表'!A6:A16,0)+5</f>
        <v>6</v>
      </c>
    </row>
    <row r="2" spans="1:31" s="2041" customFormat="1" ht="18" customHeight="1">
      <c r="A2" s="2101" t="s">
        <v>467</v>
      </c>
      <c r="B2" s="2105">
        <f ca="1">C36</f>
        <v>179984</v>
      </c>
      <c r="C2" s="2104"/>
      <c r="D2" s="2104"/>
      <c r="E2" s="2104"/>
      <c r="F2" s="2104"/>
      <c r="G2" s="2104"/>
      <c r="H2" s="2104"/>
      <c r="I2" s="2104"/>
      <c r="J2" s="2104"/>
      <c r="K2" s="2104"/>
    </row>
    <row r="3" spans="1:31" s="2041" customFormat="1" ht="18" customHeight="1">
      <c r="A3" s="2106" t="s">
        <v>1685</v>
      </c>
      <c r="B3" s="2107">
        <f ca="1">ROUND(B2*10000/IF(B1="",'数据-汇总表'!E3,INDIRECT("'数据-取费表'!K"&amp;$K$1)),0)</f>
        <v>21062</v>
      </c>
      <c r="C3" s="2104"/>
      <c r="D3" s="2104"/>
      <c r="E3" s="2104"/>
      <c r="F3" s="2104"/>
      <c r="G3" s="2104"/>
      <c r="H3" s="2104"/>
      <c r="I3" s="2104"/>
      <c r="J3" s="2104"/>
      <c r="K3" s="2104"/>
    </row>
    <row r="4" spans="1:31" s="2041" customFormat="1" ht="18" customHeight="1">
      <c r="A4" s="426" t="s">
        <v>468</v>
      </c>
      <c r="B4" s="427">
        <f ca="1">ROUND(B2*10000/IF(B1="",'数据-汇总表'!D3,INDIRECT("'数据-取费表'!R"&amp;$K$1)),0)</f>
        <v>107732</v>
      </c>
      <c r="C4" s="428"/>
      <c r="D4" s="422"/>
      <c r="E4" s="422"/>
      <c r="F4" s="422"/>
      <c r="G4" s="422"/>
      <c r="H4" s="422"/>
      <c r="I4" s="422"/>
      <c r="J4" s="422"/>
      <c r="K4" s="422"/>
    </row>
    <row r="5" spans="1:31" s="2041" customFormat="1" ht="18" customHeight="1" thickBot="1">
      <c r="A5" s="429"/>
      <c r="B5" s="430">
        <f ca="1">ROUND(B2/(IF(B1="",'数据-汇总表'!D3,INDIRECT("'数据-取费表'!R"&amp;$K$1))/666.67),0)</f>
        <v>7182</v>
      </c>
      <c r="C5" s="431" t="s">
        <v>469</v>
      </c>
      <c r="D5" s="422"/>
      <c r="E5" s="422"/>
      <c r="F5" s="422"/>
      <c r="G5" s="422"/>
      <c r="H5" s="422"/>
      <c r="I5" s="422"/>
      <c r="J5" s="422"/>
      <c r="K5" s="422"/>
    </row>
    <row r="6" spans="1:31" s="2111" customFormat="1" ht="16.5" customHeight="1">
      <c r="A6" s="2807" t="s">
        <v>1843</v>
      </c>
      <c r="B6" s="2808"/>
      <c r="C6" s="2809">
        <f ca="1">SUM(C10:K10)</f>
        <v>343281</v>
      </c>
      <c r="D6" s="2808"/>
      <c r="E6" s="2808"/>
      <c r="F6" s="2808"/>
      <c r="G6" s="2808"/>
      <c r="H6" s="2808"/>
      <c r="I6" s="2808"/>
      <c r="J6" s="2808"/>
      <c r="K6" s="2810"/>
    </row>
    <row r="7" spans="1:31" s="2113" customFormat="1" ht="15">
      <c r="A7" s="2811" t="s">
        <v>470</v>
      </c>
      <c r="B7" s="2812" t="s">
        <v>471</v>
      </c>
      <c r="C7" s="436" t="s">
        <v>3000</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13">
        <f ca="1">'不动产收益法-商业'!C43</f>
        <v>40171</v>
      </c>
      <c r="D8" s="2813"/>
      <c r="E8" s="2813"/>
      <c r="F8" s="2813"/>
      <c r="G8" s="2813"/>
      <c r="H8" s="2813"/>
      <c r="I8" s="2813"/>
      <c r="J8" s="2813"/>
      <c r="K8" s="2814"/>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SUMIF('数据-汇总表'!$C19:$C33,'剩余法-商业'!C7,'数据-汇总表'!$E19:$E33)</f>
        <v>85455</v>
      </c>
      <c r="D9" s="441">
        <f>SUMIF('数据-汇总表'!$C19:$C33,'剩余法-商业'!D7,'数据-汇总表'!$E19:$E33)</f>
        <v>0</v>
      </c>
      <c r="E9" s="441">
        <f>SUMIF('数据-汇总表'!$C19:$C33,'剩余法-商业'!E7,'数据-汇总表'!$E19:$E33)</f>
        <v>0</v>
      </c>
      <c r="F9" s="441">
        <f>SUMIF('数据-汇总表'!$C19:$C33,'剩余法-商业'!F7,'数据-汇总表'!$E19:$E33)</f>
        <v>0</v>
      </c>
      <c r="G9" s="441">
        <f>SUMIF('数据-汇总表'!$C19:$C33,'剩余法-商业'!G7,'数据-汇总表'!$E19:$E33)</f>
        <v>0</v>
      </c>
      <c r="H9" s="441">
        <f>SUMIF('数据-汇总表'!$C19:$C33,'剩余法-商业'!H7,'数据-汇总表'!$E19:$E33)</f>
        <v>0</v>
      </c>
      <c r="I9" s="441">
        <f>SUMIF('数据-汇总表'!$C19:$C33,'剩余法-商业'!I7,'数据-汇总表'!$E19:$E33)</f>
        <v>0</v>
      </c>
      <c r="J9" s="441">
        <f>SUMIF('数据-汇总表'!$C19:$C33,'剩余法-商业'!J7,'数据-汇总表'!$E19:$E33)</f>
        <v>0</v>
      </c>
      <c r="K9" s="442">
        <f>SUMIF('数据-汇总表'!$C19:$C33,'剩余法-商业'!K7,'数据-汇总表'!$E19:$E33)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5" t="s">
        <v>1848</v>
      </c>
      <c r="B10" s="2801" t="s">
        <v>474</v>
      </c>
      <c r="C10" s="3005">
        <f ca="1">'不动产收益法-商业'!B2</f>
        <v>343281</v>
      </c>
      <c r="D10" s="3005"/>
      <c r="E10" s="3005"/>
      <c r="F10" s="2816"/>
      <c r="G10" s="2816"/>
      <c r="H10" s="2816"/>
      <c r="I10" s="2816"/>
      <c r="J10" s="2816"/>
      <c r="K10" s="2817"/>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8" t="s">
        <v>1844</v>
      </c>
      <c r="B11" s="2808"/>
      <c r="C11" s="2808"/>
      <c r="D11" s="2808"/>
      <c r="E11" s="2808"/>
      <c r="F11" s="2808"/>
      <c r="G11" s="2808"/>
      <c r="H11" s="2808"/>
      <c r="I11" s="2808"/>
      <c r="J11" s="2808"/>
      <c r="K11" s="2810"/>
    </row>
    <row r="12" spans="1:31" s="2085" customFormat="1" ht="13.5" customHeight="1">
      <c r="A12" s="2819" t="s">
        <v>470</v>
      </c>
      <c r="B12" s="2791" t="s">
        <v>471</v>
      </c>
      <c r="C12" s="2820" t="s">
        <v>475</v>
      </c>
      <c r="D12" s="2787" t="s">
        <v>476</v>
      </c>
      <c r="E12" s="2787" t="s">
        <v>477</v>
      </c>
      <c r="F12" s="2787" t="s">
        <v>478</v>
      </c>
      <c r="G12" s="2791"/>
      <c r="H12" s="2792"/>
      <c r="I12" s="2792"/>
      <c r="J12" s="2792"/>
      <c r="K12" s="2793"/>
    </row>
    <row r="13" spans="1:31" s="2116" customFormat="1" ht="13.5" customHeight="1">
      <c r="A13" s="2821" t="s">
        <v>1849</v>
      </c>
      <c r="B13" s="2822" t="s">
        <v>479</v>
      </c>
      <c r="C13" s="450">
        <f ca="1">IF(B1="",'数据-取费表'!P16,INDIRECT("'数据-取费表'!p"&amp;$K$1)+INDIRECT("'数据-取费表'!t"&amp;$K$1))</f>
        <v>41018</v>
      </c>
      <c r="D13" s="2823"/>
      <c r="E13" s="2824"/>
      <c r="F13" s="2825"/>
      <c r="G13" s="2791"/>
      <c r="H13" s="2792"/>
      <c r="I13" s="2792"/>
      <c r="J13" s="2792"/>
      <c r="K13" s="2793"/>
    </row>
    <row r="14" spans="1:31" s="2116" customFormat="1" ht="13.5" customHeight="1">
      <c r="A14" s="2821" t="s">
        <v>1850</v>
      </c>
      <c r="B14" s="2822" t="s">
        <v>480</v>
      </c>
      <c r="C14" s="53">
        <f ca="1">ROUND(C13*F14,0)</f>
        <v>1231</v>
      </c>
      <c r="D14" s="2823"/>
      <c r="E14" s="2824"/>
      <c r="F14" s="2826">
        <f>'数据-取费表'!B33</f>
        <v>0.03</v>
      </c>
      <c r="G14" s="2791" t="s">
        <v>481</v>
      </c>
      <c r="H14" s="2792"/>
      <c r="I14" s="2792"/>
      <c r="J14" s="2792"/>
      <c r="K14" s="2793"/>
    </row>
    <row r="15" spans="1:31" s="2116"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v>
      </c>
      <c r="G15" s="2791" t="s">
        <v>483</v>
      </c>
      <c r="H15" s="2792"/>
      <c r="I15" s="2792"/>
      <c r="J15" s="2792"/>
      <c r="K15" s="2793"/>
    </row>
    <row r="16" spans="1:31" s="2117" customFormat="1" ht="13.5" customHeight="1">
      <c r="A16" s="2821" t="s">
        <v>1852</v>
      </c>
      <c r="B16" s="2822" t="s">
        <v>484</v>
      </c>
      <c r="C16" s="53">
        <f ca="1">ROUND(D16*E16/10000,0)</f>
        <v>1709</v>
      </c>
      <c r="D16" s="2823">
        <f ca="1">IF(B1="",'数据-汇总表'!E3,INDIRECT("'数据-取费表'!K"&amp;$K$1)+INDIRECT("'数据-取费表'!S"&amp;$K$1))</f>
        <v>85455</v>
      </c>
      <c r="E16" s="53">
        <f>'数据-取费表'!B35</f>
        <v>200</v>
      </c>
      <c r="F16" s="2826"/>
      <c r="G16" s="2791"/>
      <c r="H16" s="2792"/>
      <c r="I16" s="2792"/>
      <c r="J16" s="2792"/>
      <c r="K16" s="2793"/>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1" t="s">
        <v>1853</v>
      </c>
      <c r="B17" s="2822" t="s">
        <v>485</v>
      </c>
      <c r="C17" s="2827">
        <f ca="1">ROUND(C13*F17,0)</f>
        <v>615</v>
      </c>
      <c r="D17" s="475"/>
      <c r="E17" s="2827"/>
      <c r="F17" s="2828">
        <f>'数据-取费表'!B36</f>
        <v>1.4999999999999999E-2</v>
      </c>
      <c r="G17" s="261" t="s">
        <v>486</v>
      </c>
      <c r="H17" s="2794"/>
      <c r="I17" s="2794"/>
      <c r="J17" s="2794"/>
      <c r="K17" s="279"/>
    </row>
    <row r="18" spans="1:14" s="2116" customFormat="1" ht="13.5" customHeight="1">
      <c r="A18" s="2829" t="s">
        <v>1854</v>
      </c>
      <c r="B18" s="2830" t="s">
        <v>487</v>
      </c>
      <c r="C18" s="2831">
        <f ca="1">SUM(C13:C17)</f>
        <v>44573</v>
      </c>
      <c r="D18" s="2832"/>
      <c r="E18" s="468"/>
      <c r="F18" s="468"/>
      <c r="G18" s="2795" t="s">
        <v>2431</v>
      </c>
      <c r="H18" s="2796"/>
      <c r="I18" s="2796"/>
      <c r="J18" s="2796"/>
      <c r="K18" s="2797"/>
    </row>
    <row r="19" spans="1:14" s="2116" customFormat="1" ht="13.5" customHeight="1">
      <c r="A19" s="2829" t="s">
        <v>1855</v>
      </c>
      <c r="B19" s="2830" t="s">
        <v>488</v>
      </c>
      <c r="C19" s="2787">
        <f ca="1">ROUND(D19*E19/10000,0)</f>
        <v>171</v>
      </c>
      <c r="D19" s="2833">
        <f ca="1">D16</f>
        <v>85455</v>
      </c>
      <c r="E19" s="2787">
        <f>'数据-取费表'!B32</f>
        <v>20</v>
      </c>
      <c r="F19" s="468"/>
      <c r="G19" s="2791" t="s">
        <v>489</v>
      </c>
      <c r="H19" s="2792"/>
      <c r="I19" s="2796"/>
      <c r="J19" s="2796"/>
      <c r="K19" s="2797"/>
    </row>
    <row r="20" spans="1:14" s="2116" customFormat="1" ht="13.5" customHeight="1">
      <c r="A20" s="2829" t="s">
        <v>1856</v>
      </c>
      <c r="B20" s="2830" t="s">
        <v>490</v>
      </c>
      <c r="C20" s="2787">
        <f ca="1">C21+C22-IF(B1="",'数据-取费表'!B29,IF(G20="已全部缴纳",C21+C22,H20))</f>
        <v>1709</v>
      </c>
      <c r="D20" s="2833"/>
      <c r="E20" s="2787"/>
      <c r="F20" s="2834"/>
      <c r="G20" s="3064" t="s">
        <v>3039</v>
      </c>
      <c r="H20" s="2789"/>
      <c r="I20" s="2790" t="s">
        <v>2652</v>
      </c>
      <c r="J20" s="2796"/>
      <c r="K20" s="2797"/>
    </row>
    <row r="21" spans="1:14" s="2116" customFormat="1" ht="13.5" customHeight="1">
      <c r="A21" s="2821" t="s">
        <v>1857</v>
      </c>
      <c r="B21" s="2822" t="s">
        <v>491</v>
      </c>
      <c r="C21" s="53">
        <f ca="1">ROUND(D21*E21/10000,0)</f>
        <v>0</v>
      </c>
      <c r="D21" s="2823">
        <f ca="1">IF(B1="",'数据-汇总表'!E5,IF(INDIRECT("'数据-取费表'!c"&amp;$K$1)="住宅",INDIRECT("'数据-取费表'!k"&amp;$K$1),0))</f>
        <v>0</v>
      </c>
      <c r="E21" s="53">
        <f>'数据-取费表'!B27</f>
        <v>160</v>
      </c>
      <c r="F21" s="2826"/>
      <c r="G21" s="26"/>
      <c r="H21" s="51"/>
      <c r="I21" s="51"/>
      <c r="J21" s="51"/>
      <c r="K21" s="2798"/>
    </row>
    <row r="22" spans="1:14" s="2116" customFormat="1" ht="13.5" customHeight="1">
      <c r="A22" s="2821" t="s">
        <v>1858</v>
      </c>
      <c r="B22" s="2822" t="s">
        <v>492</v>
      </c>
      <c r="C22" s="53">
        <f ca="1">ROUND(D22*E22/10000,0)</f>
        <v>1709</v>
      </c>
      <c r="D22" s="2823">
        <f ca="1">IF(B1="",'数据-汇总表'!E6,IF(INDIRECT("'数据-取费表'!c"&amp;$K$1)="住宅",INDIRECT("'数据-取费表'!s"&amp;$K$1),INDIRECT("'数据-取费表'!k"&amp;$K$1)+INDIRECT("'数据-取费表'!s"&amp;$K$1)))</f>
        <v>85455</v>
      </c>
      <c r="E22" s="53">
        <f>'数据-取费表'!B28</f>
        <v>200</v>
      </c>
      <c r="F22" s="2826"/>
      <c r="G22" s="26"/>
      <c r="H22" s="51"/>
      <c r="I22" s="51"/>
      <c r="J22" s="51"/>
      <c r="K22" s="2798"/>
    </row>
    <row r="23" spans="1:14" s="2116" customFormat="1" ht="13.5" customHeight="1">
      <c r="A23" s="2829" t="s">
        <v>1859</v>
      </c>
      <c r="B23" s="3011" t="s">
        <v>2833</v>
      </c>
      <c r="C23" s="2831">
        <f ca="1">ROUND((C18+C19+C20)*F23,0)</f>
        <v>1394</v>
      </c>
      <c r="D23" s="468"/>
      <c r="E23" s="468"/>
      <c r="F23" s="2835">
        <f>'数据-取费表'!B37</f>
        <v>0.03</v>
      </c>
      <c r="G23" s="2791" t="s">
        <v>2432</v>
      </c>
      <c r="H23" s="2792"/>
      <c r="I23" s="2792"/>
      <c r="J23" s="2792"/>
      <c r="K23" s="2793"/>
      <c r="L23" s="2118"/>
      <c r="M23" s="2118"/>
      <c r="N23" s="2118"/>
    </row>
    <row r="24" spans="1:14" s="2116" customFormat="1" ht="13.5" customHeight="1">
      <c r="A24" s="2829" t="s">
        <v>1860</v>
      </c>
      <c r="B24" s="3011" t="s">
        <v>2836</v>
      </c>
      <c r="C24" s="2831">
        <f ca="1">ROUND(C6*F24,0)</f>
        <v>10298</v>
      </c>
      <c r="D24" s="475"/>
      <c r="E24" s="473"/>
      <c r="F24" s="2835">
        <f>'数据-取费表'!B38</f>
        <v>0.03</v>
      </c>
      <c r="G24" s="2800" t="s">
        <v>499</v>
      </c>
      <c r="H24" s="2794"/>
      <c r="I24" s="2794"/>
      <c r="J24" s="2794"/>
      <c r="K24" s="279"/>
      <c r="L24" s="2118"/>
      <c r="M24" s="2118"/>
      <c r="N24" s="2118"/>
    </row>
    <row r="25" spans="1:14" s="2119" customFormat="1" ht="13.5" customHeight="1">
      <c r="A25" s="2829" t="s">
        <v>1861</v>
      </c>
      <c r="B25" s="3011" t="s">
        <v>2834</v>
      </c>
      <c r="C25" s="467">
        <f>ROUND(F25/(1+'数据-取费表'!C42),4)</f>
        <v>2.9000000000000001E-2</v>
      </c>
      <c r="D25" s="462" t="s">
        <v>2828</v>
      </c>
      <c r="E25" s="469"/>
      <c r="F25" s="2835">
        <f>'数据-取费表'!B48+'数据-取费表'!B49</f>
        <v>3.0499999999999999E-2</v>
      </c>
      <c r="G25" s="2799" t="s">
        <v>2290</v>
      </c>
      <c r="H25" s="2792"/>
      <c r="I25" s="2792"/>
      <c r="J25" s="2792"/>
      <c r="K25" s="2793"/>
    </row>
    <row r="26" spans="1:14" s="2118" customFormat="1" ht="13.5" customHeight="1">
      <c r="A26" s="2829" t="s">
        <v>1862</v>
      </c>
      <c r="B26" s="3012" t="s">
        <v>2835</v>
      </c>
      <c r="C26" s="2836">
        <f ca="1">C28</f>
        <v>2762</v>
      </c>
      <c r="D26" s="467">
        <f ca="1">C27</f>
        <v>0.10009999999999999</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6"/>
      <c r="I26" s="2796"/>
      <c r="J26" s="2796"/>
      <c r="K26" s="2797"/>
    </row>
    <row r="27" spans="1:14" s="2120" customFormat="1" ht="13.5" customHeight="1">
      <c r="A27" s="803" t="s">
        <v>1857</v>
      </c>
      <c r="B27" s="2837" t="s">
        <v>496</v>
      </c>
      <c r="C27" s="2838">
        <f ca="1">ROUND(IF('数据-取费表'!B22&lt;=1,(1+C25)*F26*'数据-取费表'!B24,(1+C25)*(POWER((1+F26),'数据-取费表'!B24)-1)),4)</f>
        <v>0.10009999999999999</v>
      </c>
      <c r="D27" s="472"/>
      <c r="E27" s="473"/>
      <c r="F27" s="474"/>
      <c r="G27" s="2551" t="str">
        <f>IF('数据-取费表'!B22&lt;=1,"（1+取得税费率/(1+5%)）×年利率×建设期","（1+取得税费率）/(1+5%)×((1+年利率)^建设期-1)")</f>
        <v>（1+取得税费率）/(1+5%)×((1+年利率)^建设期-1)</v>
      </c>
      <c r="H27" s="2794"/>
      <c r="I27" s="2794"/>
      <c r="J27" s="2794"/>
      <c r="K27" s="279"/>
    </row>
    <row r="28" spans="1:14" s="2120" customFormat="1" ht="13.5" customHeight="1">
      <c r="A28" s="803" t="s">
        <v>1858</v>
      </c>
      <c r="B28" s="2837" t="s">
        <v>2837</v>
      </c>
      <c r="C28" s="2839">
        <f ca="1">ROUND(IF('数据-取费表'!B22&lt;=1,(C18+C19+C20+C23+C24)*F26*'数据-取费表'!B24/2,(C18+C19+C20+C23+C24)*(POWER((1+F26),'数据-取费表'!B24/2)-1)),0)</f>
        <v>2762</v>
      </c>
      <c r="D28" s="472"/>
      <c r="E28" s="473"/>
      <c r="F28" s="474"/>
      <c r="G28" s="2551" t="str">
        <f>IF('数据-取费表'!B22&lt;=1,"（1）-（4）项×年利率×建设期÷2","（1）-（4）项×((1+年利率)^(建设期÷2)-1)")</f>
        <v>（1）-（4）项×((1+年利率)^(建设期÷2)-1)</v>
      </c>
      <c r="H28" s="2794"/>
      <c r="I28" s="2794"/>
      <c r="J28" s="2794"/>
      <c r="K28" s="279"/>
    </row>
    <row r="29" spans="1:14" s="2120" customFormat="1" ht="13.5" customHeight="1">
      <c r="A29" s="2840" t="s">
        <v>1863</v>
      </c>
      <c r="B29" s="2830" t="s">
        <v>497</v>
      </c>
      <c r="C29" s="2831">
        <f ca="1">ROUND(C6*F29/(1+'数据-取费表'!C42),0)</f>
        <v>18308</v>
      </c>
      <c r="D29" s="468"/>
      <c r="E29" s="468"/>
      <c r="F29" s="3013">
        <f>'数据-取费表'!B41</f>
        <v>5.6000000000000001E-2</v>
      </c>
      <c r="G29" s="2800" t="s">
        <v>498</v>
      </c>
      <c r="H29" s="2792"/>
      <c r="I29" s="2792"/>
      <c r="J29" s="2792"/>
      <c r="K29" s="2793"/>
    </row>
    <row r="30" spans="1:14" s="2121" customFormat="1" ht="13.5" customHeight="1">
      <c r="A30" s="1635" t="s">
        <v>1864</v>
      </c>
      <c r="B30" s="2841" t="s">
        <v>500</v>
      </c>
      <c r="C30" s="2836">
        <f ca="1">C31</f>
        <v>79215</v>
      </c>
      <c r="D30" s="477">
        <f ca="1">C32</f>
        <v>0.12909999999999999</v>
      </c>
      <c r="E30" s="469" t="s">
        <v>495</v>
      </c>
      <c r="F30" s="471"/>
      <c r="G30" s="2799" t="s">
        <v>2970</v>
      </c>
      <c r="H30" s="2792"/>
      <c r="I30" s="2792"/>
      <c r="J30" s="2792"/>
      <c r="K30" s="2793"/>
      <c r="M30" s="2121">
        <f ca="1">'不动产收益法-商业'!C43</f>
        <v>40171</v>
      </c>
    </row>
    <row r="31" spans="1:14" s="2120" customFormat="1" ht="13.5" customHeight="1">
      <c r="A31" s="803" t="s">
        <v>1857</v>
      </c>
      <c r="B31" s="2837"/>
      <c r="C31" s="450">
        <f ca="1">C18+C19+C20+C23+C24+C26+C29</f>
        <v>79215</v>
      </c>
      <c r="D31" s="472"/>
      <c r="E31" s="473"/>
      <c r="F31" s="474"/>
      <c r="G31" s="261"/>
      <c r="H31" s="2794"/>
      <c r="I31" s="2794"/>
      <c r="J31" s="2794"/>
      <c r="K31" s="279"/>
    </row>
    <row r="32" spans="1:14" s="2120" customFormat="1" ht="13.5" customHeight="1">
      <c r="A32" s="803" t="s">
        <v>1858</v>
      </c>
      <c r="B32" s="2837"/>
      <c r="C32" s="53">
        <f ca="1">ROUND(C25+D26,4)</f>
        <v>0.12909999999999999</v>
      </c>
      <c r="D32" s="472"/>
      <c r="E32" s="473"/>
      <c r="F32" s="474"/>
      <c r="G32" s="261"/>
      <c r="H32" s="2794"/>
      <c r="I32" s="2794"/>
      <c r="J32" s="2794"/>
      <c r="K32" s="279"/>
    </row>
    <row r="33" spans="1:11" s="2122" customFormat="1" ht="13.5" customHeight="1">
      <c r="A33" s="3010" t="s">
        <v>2832</v>
      </c>
      <c r="B33" s="3008" t="s">
        <v>2830</v>
      </c>
      <c r="C33" s="478">
        <f ca="1">C35</f>
        <v>14536</v>
      </c>
      <c r="D33" s="467">
        <f ca="1">C34</f>
        <v>0.25729999999999997</v>
      </c>
      <c r="E33" s="469" t="s">
        <v>495</v>
      </c>
      <c r="F33" s="479">
        <f ca="1">IF(B1="",'数据-取费表'!Q16,INDIRECT("'数据-取费表'!q"&amp;$K$1))</f>
        <v>0.25</v>
      </c>
      <c r="G33" s="2795"/>
      <c r="H33" s="2796"/>
      <c r="I33" s="2796"/>
      <c r="J33" s="2796"/>
      <c r="K33" s="2797"/>
    </row>
    <row r="34" spans="1:11" s="2123" customFormat="1" ht="13.5" customHeight="1">
      <c r="A34" s="375" t="s">
        <v>1857</v>
      </c>
      <c r="B34" s="2842" t="s">
        <v>501</v>
      </c>
      <c r="C34" s="472">
        <f ca="1">ROUND((1+C25)*F33,4)</f>
        <v>0.25729999999999997</v>
      </c>
      <c r="D34" s="472"/>
      <c r="E34" s="473"/>
      <c r="F34" s="480"/>
      <c r="G34" s="261" t="s">
        <v>2291</v>
      </c>
      <c r="H34" s="2794"/>
      <c r="I34" s="2794"/>
      <c r="J34" s="2794"/>
      <c r="K34" s="279"/>
    </row>
    <row r="35" spans="1:11" s="2123" customFormat="1" ht="13.5" customHeight="1" thickBot="1">
      <c r="A35" s="1636" t="s">
        <v>1858</v>
      </c>
      <c r="B35" s="3009" t="s">
        <v>2838</v>
      </c>
      <c r="C35" s="1628">
        <f ca="1">ROUND((C18+C19+C20+C23+C24)*F33,0)</f>
        <v>14536</v>
      </c>
      <c r="D35" s="1629"/>
      <c r="E35" s="2843"/>
      <c r="F35" s="1630"/>
      <c r="G35" s="2801"/>
      <c r="H35" s="2802"/>
      <c r="I35" s="2802"/>
      <c r="J35" s="2802"/>
      <c r="K35" s="2803"/>
    </row>
    <row r="36" spans="1:11" s="2085" customFormat="1" ht="13.5" customHeight="1" thickBot="1">
      <c r="A36" s="284" t="s">
        <v>1845</v>
      </c>
      <c r="B36" s="2805"/>
      <c r="C36" s="2844">
        <f ca="1">ROUND((C6-C30-C33)/(1+D30+D33),0)</f>
        <v>179984</v>
      </c>
      <c r="D36" s="2805"/>
      <c r="E36" s="2805"/>
      <c r="F36" s="2805"/>
      <c r="G36" s="2804" t="s">
        <v>2839</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21.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A90" zoomScale="90" zoomScaleNormal="90" workbookViewId="0">
      <selection activeCell="K32" sqref="K32"/>
    </sheetView>
  </sheetViews>
  <sheetFormatPr defaultColWidth="9" defaultRowHeight="14.25"/>
  <cols>
    <col min="1" max="1" width="10.5" style="1336" customWidth="1"/>
    <col min="2" max="3" width="15.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49" t="s">
        <v>3000</v>
      </c>
      <c r="E1" s="506"/>
      <c r="F1" s="2786" t="s">
        <v>2855</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f>ROUND(B3*D3/10000,0)</f>
        <v>88</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519</v>
      </c>
      <c r="B3" s="510">
        <f>C49</f>
        <v>10.3</v>
      </c>
      <c r="C3" s="852" t="s">
        <v>722</v>
      </c>
      <c r="D3" s="851">
        <f>SUMIF('数据-汇总表'!$C19:$C33,D1,'数据-汇总表'!$E19:$E33)</f>
        <v>85455</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521</v>
      </c>
      <c r="B4" s="513"/>
      <c r="C4" s="3486" t="s">
        <v>522</v>
      </c>
      <c r="D4" s="3487"/>
      <c r="E4" s="3488" t="s">
        <v>523</v>
      </c>
      <c r="F4" s="3489"/>
      <c r="G4" s="3486" t="s">
        <v>524</v>
      </c>
      <c r="H4" s="3487"/>
      <c r="I4" s="3486" t="s">
        <v>525</v>
      </c>
      <c r="J4" s="3487"/>
      <c r="K4" s="514" t="s">
        <v>526</v>
      </c>
      <c r="L4" s="2133"/>
      <c r="M4" s="2134"/>
      <c r="N4" s="2134"/>
      <c r="O4" s="2134"/>
      <c r="P4" s="3490" t="s">
        <v>527</v>
      </c>
      <c r="Q4" s="3491"/>
      <c r="R4" s="3496" t="s">
        <v>523</v>
      </c>
      <c r="S4" s="3497"/>
      <c r="T4" s="3496" t="s">
        <v>524</v>
      </c>
      <c r="U4" s="3497"/>
      <c r="V4" s="3502" t="s">
        <v>525</v>
      </c>
      <c r="W4" s="3502"/>
      <c r="X4" s="1567"/>
      <c r="Y4" s="3496" t="s">
        <v>527</v>
      </c>
      <c r="Z4" s="3497"/>
      <c r="AA4" s="3483" t="s">
        <v>523</v>
      </c>
      <c r="AB4" s="3502" t="s">
        <v>524</v>
      </c>
      <c r="AC4" s="3483" t="s">
        <v>525</v>
      </c>
    </row>
    <row r="5" spans="1:29" ht="15">
      <c r="A5" s="515"/>
      <c r="B5" s="516"/>
      <c r="C5" s="3510" t="s">
        <v>2926</v>
      </c>
      <c r="D5" s="3506"/>
      <c r="E5" s="3513" t="s">
        <v>3133</v>
      </c>
      <c r="F5" s="3514"/>
      <c r="G5" s="3505" t="s">
        <v>3127</v>
      </c>
      <c r="H5" s="3506"/>
      <c r="I5" s="3505" t="s">
        <v>3128</v>
      </c>
      <c r="J5" s="3506"/>
      <c r="K5" s="514"/>
      <c r="L5" s="2133"/>
      <c r="M5" s="2134"/>
      <c r="N5" s="2134"/>
      <c r="O5" s="2134"/>
      <c r="P5" s="3492"/>
      <c r="Q5" s="3493"/>
      <c r="R5" s="3498"/>
      <c r="S5" s="3499"/>
      <c r="T5" s="3498"/>
      <c r="U5" s="3499"/>
      <c r="V5" s="3502"/>
      <c r="W5" s="3502"/>
      <c r="X5" s="1567"/>
      <c r="Y5" s="3498"/>
      <c r="Z5" s="3499"/>
      <c r="AA5" s="3484"/>
      <c r="AB5" s="3502"/>
      <c r="AC5" s="3484"/>
    </row>
    <row r="6" spans="1:29" ht="15.75" thickBot="1">
      <c r="A6" s="517"/>
      <c r="B6" s="518"/>
      <c r="C6" s="3503" t="s">
        <v>2930</v>
      </c>
      <c r="D6" s="3504"/>
      <c r="E6" s="3511" t="s">
        <v>2930</v>
      </c>
      <c r="F6" s="3512"/>
      <c r="G6" s="3503" t="s">
        <v>2930</v>
      </c>
      <c r="H6" s="3504"/>
      <c r="I6" s="3503" t="s">
        <v>2930</v>
      </c>
      <c r="J6" s="3504"/>
      <c r="K6" s="514" t="s">
        <v>528</v>
      </c>
      <c r="L6" s="2133"/>
      <c r="M6" s="2134"/>
      <c r="N6" s="2134"/>
      <c r="O6" s="2134"/>
      <c r="P6" s="3494"/>
      <c r="Q6" s="3495"/>
      <c r="R6" s="3498"/>
      <c r="S6" s="3499"/>
      <c r="T6" s="3500"/>
      <c r="U6" s="3501"/>
      <c r="V6" s="3502"/>
      <c r="W6" s="3502"/>
      <c r="X6" s="1567"/>
      <c r="Y6" s="3500"/>
      <c r="Z6" s="3501"/>
      <c r="AA6" s="3485"/>
      <c r="AB6" s="3502"/>
      <c r="AC6" s="3485"/>
    </row>
    <row r="7" spans="1:29" s="1219" customFormat="1" ht="15.75" thickBot="1">
      <c r="A7" s="2891"/>
      <c r="B7" s="2898" t="s">
        <v>529</v>
      </c>
      <c r="C7" s="519">
        <f>'数据-取费表'!B2</f>
        <v>43388</v>
      </c>
      <c r="D7" s="520">
        <v>100</v>
      </c>
      <c r="E7" s="521">
        <v>43344</v>
      </c>
      <c r="F7" s="522">
        <f>SUMIF(58:58,YEAR(E7)&amp;"-"&amp;MONTH(E7),59:59)</f>
        <v>100</v>
      </c>
      <c r="G7" s="521">
        <v>43282</v>
      </c>
      <c r="H7" s="520">
        <f>SUMIF(58:58,YEAR(G7)&amp;"-"&amp;MONTH(G7),59:59)</f>
        <v>100</v>
      </c>
      <c r="I7" s="521">
        <v>43282</v>
      </c>
      <c r="J7" s="520">
        <f>SUMIF(58:58,YEAR(I7)&amp;"-"&amp;MONTH(I7),59:59)</f>
        <v>100</v>
      </c>
      <c r="K7" s="524"/>
      <c r="L7" s="2135"/>
      <c r="M7" s="2136"/>
      <c r="N7" s="2136"/>
      <c r="O7" s="2136"/>
      <c r="P7" s="3507" t="s">
        <v>530</v>
      </c>
      <c r="Q7" s="3509"/>
      <c r="R7" s="1568" t="s">
        <v>8</v>
      </c>
      <c r="S7" s="1569">
        <f t="shared" ref="S7:S15" si="0">F7</f>
        <v>100</v>
      </c>
      <c r="T7" s="1568" t="s">
        <v>8</v>
      </c>
      <c r="U7" s="1569">
        <f t="shared" ref="U7:U15" si="1">H7</f>
        <v>100</v>
      </c>
      <c r="V7" s="1568" t="s">
        <v>8</v>
      </c>
      <c r="W7" s="1569">
        <f t="shared" ref="W7:W15" si="2">J7</f>
        <v>100</v>
      </c>
      <c r="X7" s="1570"/>
      <c r="Y7" s="3507" t="s">
        <v>530</v>
      </c>
      <c r="Z7" s="3508"/>
      <c r="AA7" s="1571">
        <f>D7/F7</f>
        <v>1</v>
      </c>
      <c r="AB7" s="1571">
        <f>D7/H7</f>
        <v>1</v>
      </c>
      <c r="AC7" s="1571">
        <f>D7/J7</f>
        <v>1</v>
      </c>
    </row>
    <row r="8" spans="1:29" s="1219" customFormat="1" ht="15.75" thickBot="1">
      <c r="A8" s="2892"/>
      <c r="B8" s="2899"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524"/>
      <c r="L8" s="2135"/>
      <c r="M8" s="2136"/>
      <c r="N8" s="2136"/>
      <c r="O8" s="2136"/>
      <c r="P8" s="3507" t="s">
        <v>533</v>
      </c>
      <c r="Q8" s="3508"/>
      <c r="R8" s="1568" t="s">
        <v>8</v>
      </c>
      <c r="S8" s="1569">
        <f t="shared" si="0"/>
        <v>100</v>
      </c>
      <c r="T8" s="1568" t="s">
        <v>8</v>
      </c>
      <c r="U8" s="1569">
        <f t="shared" si="1"/>
        <v>100</v>
      </c>
      <c r="V8" s="1568" t="s">
        <v>8</v>
      </c>
      <c r="W8" s="1569">
        <f t="shared" si="2"/>
        <v>100</v>
      </c>
      <c r="X8" s="1570"/>
      <c r="Y8" s="3507" t="s">
        <v>533</v>
      </c>
      <c r="Z8" s="3508"/>
      <c r="AA8" s="1571">
        <f t="shared" ref="AA8:AA46" si="3">D8/F8</f>
        <v>1</v>
      </c>
      <c r="AB8" s="1571">
        <f t="shared" ref="AB8:AB46" si="4">D8/H8</f>
        <v>1</v>
      </c>
      <c r="AC8" s="1571">
        <f t="shared" ref="AC8:AC46" si="5">D8/J8</f>
        <v>1</v>
      </c>
    </row>
    <row r="9" spans="1:29" s="1219" customFormat="1" ht="15">
      <c r="A9" s="2893"/>
      <c r="B9" s="2900" t="s">
        <v>2757</v>
      </c>
      <c r="C9" s="3200" t="s">
        <v>3014</v>
      </c>
      <c r="D9" s="254">
        <v>100</v>
      </c>
      <c r="E9" s="3201" t="s">
        <v>3016</v>
      </c>
      <c r="F9" s="254">
        <f>SUMIF(63:63,E9,64:64)-SUMIF(63:63,C9,64:64)+100</f>
        <v>100</v>
      </c>
      <c r="G9" s="3201" t="s">
        <v>3016</v>
      </c>
      <c r="H9" s="254">
        <f>SUMIF(63:63,G9,64:64)-SUMIF(63:63,C9,64:64)+100</f>
        <v>100</v>
      </c>
      <c r="I9" s="3201" t="s">
        <v>3016</v>
      </c>
      <c r="J9" s="254">
        <f>SUMIF(63:63,I9,64:64)-SUMIF(63:63,C9,64:64)+100</f>
        <v>100</v>
      </c>
      <c r="K9" s="524"/>
      <c r="L9" s="2135"/>
      <c r="M9" s="2136"/>
      <c r="N9" s="2136"/>
      <c r="O9" s="2137"/>
      <c r="P9" s="3473" t="s">
        <v>535</v>
      </c>
      <c r="Q9" s="1151" t="str">
        <f t="shared" ref="Q9:Q15" si="6">B9</f>
        <v>用途</v>
      </c>
      <c r="R9" s="1568" t="s">
        <v>8</v>
      </c>
      <c r="S9" s="1569">
        <f t="shared" si="0"/>
        <v>100</v>
      </c>
      <c r="T9" s="1568" t="s">
        <v>8</v>
      </c>
      <c r="U9" s="1569">
        <f t="shared" si="1"/>
        <v>100</v>
      </c>
      <c r="V9" s="1568" t="s">
        <v>8</v>
      </c>
      <c r="W9" s="1569">
        <f t="shared" si="2"/>
        <v>100</v>
      </c>
      <c r="X9" s="1570"/>
      <c r="Y9" s="3434" t="s">
        <v>536</v>
      </c>
      <c r="Z9" s="1150" t="str">
        <f t="shared" ref="Z9:Z15" si="7">Q9</f>
        <v>用途</v>
      </c>
      <c r="AA9" s="1571">
        <f t="shared" si="3"/>
        <v>1</v>
      </c>
      <c r="AB9" s="1571">
        <f t="shared" si="4"/>
        <v>1</v>
      </c>
      <c r="AC9" s="1571">
        <f t="shared" si="5"/>
        <v>1</v>
      </c>
    </row>
    <row r="10" spans="1:29" s="1337" customFormat="1" ht="27.75" thickBot="1">
      <c r="A10" s="2894"/>
      <c r="B10" s="2899" t="s">
        <v>2758</v>
      </c>
      <c r="C10" s="861" t="s">
        <v>3041</v>
      </c>
      <c r="D10" s="255">
        <v>100</v>
      </c>
      <c r="E10" s="861" t="s">
        <v>3146</v>
      </c>
      <c r="F10" s="255">
        <f>SUMIF(65:65,E10,66:66)-SUMIF(65:65,C10,66:66)+100</f>
        <v>99.5</v>
      </c>
      <c r="G10" s="861" t="s">
        <v>3146</v>
      </c>
      <c r="H10" s="255">
        <f>SUMIF(65:65,G10,66:66)-SUMIF(65:65,C10,66:66)+100</f>
        <v>99.5</v>
      </c>
      <c r="I10" s="861" t="s">
        <v>3146</v>
      </c>
      <c r="J10" s="255">
        <f>SUMIF(65:65,I10,66:66)-SUMIF(65:65,C10,66:66)+100</f>
        <v>99.5</v>
      </c>
      <c r="K10" s="3258">
        <v>0.5</v>
      </c>
      <c r="L10" s="2138"/>
      <c r="M10" s="2178"/>
      <c r="N10" s="2178"/>
      <c r="O10" s="2139"/>
      <c r="P10" s="3473"/>
      <c r="Q10" s="1151" t="str">
        <f t="shared" si="6"/>
        <v>土地使用年限（年）</v>
      </c>
      <c r="R10" s="1568" t="s">
        <v>8</v>
      </c>
      <c r="S10" s="1569">
        <f t="shared" si="0"/>
        <v>99.5</v>
      </c>
      <c r="T10" s="1568" t="s">
        <v>8</v>
      </c>
      <c r="U10" s="1569">
        <f t="shared" si="1"/>
        <v>99.5</v>
      </c>
      <c r="V10" s="1568" t="s">
        <v>8</v>
      </c>
      <c r="W10" s="1569">
        <f t="shared" si="2"/>
        <v>99.5</v>
      </c>
      <c r="X10" s="1570"/>
      <c r="Y10" s="3434"/>
      <c r="Z10" s="1150" t="str">
        <f t="shared" si="7"/>
        <v>土地使用年限（年）</v>
      </c>
      <c r="AA10" s="1571">
        <f t="shared" si="3"/>
        <v>1.0050251256281406</v>
      </c>
      <c r="AB10" s="1571">
        <f t="shared" si="4"/>
        <v>1.0050251256281406</v>
      </c>
      <c r="AC10" s="1571">
        <f t="shared" si="5"/>
        <v>1.0050251256281406</v>
      </c>
    </row>
    <row r="11" spans="1:29" ht="15" hidden="1">
      <c r="A11" s="2895"/>
      <c r="B11" s="2899" t="s">
        <v>2759</v>
      </c>
      <c r="C11" s="533">
        <v>1</v>
      </c>
      <c r="D11" s="255">
        <v>100</v>
      </c>
      <c r="E11" s="533">
        <v>1</v>
      </c>
      <c r="F11" s="255">
        <f>LOOKUP(E11,68:68,69:69)-LOOKUP(C11,68:68,69:69)+100</f>
        <v>100</v>
      </c>
      <c r="G11" s="534">
        <v>1</v>
      </c>
      <c r="H11" s="255">
        <f>LOOKUP(G11,68:68,69:69)-LOOKUP(C11,68:68,69:69)+100</f>
        <v>100</v>
      </c>
      <c r="I11" s="533">
        <v>1</v>
      </c>
      <c r="J11" s="255">
        <f>LOOKUP(I11,68:68,69:69)-LOOKUP(C11,68:68,69:69)+100</f>
        <v>100</v>
      </c>
      <c r="K11" s="584"/>
      <c r="L11" s="2140"/>
      <c r="M11" s="2134"/>
      <c r="N11" s="2134"/>
      <c r="O11" s="2141"/>
      <c r="P11" s="3473"/>
      <c r="Q11" s="1151" t="str">
        <f t="shared" si="6"/>
        <v>容积率</v>
      </c>
      <c r="R11" s="1568" t="s">
        <v>8</v>
      </c>
      <c r="S11" s="1569">
        <f t="shared" si="0"/>
        <v>100</v>
      </c>
      <c r="T11" s="1568" t="s">
        <v>8</v>
      </c>
      <c r="U11" s="1569">
        <f t="shared" si="1"/>
        <v>100</v>
      </c>
      <c r="V11" s="1568" t="s">
        <v>8</v>
      </c>
      <c r="W11" s="1569">
        <f t="shared" si="2"/>
        <v>100</v>
      </c>
      <c r="X11" s="1570"/>
      <c r="Y11" s="3434"/>
      <c r="Z11" s="1150" t="str">
        <f t="shared" si="7"/>
        <v>容积率</v>
      </c>
      <c r="AA11" s="1571">
        <f t="shared" si="3"/>
        <v>1</v>
      </c>
      <c r="AB11" s="1571">
        <f t="shared" si="4"/>
        <v>1</v>
      </c>
      <c r="AC11" s="1571">
        <f t="shared" si="5"/>
        <v>1</v>
      </c>
    </row>
    <row r="12" spans="1:29" s="1219" customFormat="1" ht="15" hidden="1">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73"/>
      <c r="Q12" s="1151">
        <f t="shared" si="6"/>
        <v>111</v>
      </c>
      <c r="R12" s="1568" t="s">
        <v>8</v>
      </c>
      <c r="S12" s="1569">
        <f t="shared" si="0"/>
        <v>100</v>
      </c>
      <c r="T12" s="1568" t="s">
        <v>8</v>
      </c>
      <c r="U12" s="1569">
        <f t="shared" si="1"/>
        <v>100</v>
      </c>
      <c r="V12" s="1568" t="s">
        <v>8</v>
      </c>
      <c r="W12" s="1569">
        <f t="shared" si="2"/>
        <v>100</v>
      </c>
      <c r="X12" s="1570"/>
      <c r="Y12" s="3434"/>
      <c r="Z12" s="1150">
        <f t="shared" si="7"/>
        <v>111</v>
      </c>
      <c r="AA12" s="1571">
        <f>D12/F12</f>
        <v>1</v>
      </c>
      <c r="AB12" s="1571">
        <f>D12/H12</f>
        <v>1</v>
      </c>
      <c r="AC12" s="1571">
        <f>D12/J12</f>
        <v>1</v>
      </c>
    </row>
    <row r="13" spans="1:29" ht="15" hidden="1">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73"/>
      <c r="Q13" s="1151">
        <f t="shared" si="6"/>
        <v>111</v>
      </c>
      <c r="R13" s="1568" t="s">
        <v>8</v>
      </c>
      <c r="S13" s="1569">
        <f t="shared" si="0"/>
        <v>100</v>
      </c>
      <c r="T13" s="1568" t="s">
        <v>8</v>
      </c>
      <c r="U13" s="1569">
        <f t="shared" si="1"/>
        <v>100</v>
      </c>
      <c r="V13" s="1568" t="s">
        <v>8</v>
      </c>
      <c r="W13" s="1569">
        <f t="shared" si="2"/>
        <v>100</v>
      </c>
      <c r="X13" s="1570"/>
      <c r="Y13" s="3434"/>
      <c r="Z13" s="1150">
        <f t="shared" si="7"/>
        <v>111</v>
      </c>
      <c r="AA13" s="1571">
        <f t="shared" si="3"/>
        <v>1</v>
      </c>
      <c r="AB13" s="1571">
        <f t="shared" si="4"/>
        <v>1</v>
      </c>
      <c r="AC13" s="1571">
        <f t="shared" si="5"/>
        <v>1</v>
      </c>
    </row>
    <row r="14" spans="1:29" ht="15.75" hidden="1"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73"/>
      <c r="Q14" s="1151">
        <f t="shared" si="6"/>
        <v>111</v>
      </c>
      <c r="R14" s="1568" t="s">
        <v>8</v>
      </c>
      <c r="S14" s="1569">
        <f t="shared" si="0"/>
        <v>100</v>
      </c>
      <c r="T14" s="1568" t="s">
        <v>8</v>
      </c>
      <c r="U14" s="1569">
        <f t="shared" si="1"/>
        <v>100</v>
      </c>
      <c r="V14" s="1568" t="s">
        <v>8</v>
      </c>
      <c r="W14" s="1569">
        <f t="shared" si="2"/>
        <v>100</v>
      </c>
      <c r="X14" s="1570"/>
      <c r="Y14" s="3434"/>
      <c r="Z14" s="1150">
        <f t="shared" si="7"/>
        <v>111</v>
      </c>
      <c r="AA14" s="1571">
        <f t="shared" si="3"/>
        <v>1</v>
      </c>
      <c r="AB14" s="1571">
        <f t="shared" si="4"/>
        <v>1</v>
      </c>
      <c r="AC14" s="1571">
        <f t="shared" si="5"/>
        <v>1</v>
      </c>
    </row>
    <row r="15" spans="1:29" ht="71.25">
      <c r="A15" s="2889" t="s">
        <v>2755</v>
      </c>
      <c r="B15" s="166" t="s">
        <v>541</v>
      </c>
      <c r="C15" s="867" t="str">
        <f>估价对象房地状况!C4</f>
        <v>估价对象位于酒仙桥商圈，周边商业氛围较成熟，人流量较大，商业繁华度较好</v>
      </c>
      <c r="D15" s="549">
        <v>100</v>
      </c>
      <c r="E15" s="576" t="s">
        <v>3018</v>
      </c>
      <c r="F15" s="551">
        <f>SUMIF(76:76,E16,77:77)-SUMIF(76:76,C16,77:77)+100</f>
        <v>100</v>
      </c>
      <c r="G15" s="552"/>
      <c r="H15" s="549">
        <f>SUMIF(76:76,G16,77:77)-SUMIF(76:76,C16,77:77)+100</f>
        <v>100</v>
      </c>
      <c r="I15" s="550"/>
      <c r="J15" s="549">
        <f>SUMIF(76:76,I16,77:77)-SUMIF(76:76,C16,77:77)+100</f>
        <v>100</v>
      </c>
      <c r="K15" s="898"/>
      <c r="L15" s="2142"/>
      <c r="M15" s="2134"/>
      <c r="N15" s="2134"/>
      <c r="O15" s="2141"/>
      <c r="P15" s="3478" t="s">
        <v>540</v>
      </c>
      <c r="Q15" s="1572" t="str">
        <f t="shared" si="6"/>
        <v>商业繁华度</v>
      </c>
      <c r="R15" s="1573" t="s">
        <v>8</v>
      </c>
      <c r="S15" s="1574">
        <f t="shared" si="0"/>
        <v>100</v>
      </c>
      <c r="T15" s="1573" t="s">
        <v>8</v>
      </c>
      <c r="U15" s="1574">
        <f t="shared" si="1"/>
        <v>100</v>
      </c>
      <c r="V15" s="1573" t="s">
        <v>8</v>
      </c>
      <c r="W15" s="1574">
        <f t="shared" si="2"/>
        <v>100</v>
      </c>
      <c r="X15" s="1567"/>
      <c r="Y15" s="3478" t="s">
        <v>540</v>
      </c>
      <c r="Z15" s="1575" t="str">
        <f t="shared" si="7"/>
        <v>商业繁华度</v>
      </c>
      <c r="AA15" s="1576">
        <f t="shared" si="3"/>
        <v>1</v>
      </c>
      <c r="AB15" s="1576">
        <f t="shared" si="4"/>
        <v>1</v>
      </c>
      <c r="AC15" s="1576">
        <f t="shared" si="5"/>
        <v>1</v>
      </c>
    </row>
    <row r="16" spans="1:29" ht="15">
      <c r="A16" s="532"/>
      <c r="B16" s="869"/>
      <c r="C16" s="576" t="s">
        <v>3018</v>
      </c>
      <c r="D16" s="555"/>
      <c r="E16" s="576" t="s">
        <v>3018</v>
      </c>
      <c r="F16" s="557"/>
      <c r="G16" s="576" t="s">
        <v>3018</v>
      </c>
      <c r="H16" s="559"/>
      <c r="I16" s="576" t="s">
        <v>3018</v>
      </c>
      <c r="J16" s="555"/>
      <c r="K16" s="899"/>
      <c r="L16" s="2142"/>
      <c r="M16" s="2134"/>
      <c r="N16" s="2134"/>
      <c r="O16" s="2141"/>
      <c r="P16" s="3479"/>
      <c r="Q16" s="1572"/>
      <c r="R16" s="1573"/>
      <c r="S16" s="1574"/>
      <c r="T16" s="1573"/>
      <c r="U16" s="1574"/>
      <c r="V16" s="1573"/>
      <c r="W16" s="1574"/>
      <c r="X16" s="1567"/>
      <c r="Y16" s="3479"/>
      <c r="Z16" s="1575"/>
      <c r="AA16" s="1576">
        <v>1</v>
      </c>
      <c r="AB16" s="1576">
        <v>1</v>
      </c>
      <c r="AC16" s="1576">
        <v>1</v>
      </c>
    </row>
    <row r="17" spans="1:29" ht="142.5">
      <c r="A17" s="532"/>
      <c r="B17" s="871" t="s">
        <v>296</v>
      </c>
      <c r="C17" s="872" t="str">
        <f>估价对象房地状况!C6</f>
        <v>估价对象周边有445路、516路、659路、983路等多条公交线路经过，距14号线地铁（将台站）约300米，道路状况较好、公共交通通达情况较好、综合评价交通便捷度较好。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79"/>
      <c r="Q17" s="1572" t="str">
        <f>B17</f>
        <v>交通便捷度</v>
      </c>
      <c r="R17" s="1573" t="s">
        <v>8</v>
      </c>
      <c r="S17" s="1574">
        <f>F17</f>
        <v>100</v>
      </c>
      <c r="T17" s="1573" t="s">
        <v>8</v>
      </c>
      <c r="U17" s="1574">
        <f>H17</f>
        <v>100</v>
      </c>
      <c r="V17" s="1573" t="s">
        <v>8</v>
      </c>
      <c r="W17" s="1574">
        <f>J17</f>
        <v>100</v>
      </c>
      <c r="X17" s="1567"/>
      <c r="Y17" s="3479"/>
      <c r="Z17" s="1575" t="str">
        <f>Q17</f>
        <v>交通便捷度</v>
      </c>
      <c r="AA17" s="1576">
        <f t="shared" si="3"/>
        <v>1</v>
      </c>
      <c r="AB17" s="1576">
        <f t="shared" si="4"/>
        <v>1</v>
      </c>
      <c r="AC17" s="1576">
        <f t="shared" si="5"/>
        <v>1</v>
      </c>
    </row>
    <row r="18" spans="1:29" ht="15">
      <c r="A18" s="532"/>
      <c r="B18" s="595"/>
      <c r="C18" s="873" t="s">
        <v>3018</v>
      </c>
      <c r="D18" s="559"/>
      <c r="E18" s="576" t="s">
        <v>3018</v>
      </c>
      <c r="F18" s="563"/>
      <c r="G18" s="576" t="s">
        <v>3018</v>
      </c>
      <c r="H18" s="555"/>
      <c r="I18" s="576" t="s">
        <v>3018</v>
      </c>
      <c r="J18" s="555"/>
      <c r="K18" s="899"/>
      <c r="L18" s="2142"/>
      <c r="M18" s="2134"/>
      <c r="N18" s="2134"/>
      <c r="O18" s="2141"/>
      <c r="P18" s="3479"/>
      <c r="Q18" s="1572"/>
      <c r="R18" s="1573"/>
      <c r="S18" s="1574"/>
      <c r="T18" s="1573"/>
      <c r="U18" s="1574"/>
      <c r="V18" s="1573"/>
      <c r="W18" s="1574"/>
      <c r="X18" s="1567"/>
      <c r="Y18" s="3479"/>
      <c r="Z18" s="1575"/>
      <c r="AA18" s="1576">
        <v>1</v>
      </c>
      <c r="AB18" s="1576">
        <v>1</v>
      </c>
      <c r="AC18" s="1576">
        <v>1</v>
      </c>
    </row>
    <row r="19" spans="1:29" ht="42.75">
      <c r="A19" s="532"/>
      <c r="B19" s="2579" t="s">
        <v>2547</v>
      </c>
      <c r="C19" s="872" t="str">
        <f>估价对象房地状况!C7</f>
        <v>估价对象所在区域公共配套设施齐备度较好</v>
      </c>
      <c r="D19" s="565">
        <v>100</v>
      </c>
      <c r="E19" s="570"/>
      <c r="F19" s="571">
        <f>SUMIF(80:80,E20,81:81)-SUMIF(80:80,C20,81:81)+100</f>
        <v>100</v>
      </c>
      <c r="G19" s="572"/>
      <c r="H19" s="559">
        <f>SUMIF(80:80,G20,81:81)-SUMIF(80:80,C20,81:81)+100</f>
        <v>100</v>
      </c>
      <c r="I19" s="576" t="s">
        <v>3018</v>
      </c>
      <c r="J19" s="559">
        <f>SUMIF(80:80,I20,81:81)-SUMIF(80:80,C20,81:81)+100</f>
        <v>100</v>
      </c>
      <c r="K19" s="898"/>
      <c r="L19" s="2142"/>
      <c r="M19" s="2134"/>
      <c r="N19" s="2134"/>
      <c r="O19" s="2141"/>
      <c r="P19" s="3479"/>
      <c r="Q19" s="1572" t="str">
        <f>B19</f>
        <v>公共配套设施</v>
      </c>
      <c r="R19" s="1573" t="s">
        <v>8</v>
      </c>
      <c r="S19" s="1574">
        <f>F19</f>
        <v>100</v>
      </c>
      <c r="T19" s="1573" t="s">
        <v>8</v>
      </c>
      <c r="U19" s="1574">
        <f>H19</f>
        <v>100</v>
      </c>
      <c r="V19" s="1573" t="s">
        <v>8</v>
      </c>
      <c r="W19" s="1574">
        <f>J19</f>
        <v>100</v>
      </c>
      <c r="X19" s="1567"/>
      <c r="Y19" s="3479"/>
      <c r="Z19" s="1575" t="str">
        <f>Q19</f>
        <v>公共配套设施</v>
      </c>
      <c r="AA19" s="1576">
        <f t="shared" si="3"/>
        <v>1</v>
      </c>
      <c r="AB19" s="1576">
        <f t="shared" si="4"/>
        <v>1</v>
      </c>
      <c r="AC19" s="1576">
        <f t="shared" si="5"/>
        <v>1</v>
      </c>
    </row>
    <row r="20" spans="1:29" ht="15">
      <c r="A20" s="532"/>
      <c r="B20" s="595"/>
      <c r="C20" s="576" t="s">
        <v>3018</v>
      </c>
      <c r="D20" s="555"/>
      <c r="E20" s="576" t="s">
        <v>3018</v>
      </c>
      <c r="F20" s="557"/>
      <c r="G20" s="576" t="s">
        <v>3018</v>
      </c>
      <c r="H20" s="555"/>
      <c r="I20" s="576" t="s">
        <v>3018</v>
      </c>
      <c r="J20" s="555"/>
      <c r="K20" s="899"/>
      <c r="L20" s="2142"/>
      <c r="M20" s="2134"/>
      <c r="N20" s="2134"/>
      <c r="O20" s="2141"/>
      <c r="P20" s="3479"/>
      <c r="Q20" s="1572"/>
      <c r="R20" s="1573"/>
      <c r="S20" s="1574"/>
      <c r="T20" s="1573"/>
      <c r="U20" s="1574"/>
      <c r="V20" s="1573"/>
      <c r="W20" s="1574"/>
      <c r="X20" s="1567"/>
      <c r="Y20" s="3479"/>
      <c r="Z20" s="1575"/>
      <c r="AA20" s="1576">
        <v>1</v>
      </c>
      <c r="AB20" s="1576">
        <v>1</v>
      </c>
      <c r="AC20" s="1576">
        <v>1</v>
      </c>
    </row>
    <row r="21" spans="1:29" ht="42.75">
      <c r="A21" s="532"/>
      <c r="B21" s="2572" t="s">
        <v>2559</v>
      </c>
      <c r="C21" s="872" t="str">
        <f>估价对象房地状况!C8</f>
        <v>估价对象所在区域基础设施水平达到七通一平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79"/>
      <c r="Q21" s="2558" t="str">
        <f>B21</f>
        <v>基础设施水平</v>
      </c>
      <c r="R21" s="1573" t="s">
        <v>8</v>
      </c>
      <c r="S21" s="1574">
        <f>F21</f>
        <v>100</v>
      </c>
      <c r="T21" s="1573" t="s">
        <v>8</v>
      </c>
      <c r="U21" s="1574">
        <f>H21</f>
        <v>100</v>
      </c>
      <c r="V21" s="1573" t="s">
        <v>8</v>
      </c>
      <c r="W21" s="1574">
        <f>J21</f>
        <v>100</v>
      </c>
      <c r="X21" s="2560"/>
      <c r="Y21" s="3479"/>
      <c r="Z21" s="2559" t="str">
        <f>Q21</f>
        <v>基础设施水平</v>
      </c>
      <c r="AA21" s="1576">
        <f t="shared" ref="AA21" si="8">D21/F21</f>
        <v>1</v>
      </c>
      <c r="AB21" s="1576">
        <f t="shared" ref="AB21" si="9">D21/H21</f>
        <v>1</v>
      </c>
      <c r="AC21" s="1576">
        <f t="shared" ref="AC21" si="10">D21/J21</f>
        <v>1</v>
      </c>
    </row>
    <row r="22" spans="1:29" ht="15">
      <c r="A22" s="532"/>
      <c r="B22" s="922"/>
      <c r="C22" s="873" t="s">
        <v>3020</v>
      </c>
      <c r="D22" s="555"/>
      <c r="E22" s="873" t="s">
        <v>3020</v>
      </c>
      <c r="F22" s="557"/>
      <c r="G22" s="873" t="s">
        <v>3020</v>
      </c>
      <c r="H22" s="555"/>
      <c r="I22" s="873" t="s">
        <v>3020</v>
      </c>
      <c r="J22" s="555"/>
      <c r="K22" s="2581"/>
      <c r="L22" s="2142"/>
      <c r="M22" s="2134"/>
      <c r="N22" s="2134"/>
      <c r="O22" s="2141"/>
      <c r="P22" s="3479"/>
      <c r="Q22" s="2558"/>
      <c r="R22" s="1573"/>
      <c r="S22" s="1574"/>
      <c r="T22" s="1573"/>
      <c r="U22" s="1574"/>
      <c r="V22" s="1573"/>
      <c r="W22" s="1574"/>
      <c r="X22" s="2560"/>
      <c r="Y22" s="3479"/>
      <c r="Z22" s="2559"/>
      <c r="AA22" s="1576">
        <v>1</v>
      </c>
      <c r="AB22" s="1576">
        <v>1</v>
      </c>
      <c r="AC22" s="1576">
        <v>1</v>
      </c>
    </row>
    <row r="23" spans="1:29" ht="42.75">
      <c r="A23" s="532"/>
      <c r="B23" s="871" t="s">
        <v>297</v>
      </c>
      <c r="C23" s="900" t="str">
        <f>估价对象房地状况!C9</f>
        <v>区域自然环境：；人文环境；综合评价环境状况较好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79"/>
      <c r="Q23" s="1572" t="str">
        <f>B23</f>
        <v>自然及人文环境</v>
      </c>
      <c r="R23" s="1573" t="s">
        <v>8</v>
      </c>
      <c r="S23" s="1574">
        <f>F23</f>
        <v>100</v>
      </c>
      <c r="T23" s="1573" t="s">
        <v>8</v>
      </c>
      <c r="U23" s="1574">
        <f>H23</f>
        <v>100</v>
      </c>
      <c r="V23" s="1573" t="s">
        <v>8</v>
      </c>
      <c r="W23" s="1574">
        <f>J23</f>
        <v>100</v>
      </c>
      <c r="X23" s="1567"/>
      <c r="Y23" s="3479"/>
      <c r="Z23" s="1575" t="str">
        <f>Q23</f>
        <v>自然及人文环境</v>
      </c>
      <c r="AA23" s="1576">
        <f t="shared" si="3"/>
        <v>1</v>
      </c>
      <c r="AB23" s="1576">
        <f t="shared" si="4"/>
        <v>1</v>
      </c>
      <c r="AC23" s="1576">
        <f t="shared" si="5"/>
        <v>1</v>
      </c>
    </row>
    <row r="24" spans="1:29" ht="15">
      <c r="A24" s="532"/>
      <c r="B24" s="595"/>
      <c r="C24" s="576" t="s">
        <v>3018</v>
      </c>
      <c r="D24" s="555"/>
      <c r="E24" s="576" t="s">
        <v>3018</v>
      </c>
      <c r="F24" s="557"/>
      <c r="G24" s="576" t="s">
        <v>3018</v>
      </c>
      <c r="H24" s="555"/>
      <c r="I24" s="576" t="s">
        <v>3018</v>
      </c>
      <c r="J24" s="555"/>
      <c r="K24" s="899"/>
      <c r="L24" s="2142"/>
      <c r="M24" s="2134"/>
      <c r="N24" s="2134"/>
      <c r="O24" s="2141"/>
      <c r="P24" s="3479"/>
      <c r="Q24" s="1572"/>
      <c r="R24" s="1573"/>
      <c r="S24" s="1574"/>
      <c r="T24" s="1573"/>
      <c r="U24" s="1574"/>
      <c r="V24" s="1573"/>
      <c r="W24" s="1574"/>
      <c r="X24" s="1567"/>
      <c r="Y24" s="3479"/>
      <c r="Z24" s="1575"/>
      <c r="AA24" s="1576">
        <v>1</v>
      </c>
      <c r="AB24" s="1576">
        <v>1</v>
      </c>
      <c r="AC24" s="1576">
        <v>1</v>
      </c>
    </row>
    <row r="25" spans="1:29" ht="15">
      <c r="A25" s="532"/>
      <c r="B25" s="527" t="s">
        <v>547</v>
      </c>
      <c r="C25" s="583" t="s">
        <v>3113</v>
      </c>
      <c r="D25" s="540">
        <v>100</v>
      </c>
      <c r="E25" s="583" t="s">
        <v>3021</v>
      </c>
      <c r="F25" s="575">
        <f>SUMIF(86:86,E25,87:87)-SUMIF(86:86,C25,87:87)+100</f>
        <v>99</v>
      </c>
      <c r="G25" s="583" t="s">
        <v>3113</v>
      </c>
      <c r="H25" s="540">
        <f>SUMIF(86:86,G25,87:87)-SUMIF(86:86,C25,87:87)+100</f>
        <v>100</v>
      </c>
      <c r="I25" s="583" t="s">
        <v>3113</v>
      </c>
      <c r="J25" s="540">
        <f>SUMIF(86:86,I25,87:87)-SUMIF(86:86,C25,87:87)+100</f>
        <v>100</v>
      </c>
      <c r="K25" s="584">
        <v>1</v>
      </c>
      <c r="L25" s="2142"/>
      <c r="M25" s="2134"/>
      <c r="N25" s="2134"/>
      <c r="O25" s="2141"/>
      <c r="P25" s="3479"/>
      <c r="Q25" s="1572" t="str">
        <f t="shared" ref="Q25:Q46" si="11">B25</f>
        <v>临街状况</v>
      </c>
      <c r="R25" s="1573" t="s">
        <v>8</v>
      </c>
      <c r="S25" s="1574">
        <f>F25</f>
        <v>99</v>
      </c>
      <c r="T25" s="1573" t="s">
        <v>8</v>
      </c>
      <c r="U25" s="1574">
        <f>H25</f>
        <v>100</v>
      </c>
      <c r="V25" s="1573" t="s">
        <v>8</v>
      </c>
      <c r="W25" s="1574">
        <f>J25</f>
        <v>100</v>
      </c>
      <c r="X25" s="1567"/>
      <c r="Y25" s="3479"/>
      <c r="Z25" s="1575" t="str">
        <f>Q25</f>
        <v>临街状况</v>
      </c>
      <c r="AA25" s="1576">
        <f t="shared" si="3"/>
        <v>1.0101010101010102</v>
      </c>
      <c r="AB25" s="1576">
        <f t="shared" si="4"/>
        <v>1</v>
      </c>
      <c r="AC25" s="1576">
        <f t="shared" si="5"/>
        <v>1</v>
      </c>
    </row>
    <row r="26" spans="1:29" ht="15">
      <c r="A26" s="532"/>
      <c r="B26" s="877" t="s">
        <v>758</v>
      </c>
      <c r="C26" s="3209" t="s">
        <v>3062</v>
      </c>
      <c r="D26" s="540">
        <v>100</v>
      </c>
      <c r="E26" s="3209" t="s">
        <v>3062</v>
      </c>
      <c r="F26" s="575">
        <f>SUMIF(88:88,E26,89:89)-SUMIF(88:88,C26,89:89)+100</f>
        <v>100</v>
      </c>
      <c r="G26" s="3209" t="s">
        <v>3062</v>
      </c>
      <c r="H26" s="540">
        <f>SUMIF(88:88,G26,89:89)-SUMIF(88:88,C26,89:89)+100</f>
        <v>100</v>
      </c>
      <c r="I26" s="3209" t="s">
        <v>3062</v>
      </c>
      <c r="J26" s="540">
        <f>SUMIF(88:88,I26,89:89)-SUMIF(88:88,C26,89:89)+100</f>
        <v>100</v>
      </c>
      <c r="K26" s="581"/>
      <c r="L26" s="2142"/>
      <c r="M26" s="2134"/>
      <c r="N26" s="2134"/>
      <c r="O26" s="2141"/>
      <c r="P26" s="3479"/>
      <c r="Q26" s="1572" t="str">
        <f t="shared" si="11"/>
        <v>平面位置/可视性</v>
      </c>
      <c r="R26" s="1573" t="s">
        <v>8</v>
      </c>
      <c r="S26" s="1574">
        <f>F26</f>
        <v>100</v>
      </c>
      <c r="T26" s="1573" t="s">
        <v>8</v>
      </c>
      <c r="U26" s="1574">
        <f>H26</f>
        <v>100</v>
      </c>
      <c r="V26" s="1573" t="s">
        <v>8</v>
      </c>
      <c r="W26" s="1574">
        <f>J26</f>
        <v>100</v>
      </c>
      <c r="X26" s="1567"/>
      <c r="Y26" s="3479"/>
      <c r="Z26" s="1575" t="str">
        <f>Q26</f>
        <v>平面位置/可视性</v>
      </c>
      <c r="AA26" s="1576">
        <f t="shared" si="3"/>
        <v>1</v>
      </c>
      <c r="AB26" s="1576">
        <f t="shared" si="4"/>
        <v>1</v>
      </c>
      <c r="AC26" s="1576">
        <f t="shared" si="5"/>
        <v>1</v>
      </c>
    </row>
    <row r="27" spans="1:29" s="1219" customFormat="1" ht="15">
      <c r="A27" s="536"/>
      <c r="B27" s="871" t="s">
        <v>759</v>
      </c>
      <c r="C27" s="3217" t="s">
        <v>3062</v>
      </c>
      <c r="D27" s="875">
        <v>100</v>
      </c>
      <c r="E27" s="3217" t="s">
        <v>3062</v>
      </c>
      <c r="F27" s="876">
        <f>SUMIF(90:90,E27,91:91)-SUMIF(90:90,C27,91:91)+100</f>
        <v>100</v>
      </c>
      <c r="G27" s="3217" t="s">
        <v>3062</v>
      </c>
      <c r="H27" s="875">
        <f>SUMIF(90:90,G27,91:91)-SUMIF(90:90,C27,91:91)+100</f>
        <v>100</v>
      </c>
      <c r="I27" s="3217" t="s">
        <v>3062</v>
      </c>
      <c r="J27" s="875">
        <f>SUMIF(90:90,I27,91:91)-SUMIF(90:90,C27,91:91)+100</f>
        <v>100</v>
      </c>
      <c r="K27" s="584"/>
      <c r="L27" s="2135"/>
      <c r="M27" s="2136"/>
      <c r="N27" s="2136"/>
      <c r="O27" s="2137"/>
      <c r="P27" s="3479"/>
      <c r="Q27" s="1151" t="str">
        <f t="shared" si="11"/>
        <v>人流量</v>
      </c>
      <c r="R27" s="1568" t="s">
        <v>8</v>
      </c>
      <c r="S27" s="1569">
        <f>F27</f>
        <v>100</v>
      </c>
      <c r="T27" s="1568" t="s">
        <v>8</v>
      </c>
      <c r="U27" s="1569">
        <f>H27</f>
        <v>100</v>
      </c>
      <c r="V27" s="1568" t="s">
        <v>8</v>
      </c>
      <c r="W27" s="1569">
        <f>J27</f>
        <v>100</v>
      </c>
      <c r="X27" s="1570"/>
      <c r="Y27" s="3479"/>
      <c r="Z27" s="1150" t="str">
        <f>Q27</f>
        <v>人流量</v>
      </c>
      <c r="AA27" s="1576">
        <f>D27/F27</f>
        <v>1</v>
      </c>
      <c r="AB27" s="1576">
        <f>D27/H27</f>
        <v>1</v>
      </c>
      <c r="AC27" s="1576">
        <f>D27/J27</f>
        <v>1</v>
      </c>
    </row>
    <row r="28" spans="1:29" ht="15">
      <c r="A28" s="532"/>
      <c r="B28" s="527" t="s">
        <v>761</v>
      </c>
      <c r="C28" s="3215" t="s">
        <v>3063</v>
      </c>
      <c r="D28" s="540">
        <v>100</v>
      </c>
      <c r="E28" s="3215" t="s">
        <v>3063</v>
      </c>
      <c r="F28" s="575">
        <f>SUMIF(92:92,E28,93:93)-SUMIF(92:92,C28,93:93)+100</f>
        <v>100</v>
      </c>
      <c r="G28" s="3215" t="s">
        <v>3063</v>
      </c>
      <c r="H28" s="540">
        <f>SUMIF(92:92,G28,93:93)-SUMIF(92:92,C28,93:93)+100</f>
        <v>100</v>
      </c>
      <c r="I28" s="3215" t="s">
        <v>3063</v>
      </c>
      <c r="J28" s="540">
        <f>SUMIF(92:92,I28,93:93)-SUMIF(92:92,C28,93:93)+100</f>
        <v>100</v>
      </c>
      <c r="K28" s="581"/>
      <c r="L28" s="2142"/>
      <c r="M28" s="2134"/>
      <c r="N28" s="2134"/>
      <c r="O28" s="2141"/>
      <c r="P28" s="3479"/>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79"/>
      <c r="Z28" s="1575" t="str">
        <f t="shared" ref="Z28:Z46" si="15">Q28</f>
        <v>楼层</v>
      </c>
      <c r="AA28" s="1576">
        <f t="shared" si="3"/>
        <v>1</v>
      </c>
      <c r="AB28" s="1576">
        <f t="shared" si="4"/>
        <v>1</v>
      </c>
      <c r="AC28" s="1576">
        <f t="shared" si="5"/>
        <v>1</v>
      </c>
    </row>
    <row r="29" spans="1:29" ht="27">
      <c r="A29" s="532"/>
      <c r="B29" s="3216" t="s">
        <v>3060</v>
      </c>
      <c r="C29" s="3209" t="s">
        <v>3143</v>
      </c>
      <c r="D29" s="540">
        <v>100</v>
      </c>
      <c r="E29" s="3209" t="s">
        <v>3134</v>
      </c>
      <c r="F29" s="575">
        <f>SUMIF(94:94,E29,95:95)-SUMIF(94:94,C29,95:95)+100</f>
        <v>98</v>
      </c>
      <c r="G29" s="3209" t="s">
        <v>3135</v>
      </c>
      <c r="H29" s="540">
        <f>SUMIF(94:94,G29,95:95)-SUMIF(94:94,C29,95:95)+100</f>
        <v>100</v>
      </c>
      <c r="I29" s="3209" t="s">
        <v>3136</v>
      </c>
      <c r="J29" s="540">
        <f>SUMIF(94:94,I29,95:95)-SUMIF(94:94,C29,95:95)+100</f>
        <v>100</v>
      </c>
      <c r="K29" s="581"/>
      <c r="L29" s="2142"/>
      <c r="M29" s="2134"/>
      <c r="N29" s="2134"/>
      <c r="O29" s="2141"/>
      <c r="P29" s="3479"/>
      <c r="Q29" s="1572" t="str">
        <f t="shared" si="11"/>
        <v>临街道路</v>
      </c>
      <c r="R29" s="1573" t="s">
        <v>8</v>
      </c>
      <c r="S29" s="1574">
        <f t="shared" si="12"/>
        <v>98</v>
      </c>
      <c r="T29" s="1573" t="s">
        <v>8</v>
      </c>
      <c r="U29" s="1574">
        <f t="shared" si="13"/>
        <v>100</v>
      </c>
      <c r="V29" s="1573" t="s">
        <v>8</v>
      </c>
      <c r="W29" s="1574">
        <f t="shared" si="14"/>
        <v>100</v>
      </c>
      <c r="X29" s="1567"/>
      <c r="Y29" s="3479"/>
      <c r="Z29" s="1575" t="str">
        <f t="shared" si="15"/>
        <v>临街道路</v>
      </c>
      <c r="AA29" s="1576">
        <f t="shared" si="3"/>
        <v>1.0204081632653061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79"/>
      <c r="Q30" s="1572">
        <f t="shared" si="11"/>
        <v>111</v>
      </c>
      <c r="R30" s="1573" t="s">
        <v>8</v>
      </c>
      <c r="S30" s="1574">
        <f t="shared" si="12"/>
        <v>100</v>
      </c>
      <c r="T30" s="1573" t="s">
        <v>8</v>
      </c>
      <c r="U30" s="1574">
        <f t="shared" si="13"/>
        <v>100</v>
      </c>
      <c r="V30" s="1573" t="s">
        <v>8</v>
      </c>
      <c r="W30" s="1574">
        <f t="shared" si="14"/>
        <v>100</v>
      </c>
      <c r="X30" s="1567"/>
      <c r="Y30" s="3479"/>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79"/>
      <c r="Q31" s="1572">
        <f t="shared" si="11"/>
        <v>111</v>
      </c>
      <c r="R31" s="1573" t="s">
        <v>8</v>
      </c>
      <c r="S31" s="1574">
        <f t="shared" si="12"/>
        <v>100</v>
      </c>
      <c r="T31" s="1573" t="s">
        <v>8</v>
      </c>
      <c r="U31" s="1574">
        <f t="shared" si="13"/>
        <v>100</v>
      </c>
      <c r="V31" s="1573" t="s">
        <v>8</v>
      </c>
      <c r="W31" s="1574">
        <f t="shared" si="14"/>
        <v>100</v>
      </c>
      <c r="X31" s="1567"/>
      <c r="Y31" s="3479"/>
      <c r="Z31" s="1575">
        <f t="shared" si="15"/>
        <v>111</v>
      </c>
      <c r="AA31" s="1576">
        <f t="shared" si="3"/>
        <v>1</v>
      </c>
      <c r="AB31" s="1576">
        <f t="shared" si="4"/>
        <v>1</v>
      </c>
      <c r="AC31" s="1576">
        <f t="shared" si="5"/>
        <v>1</v>
      </c>
    </row>
    <row r="32" spans="1:29" ht="15">
      <c r="A32" s="2886" t="s">
        <v>2756</v>
      </c>
      <c r="B32" s="172" t="s">
        <v>762</v>
      </c>
      <c r="C32" s="3205" t="s">
        <v>3117</v>
      </c>
      <c r="D32" s="597">
        <v>100</v>
      </c>
      <c r="E32" s="3205" t="s">
        <v>3137</v>
      </c>
      <c r="F32" s="575">
        <f>SUMIF(100:100,E32,101:101)-SUMIF(100:100,C32,101:101)+100</f>
        <v>98</v>
      </c>
      <c r="G32" s="3205" t="s">
        <v>3137</v>
      </c>
      <c r="H32" s="540">
        <f>SUMIF(100:100,G32,101:101)-SUMIF(100:100,C32,101:101)+100</f>
        <v>98</v>
      </c>
      <c r="I32" s="3205" t="s">
        <v>3138</v>
      </c>
      <c r="J32" s="597">
        <f>SUMIF(100:100,I32,101:101)-SUMIF(100:100,C32,101:101)+100</f>
        <v>99</v>
      </c>
      <c r="K32" s="584">
        <v>1</v>
      </c>
      <c r="L32" s="2142"/>
      <c r="M32" s="2134"/>
      <c r="N32" s="2134"/>
      <c r="O32" s="2141"/>
      <c r="P32" s="3480" t="s">
        <v>550</v>
      </c>
      <c r="Q32" s="1572" t="str">
        <f t="shared" si="11"/>
        <v>商业类型</v>
      </c>
      <c r="R32" s="1573" t="s">
        <v>8</v>
      </c>
      <c r="S32" s="1574">
        <f t="shared" si="12"/>
        <v>98</v>
      </c>
      <c r="T32" s="1573" t="s">
        <v>8</v>
      </c>
      <c r="U32" s="1574">
        <f t="shared" si="13"/>
        <v>98</v>
      </c>
      <c r="V32" s="1573" t="s">
        <v>8</v>
      </c>
      <c r="W32" s="1574">
        <f t="shared" si="14"/>
        <v>99</v>
      </c>
      <c r="X32" s="1567"/>
      <c r="Y32" s="3481" t="s">
        <v>550</v>
      </c>
      <c r="Z32" s="1575" t="str">
        <f t="shared" si="15"/>
        <v>商业类型</v>
      </c>
      <c r="AA32" s="1576">
        <f t="shared" si="3"/>
        <v>1.0204081632653061</v>
      </c>
      <c r="AB32" s="1576">
        <f t="shared" si="4"/>
        <v>1.0204081632653061</v>
      </c>
      <c r="AC32" s="1576">
        <f t="shared" si="5"/>
        <v>1.0101010101010102</v>
      </c>
    </row>
    <row r="33" spans="1:29" s="1338" customFormat="1" ht="15">
      <c r="A33" s="603"/>
      <c r="B33" s="527" t="s">
        <v>726</v>
      </c>
      <c r="C33" s="880">
        <f>'数据-基础表'!I13</f>
        <v>85455</v>
      </c>
      <c r="D33" s="255">
        <v>100</v>
      </c>
      <c r="E33" s="534">
        <v>630</v>
      </c>
      <c r="F33" s="863">
        <f>LOOKUP(E33,103:103,104:104)-LOOKUP(C33,103:103,104:104)+100</f>
        <v>105</v>
      </c>
      <c r="G33" s="533">
        <v>400</v>
      </c>
      <c r="H33" s="255">
        <f>LOOKUP(G33,103:103,104:104)-LOOKUP(C33,103:103,104:104)+100</f>
        <v>105</v>
      </c>
      <c r="I33" s="533">
        <v>338</v>
      </c>
      <c r="J33" s="255">
        <f>LOOKUP(I33,103:103,104:104)-LOOKUP(C33,103:103,104:104)+100</f>
        <v>105</v>
      </c>
      <c r="K33" s="581"/>
      <c r="L33" s="2140"/>
      <c r="M33" s="2171"/>
      <c r="N33" s="2171"/>
      <c r="O33" s="2143"/>
      <c r="P33" s="3481"/>
      <c r="Q33" s="1605" t="str">
        <f t="shared" si="11"/>
        <v>项目建筑规模</v>
      </c>
      <c r="R33" s="1577" t="s">
        <v>8</v>
      </c>
      <c r="S33" s="1578">
        <f t="shared" si="12"/>
        <v>105</v>
      </c>
      <c r="T33" s="1577" t="s">
        <v>8</v>
      </c>
      <c r="U33" s="1578">
        <f t="shared" si="13"/>
        <v>105</v>
      </c>
      <c r="V33" s="1577" t="s">
        <v>8</v>
      </c>
      <c r="W33" s="1578">
        <f t="shared" si="14"/>
        <v>105</v>
      </c>
      <c r="X33" s="1579"/>
      <c r="Y33" s="3481"/>
      <c r="Z33" s="1580" t="str">
        <f t="shared" si="15"/>
        <v>项目建筑规模</v>
      </c>
      <c r="AA33" s="1576">
        <f t="shared" si="3"/>
        <v>0.95238095238095233</v>
      </c>
      <c r="AB33" s="1576">
        <f t="shared" si="4"/>
        <v>0.95238095238095233</v>
      </c>
      <c r="AC33" s="1576">
        <f t="shared" si="5"/>
        <v>0.95238095238095233</v>
      </c>
    </row>
    <row r="34" spans="1:29" ht="15">
      <c r="A34" s="594"/>
      <c r="B34" s="527" t="s">
        <v>727</v>
      </c>
      <c r="C34" s="881" t="s">
        <v>3024</v>
      </c>
      <c r="D34" s="540">
        <v>100</v>
      </c>
      <c r="E34" s="881" t="s">
        <v>3024</v>
      </c>
      <c r="F34" s="575">
        <f>SUMIF(105:105,E34,106:106)-SUMIF(105:105,C34,106:106)+100</f>
        <v>100</v>
      </c>
      <c r="G34" s="881" t="s">
        <v>3024</v>
      </c>
      <c r="H34" s="540">
        <f>SUMIF(105:105,G34,106:106)-SUMIF(105:105,C34,106:106)+100</f>
        <v>100</v>
      </c>
      <c r="I34" s="881" t="s">
        <v>3024</v>
      </c>
      <c r="J34" s="540">
        <f>SUMIF(105:105,I34,106:106)-SUMIF(105:105,C34,106:106)+100</f>
        <v>100</v>
      </c>
      <c r="K34" s="584"/>
      <c r="L34" s="2142"/>
      <c r="M34" s="2134"/>
      <c r="N34" s="2134"/>
      <c r="O34" s="2141"/>
      <c r="P34" s="3481"/>
      <c r="Q34" s="1572" t="str">
        <f t="shared" si="11"/>
        <v>建筑结构</v>
      </c>
      <c r="R34" s="1573" t="s">
        <v>8</v>
      </c>
      <c r="S34" s="1574">
        <f t="shared" si="12"/>
        <v>100</v>
      </c>
      <c r="T34" s="1573" t="s">
        <v>8</v>
      </c>
      <c r="U34" s="1574">
        <f t="shared" si="13"/>
        <v>100</v>
      </c>
      <c r="V34" s="1573" t="s">
        <v>8</v>
      </c>
      <c r="W34" s="1574">
        <f t="shared" si="14"/>
        <v>100</v>
      </c>
      <c r="X34" s="1567"/>
      <c r="Y34" s="3481"/>
      <c r="Z34" s="1575" t="str">
        <f t="shared" si="15"/>
        <v>建筑结构</v>
      </c>
      <c r="AA34" s="1576">
        <f t="shared" si="3"/>
        <v>1</v>
      </c>
      <c r="AB34" s="1576">
        <f t="shared" si="4"/>
        <v>1</v>
      </c>
      <c r="AC34" s="1576">
        <f t="shared" si="5"/>
        <v>1</v>
      </c>
    </row>
    <row r="35" spans="1:29" ht="15">
      <c r="A35" s="594"/>
      <c r="B35" s="527" t="s">
        <v>763</v>
      </c>
      <c r="C35" s="599" t="s">
        <v>3026</v>
      </c>
      <c r="D35" s="540">
        <v>100</v>
      </c>
      <c r="E35" s="599" t="s">
        <v>3026</v>
      </c>
      <c r="F35" s="575">
        <f>SUMIF(107:107,E35,108:108)-SUMIF(107:107,C35,108:108)+100</f>
        <v>100</v>
      </c>
      <c r="G35" s="599" t="s">
        <v>3026</v>
      </c>
      <c r="H35" s="540">
        <f>SUMIF(107:107,G35,108:108)-SUMIF(107:107,C35,108:108)+100</f>
        <v>100</v>
      </c>
      <c r="I35" s="599" t="s">
        <v>3026</v>
      </c>
      <c r="J35" s="540">
        <f>SUMIF(107:107,I35,108:108)-SUMIF(107:107,C35,108:108)+100</f>
        <v>100</v>
      </c>
      <c r="K35" s="584"/>
      <c r="L35" s="2142"/>
      <c r="M35" s="2134"/>
      <c r="N35" s="2134"/>
      <c r="O35" s="2141"/>
      <c r="P35" s="3481"/>
      <c r="Q35" s="1572" t="str">
        <f t="shared" si="11"/>
        <v>公共部分装修</v>
      </c>
      <c r="R35" s="1573" t="s">
        <v>8</v>
      </c>
      <c r="S35" s="1574">
        <f t="shared" si="12"/>
        <v>100</v>
      </c>
      <c r="T35" s="1573" t="s">
        <v>8</v>
      </c>
      <c r="U35" s="1574">
        <f t="shared" si="13"/>
        <v>100</v>
      </c>
      <c r="V35" s="1573" t="s">
        <v>8</v>
      </c>
      <c r="W35" s="1574">
        <f t="shared" si="14"/>
        <v>100</v>
      </c>
      <c r="X35" s="1567"/>
      <c r="Y35" s="3481"/>
      <c r="Z35" s="1575" t="str">
        <f t="shared" si="15"/>
        <v>公共部分装修</v>
      </c>
      <c r="AA35" s="1576">
        <f t="shared" si="3"/>
        <v>1</v>
      </c>
      <c r="AB35" s="1576">
        <f t="shared" si="4"/>
        <v>1</v>
      </c>
      <c r="AC35" s="1576">
        <f t="shared" si="5"/>
        <v>1</v>
      </c>
    </row>
    <row r="36" spans="1:29" ht="15">
      <c r="A36" s="594"/>
      <c r="B36" s="527" t="s">
        <v>764</v>
      </c>
      <c r="C36" s="883">
        <v>1</v>
      </c>
      <c r="D36" s="540">
        <v>100</v>
      </c>
      <c r="E36" s="883">
        <v>0.9</v>
      </c>
      <c r="F36" s="575">
        <f>LOOKUP(E36,110:110,111:111)-LOOKUP(C36,110:110,111:111)+100</f>
        <v>100</v>
      </c>
      <c r="G36" s="883">
        <v>0.9</v>
      </c>
      <c r="H36" s="575">
        <f>LOOKUP(G36,110:110,111:111)-LOOKUP(C36,110:110,111:111)+100</f>
        <v>100</v>
      </c>
      <c r="I36" s="883">
        <v>0.9</v>
      </c>
      <c r="J36" s="540">
        <f>LOOKUP(I36,110:110,111:111)-LOOKUP(C36,110:110,111:111)+100</f>
        <v>100</v>
      </c>
      <c r="K36" s="584">
        <v>1</v>
      </c>
      <c r="L36" s="2142"/>
      <c r="M36" s="2134"/>
      <c r="N36" s="2134"/>
      <c r="O36" s="2141"/>
      <c r="P36" s="3481"/>
      <c r="Q36" s="1572" t="str">
        <f t="shared" si="11"/>
        <v>成新度</v>
      </c>
      <c r="R36" s="1573" t="s">
        <v>8</v>
      </c>
      <c r="S36" s="1574">
        <f t="shared" si="12"/>
        <v>100</v>
      </c>
      <c r="T36" s="1573" t="s">
        <v>8</v>
      </c>
      <c r="U36" s="1574">
        <f t="shared" si="13"/>
        <v>100</v>
      </c>
      <c r="V36" s="1573" t="s">
        <v>8</v>
      </c>
      <c r="W36" s="1574">
        <f t="shared" si="14"/>
        <v>100</v>
      </c>
      <c r="X36" s="1567"/>
      <c r="Y36" s="3481"/>
      <c r="Z36" s="1575" t="str">
        <f t="shared" si="15"/>
        <v>成新度</v>
      </c>
      <c r="AA36" s="1576">
        <f t="shared" si="3"/>
        <v>1</v>
      </c>
      <c r="AB36" s="1576">
        <f t="shared" si="4"/>
        <v>1</v>
      </c>
      <c r="AC36" s="1576">
        <f t="shared" si="5"/>
        <v>1</v>
      </c>
    </row>
    <row r="37" spans="1:29" s="1219" customFormat="1" ht="15">
      <c r="A37" s="600"/>
      <c r="B37" s="1895" t="s">
        <v>2566</v>
      </c>
      <c r="C37" s="3207" t="s">
        <v>3116</v>
      </c>
      <c r="D37" s="255">
        <v>100</v>
      </c>
      <c r="E37" s="599" t="s">
        <v>3033</v>
      </c>
      <c r="F37" s="575">
        <f>SUMIF(112:112,#REF!,113:113)-SUMIF(112:112,E37,113:113)+100</f>
        <v>100</v>
      </c>
      <c r="G37" s="599" t="s">
        <v>3033</v>
      </c>
      <c r="H37" s="540">
        <f>SUMIF(112:112,G37,113:113)-SUMIF(112:112,E37,113:113)+100</f>
        <v>100</v>
      </c>
      <c r="I37" s="599" t="s">
        <v>3033</v>
      </c>
      <c r="J37" s="540">
        <f>SUMIF(112:112,I37,113:113)-SUMIF(112:112,E37,113:113)+100</f>
        <v>100</v>
      </c>
      <c r="K37" s="584">
        <v>100</v>
      </c>
      <c r="L37" s="2135"/>
      <c r="M37" s="2136"/>
      <c r="N37" s="2136"/>
      <c r="O37" s="2137"/>
      <c r="P37" s="3481"/>
      <c r="Q37" s="1151" t="str">
        <f t="shared" si="11"/>
        <v>市政基础设施</v>
      </c>
      <c r="R37" s="1568" t="s">
        <v>8</v>
      </c>
      <c r="S37" s="1569">
        <f t="shared" si="12"/>
        <v>100</v>
      </c>
      <c r="T37" s="1568" t="s">
        <v>8</v>
      </c>
      <c r="U37" s="1569">
        <f t="shared" si="13"/>
        <v>100</v>
      </c>
      <c r="V37" s="1568" t="s">
        <v>8</v>
      </c>
      <c r="W37" s="1569">
        <f t="shared" si="14"/>
        <v>100</v>
      </c>
      <c r="X37" s="1570"/>
      <c r="Y37" s="3481"/>
      <c r="Z37" s="1150" t="str">
        <f t="shared" si="15"/>
        <v>市政基础设施</v>
      </c>
      <c r="AA37" s="1571">
        <f t="shared" si="3"/>
        <v>1</v>
      </c>
      <c r="AB37" s="1571">
        <f t="shared" si="4"/>
        <v>1</v>
      </c>
      <c r="AC37" s="1571">
        <f t="shared" si="5"/>
        <v>1</v>
      </c>
    </row>
    <row r="38" spans="1:29" ht="18" hidden="1" customHeight="1">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81" t="s">
        <v>766</v>
      </c>
      <c r="Q38" s="1572" t="str">
        <f t="shared" si="11"/>
        <v>业态</v>
      </c>
      <c r="R38" s="1573" t="s">
        <v>8</v>
      </c>
      <c r="S38" s="1574">
        <f t="shared" si="12"/>
        <v>100</v>
      </c>
      <c r="T38" s="1573" t="s">
        <v>8</v>
      </c>
      <c r="U38" s="1574">
        <f t="shared" si="13"/>
        <v>100</v>
      </c>
      <c r="V38" s="1573" t="s">
        <v>8</v>
      </c>
      <c r="W38" s="1574">
        <f t="shared" si="14"/>
        <v>100</v>
      </c>
      <c r="X38" s="1567"/>
      <c r="Y38" s="3481" t="s">
        <v>766</v>
      </c>
      <c r="Z38" s="1575" t="str">
        <f t="shared" si="15"/>
        <v>业态</v>
      </c>
      <c r="AA38" s="1576">
        <f t="shared" si="3"/>
        <v>1</v>
      </c>
      <c r="AB38" s="1576">
        <f t="shared" si="4"/>
        <v>1</v>
      </c>
      <c r="AC38" s="1576">
        <f t="shared" si="5"/>
        <v>1</v>
      </c>
    </row>
    <row r="39" spans="1:29" ht="18" customHeight="1">
      <c r="A39" s="594"/>
      <c r="B39" s="527" t="s">
        <v>767</v>
      </c>
      <c r="C39" s="3207" t="s">
        <v>3038</v>
      </c>
      <c r="D39" s="540">
        <v>100</v>
      </c>
      <c r="E39" s="3207" t="s">
        <v>3038</v>
      </c>
      <c r="F39" s="575">
        <f>SUMIF(116:116,E39,117:117)-SUMIF(116:116,C39,117:117)+100</f>
        <v>100</v>
      </c>
      <c r="G39" s="3207" t="s">
        <v>3038</v>
      </c>
      <c r="H39" s="540">
        <f>SUMIF(116:116,G39,117:117)-SUMIF(116:116,C39,117:117)+100</f>
        <v>100</v>
      </c>
      <c r="I39" s="3207" t="s">
        <v>3038</v>
      </c>
      <c r="J39" s="540">
        <f>SUMIF(116:116,I39,117:117)-SUMIF(116:116,C39,117:117)+100</f>
        <v>100</v>
      </c>
      <c r="K39" s="584"/>
      <c r="L39" s="2142"/>
      <c r="M39" s="2134"/>
      <c r="N39" s="2134"/>
      <c r="O39" s="2141"/>
      <c r="P39" s="3481"/>
      <c r="Q39" s="1572" t="str">
        <f t="shared" si="11"/>
        <v>层高</v>
      </c>
      <c r="R39" s="1573" t="s">
        <v>8</v>
      </c>
      <c r="S39" s="1574">
        <f t="shared" si="12"/>
        <v>100</v>
      </c>
      <c r="T39" s="1573" t="s">
        <v>8</v>
      </c>
      <c r="U39" s="1574">
        <f t="shared" si="13"/>
        <v>100</v>
      </c>
      <c r="V39" s="1573" t="s">
        <v>8</v>
      </c>
      <c r="W39" s="1574">
        <f t="shared" si="14"/>
        <v>100</v>
      </c>
      <c r="X39" s="1567"/>
      <c r="Y39" s="3481"/>
      <c r="Z39" s="1575" t="str">
        <f t="shared" si="15"/>
        <v>层高</v>
      </c>
      <c r="AA39" s="1576">
        <f t="shared" si="3"/>
        <v>1</v>
      </c>
      <c r="AB39" s="1576">
        <f t="shared" si="4"/>
        <v>1</v>
      </c>
      <c r="AC39" s="1576">
        <f t="shared" si="5"/>
        <v>1</v>
      </c>
    </row>
    <row r="40" spans="1:29" ht="18" hidden="1" customHeight="1">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81"/>
      <c r="Q40" s="1572" t="str">
        <f t="shared" si="11"/>
        <v>单套建筑面积</v>
      </c>
      <c r="R40" s="1573" t="s">
        <v>8</v>
      </c>
      <c r="S40" s="1574">
        <f t="shared" si="12"/>
        <v>100</v>
      </c>
      <c r="T40" s="1573" t="s">
        <v>8</v>
      </c>
      <c r="U40" s="1574">
        <f t="shared" si="13"/>
        <v>100</v>
      </c>
      <c r="V40" s="1573" t="s">
        <v>8</v>
      </c>
      <c r="W40" s="1574">
        <f t="shared" si="14"/>
        <v>100</v>
      </c>
      <c r="X40" s="1567"/>
      <c r="Y40" s="3481"/>
      <c r="Z40" s="1575" t="str">
        <f t="shared" si="15"/>
        <v>单套建筑面积</v>
      </c>
      <c r="AA40" s="1576">
        <f t="shared" si="3"/>
        <v>1</v>
      </c>
      <c r="AB40" s="1576">
        <f t="shared" si="4"/>
        <v>1</v>
      </c>
      <c r="AC40" s="1576">
        <f t="shared" si="5"/>
        <v>1</v>
      </c>
    </row>
    <row r="41" spans="1:29" s="1338" customFormat="1" ht="18" hidden="1" customHeight="1">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81"/>
      <c r="Q41" s="1605" t="str">
        <f t="shared" si="11"/>
        <v>进深比</v>
      </c>
      <c r="R41" s="1577" t="s">
        <v>8</v>
      </c>
      <c r="S41" s="1578">
        <f t="shared" si="12"/>
        <v>100</v>
      </c>
      <c r="T41" s="1577" t="s">
        <v>8</v>
      </c>
      <c r="U41" s="1578">
        <f t="shared" si="13"/>
        <v>100</v>
      </c>
      <c r="V41" s="1577" t="s">
        <v>8</v>
      </c>
      <c r="W41" s="1578">
        <f t="shared" si="14"/>
        <v>100</v>
      </c>
      <c r="X41" s="1579"/>
      <c r="Y41" s="3481"/>
      <c r="Z41" s="1580" t="str">
        <f t="shared" si="15"/>
        <v>进深比</v>
      </c>
      <c r="AA41" s="1576">
        <f t="shared" si="3"/>
        <v>1</v>
      </c>
      <c r="AB41" s="1576">
        <f t="shared" si="4"/>
        <v>1</v>
      </c>
      <c r="AC41" s="1576">
        <f t="shared" si="5"/>
        <v>1</v>
      </c>
    </row>
    <row r="42" spans="1:29" ht="15">
      <c r="A42" s="594"/>
      <c r="B42" s="527" t="s">
        <v>770</v>
      </c>
      <c r="C42" s="3207" t="s">
        <v>3029</v>
      </c>
      <c r="D42" s="540">
        <v>100</v>
      </c>
      <c r="E42" s="3207" t="s">
        <v>3029</v>
      </c>
      <c r="F42" s="575">
        <f>SUMIF(122:122,E42,123:123)-SUMIF(122:122,C42,123:123)+100</f>
        <v>100</v>
      </c>
      <c r="G42" s="3207" t="s">
        <v>3029</v>
      </c>
      <c r="H42" s="540">
        <f>SUMIF(122:122,G42,123:123)-SUMIF(122:122,C42,123:123)+100</f>
        <v>100</v>
      </c>
      <c r="I42" s="3207" t="s">
        <v>3029</v>
      </c>
      <c r="J42" s="540">
        <f>SUMIF(122:122,I42,123:123)-SUMIF(122:122,C42,123:123)+100</f>
        <v>100</v>
      </c>
      <c r="K42" s="584"/>
      <c r="L42" s="2142"/>
      <c r="M42" s="2134"/>
      <c r="N42" s="2134"/>
      <c r="O42" s="2141"/>
      <c r="P42" s="3481"/>
      <c r="Q42" s="1572" t="str">
        <f t="shared" si="11"/>
        <v>内部装修</v>
      </c>
      <c r="R42" s="1573" t="s">
        <v>8</v>
      </c>
      <c r="S42" s="1574">
        <f t="shared" si="12"/>
        <v>100</v>
      </c>
      <c r="T42" s="1573" t="s">
        <v>8</v>
      </c>
      <c r="U42" s="1574">
        <f t="shared" si="13"/>
        <v>100</v>
      </c>
      <c r="V42" s="1573" t="s">
        <v>8</v>
      </c>
      <c r="W42" s="1574">
        <f t="shared" si="14"/>
        <v>100</v>
      </c>
      <c r="X42" s="1567"/>
      <c r="Y42" s="3481"/>
      <c r="Z42" s="1575" t="str">
        <f t="shared" si="15"/>
        <v>内部装修</v>
      </c>
      <c r="AA42" s="1576">
        <f t="shared" si="3"/>
        <v>1</v>
      </c>
      <c r="AB42" s="1576">
        <f t="shared" si="4"/>
        <v>1</v>
      </c>
      <c r="AC42" s="1576">
        <f t="shared" si="5"/>
        <v>1</v>
      </c>
    </row>
    <row r="43" spans="1:29" ht="27">
      <c r="A43" s="594"/>
      <c r="B43" s="527" t="s">
        <v>735</v>
      </c>
      <c r="C43" s="599" t="s">
        <v>3018</v>
      </c>
      <c r="D43" s="540">
        <v>100</v>
      </c>
      <c r="E43" s="599" t="s">
        <v>3018</v>
      </c>
      <c r="F43" s="575">
        <f>SUMIF(124:124,E43,125:125)-SUMIF(124:124,C43,125:125)+100</f>
        <v>100</v>
      </c>
      <c r="G43" s="599" t="s">
        <v>3018</v>
      </c>
      <c r="H43" s="540">
        <f>SUMIF(124:124,G43,125:125)-SUMIF(124:124,C43,125:125)+100</f>
        <v>100</v>
      </c>
      <c r="I43" s="599" t="s">
        <v>3018</v>
      </c>
      <c r="J43" s="540">
        <f>SUMIF(124:124,I43,125:125)-SUMIF(124:124,C43,125:125)+100</f>
        <v>100</v>
      </c>
      <c r="K43" s="584"/>
      <c r="L43" s="2142"/>
      <c r="M43" s="2134"/>
      <c r="N43" s="2134"/>
      <c r="O43" s="2141"/>
      <c r="P43" s="3481"/>
      <c r="Q43" s="1572" t="str">
        <f t="shared" si="11"/>
        <v>内部装修维护情况</v>
      </c>
      <c r="R43" s="1573" t="s">
        <v>8</v>
      </c>
      <c r="S43" s="1574">
        <f t="shared" si="12"/>
        <v>100</v>
      </c>
      <c r="T43" s="1573" t="s">
        <v>8</v>
      </c>
      <c r="U43" s="1574">
        <f t="shared" si="13"/>
        <v>100</v>
      </c>
      <c r="V43" s="1573" t="s">
        <v>8</v>
      </c>
      <c r="W43" s="1574">
        <f t="shared" si="14"/>
        <v>100</v>
      </c>
      <c r="X43" s="1567"/>
      <c r="Y43" s="3481"/>
      <c r="Z43" s="1575" t="str">
        <f t="shared" si="15"/>
        <v>内部装修维护情况</v>
      </c>
      <c r="AA43" s="1576">
        <f t="shared" si="3"/>
        <v>1</v>
      </c>
      <c r="AB43" s="1576">
        <f t="shared" si="4"/>
        <v>1</v>
      </c>
      <c r="AC43" s="1576">
        <f t="shared" si="5"/>
        <v>1</v>
      </c>
    </row>
    <row r="44" spans="1:29" s="1219" customFormat="1" ht="15">
      <c r="A44" s="600"/>
      <c r="B44" s="877">
        <v>111</v>
      </c>
      <c r="C44" s="880" t="s">
        <v>3129</v>
      </c>
      <c r="D44" s="255">
        <v>100</v>
      </c>
      <c r="E44" s="3209" t="s">
        <v>3130</v>
      </c>
      <c r="F44" s="863">
        <f>SUMIF(126:126,E44,127:127)-SUMIF(126:126,C44,127:127)+100</f>
        <v>105</v>
      </c>
      <c r="G44" s="3209" t="s">
        <v>3131</v>
      </c>
      <c r="H44" s="255">
        <f>SUMIF(126:126,G44,127:127)-SUMIF(126:126,C44,127:127)+100</f>
        <v>105</v>
      </c>
      <c r="I44" s="3209" t="s">
        <v>3131</v>
      </c>
      <c r="J44" s="255">
        <f>SUMIF(126:126,I44,127:127)-SUMIF(126:126,C44,127:127)+100</f>
        <v>105</v>
      </c>
      <c r="K44" s="581"/>
      <c r="L44" s="2135"/>
      <c r="M44" s="2136"/>
      <c r="N44" s="2136"/>
      <c r="O44" s="2137"/>
      <c r="P44" s="3481"/>
      <c r="Q44" s="1151">
        <f t="shared" si="11"/>
        <v>111</v>
      </c>
      <c r="R44" s="1568" t="s">
        <v>8</v>
      </c>
      <c r="S44" s="1569">
        <f t="shared" si="12"/>
        <v>105</v>
      </c>
      <c r="T44" s="1568" t="s">
        <v>8</v>
      </c>
      <c r="U44" s="1569">
        <f t="shared" si="13"/>
        <v>105</v>
      </c>
      <c r="V44" s="1568" t="s">
        <v>8</v>
      </c>
      <c r="W44" s="1569">
        <f t="shared" si="14"/>
        <v>105</v>
      </c>
      <c r="X44" s="1570"/>
      <c r="Y44" s="3481"/>
      <c r="Z44" s="1150">
        <f t="shared" si="15"/>
        <v>111</v>
      </c>
      <c r="AA44" s="1571">
        <f t="shared" si="3"/>
        <v>0.95238095238095233</v>
      </c>
      <c r="AB44" s="1571">
        <f t="shared" si="4"/>
        <v>0.95238095238095233</v>
      </c>
      <c r="AC44" s="1571">
        <f t="shared" si="5"/>
        <v>0.95238095238095233</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81"/>
      <c r="Q45" s="1572">
        <f t="shared" si="11"/>
        <v>111</v>
      </c>
      <c r="R45" s="1573" t="s">
        <v>8</v>
      </c>
      <c r="S45" s="1574">
        <f t="shared" si="12"/>
        <v>100</v>
      </c>
      <c r="T45" s="1573" t="s">
        <v>8</v>
      </c>
      <c r="U45" s="1574">
        <f t="shared" si="13"/>
        <v>100</v>
      </c>
      <c r="V45" s="1573" t="s">
        <v>8</v>
      </c>
      <c r="W45" s="1574">
        <f t="shared" si="14"/>
        <v>100</v>
      </c>
      <c r="X45" s="1567"/>
      <c r="Y45" s="3481"/>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82"/>
      <c r="Q46" s="1572">
        <f t="shared" si="11"/>
        <v>111</v>
      </c>
      <c r="R46" s="1573" t="s">
        <v>8</v>
      </c>
      <c r="S46" s="1574">
        <f t="shared" si="12"/>
        <v>100</v>
      </c>
      <c r="T46" s="1573" t="s">
        <v>8</v>
      </c>
      <c r="U46" s="1574">
        <f t="shared" si="13"/>
        <v>100</v>
      </c>
      <c r="V46" s="1573" t="s">
        <v>8</v>
      </c>
      <c r="W46" s="1574">
        <f t="shared" si="14"/>
        <v>100</v>
      </c>
      <c r="X46" s="1567"/>
      <c r="Y46" s="3482"/>
      <c r="Z46" s="1575">
        <f t="shared" si="15"/>
        <v>111</v>
      </c>
      <c r="AA46" s="1576">
        <f t="shared" si="3"/>
        <v>1</v>
      </c>
      <c r="AB46" s="1576">
        <f t="shared" si="4"/>
        <v>1</v>
      </c>
      <c r="AC46" s="1576">
        <f t="shared" si="5"/>
        <v>1</v>
      </c>
    </row>
    <row r="47" spans="1:29" ht="15">
      <c r="A47" s="607" t="s">
        <v>736</v>
      </c>
      <c r="B47" s="887"/>
      <c r="C47" s="2606" t="s">
        <v>1</v>
      </c>
      <c r="D47" s="2607"/>
      <c r="E47" s="2608">
        <v>11</v>
      </c>
      <c r="F47" s="2609"/>
      <c r="G47" s="2610">
        <v>10</v>
      </c>
      <c r="H47" s="2611"/>
      <c r="I47" s="2608">
        <v>12</v>
      </c>
      <c r="J47" s="2611"/>
      <c r="K47" s="1611"/>
      <c r="L47" s="2144"/>
      <c r="M47" s="2145"/>
      <c r="N47" s="2134"/>
      <c r="O47" s="2145"/>
      <c r="P47" s="3473" t="str">
        <f>A47</f>
        <v>成交单价（元/平方米）</v>
      </c>
      <c r="Q47" s="3473"/>
      <c r="R47" s="3474">
        <f>E47</f>
        <v>11</v>
      </c>
      <c r="S47" s="3474"/>
      <c r="T47" s="3474">
        <f>G47</f>
        <v>10</v>
      </c>
      <c r="U47" s="3474"/>
      <c r="V47" s="3474">
        <f>I47</f>
        <v>12</v>
      </c>
      <c r="W47" s="3474"/>
      <c r="X47" s="1559"/>
      <c r="Y47" s="1581"/>
      <c r="Z47" s="1559"/>
      <c r="AA47" s="1559"/>
      <c r="AB47" s="1559"/>
      <c r="AC47" s="1559"/>
    </row>
    <row r="48" spans="1:29" ht="15.75" thickBot="1">
      <c r="A48" s="615" t="s">
        <v>2761</v>
      </c>
      <c r="B48" s="888"/>
      <c r="C48" s="2612">
        <f>R49</f>
        <v>10.3</v>
      </c>
      <c r="D48" s="2613"/>
      <c r="E48" s="2614">
        <f>R48</f>
        <v>10.5</v>
      </c>
      <c r="F48" s="2614"/>
      <c r="G48" s="2612">
        <f>T48</f>
        <v>9.3000000000000007</v>
      </c>
      <c r="H48" s="2613"/>
      <c r="I48" s="2614">
        <f>V48</f>
        <v>11</v>
      </c>
      <c r="J48" s="2613"/>
      <c r="K48" s="1612"/>
      <c r="L48" s="2144"/>
      <c r="M48" s="2145"/>
      <c r="N48" s="2134"/>
      <c r="O48" s="2145"/>
      <c r="P48" s="3473" t="str">
        <f>A48</f>
        <v>比较价格（元/平方米）</v>
      </c>
      <c r="Q48" s="3473"/>
      <c r="R48" s="3474">
        <f>IF(F1="售价",ROUND(PRODUCT(R47,AA7:AA46),0),ROUND(PRODUCT(R47,AA7:AA46),1))</f>
        <v>10.5</v>
      </c>
      <c r="S48" s="3474"/>
      <c r="T48" s="3474">
        <f>IF(F1="售价",ROUND(PRODUCT(T47,AB7:AB46),0),ROUND(PRODUCT(T47,AB7:AB46),1))</f>
        <v>9.3000000000000007</v>
      </c>
      <c r="U48" s="3474"/>
      <c r="V48" s="3474">
        <f>IF(F1="售价",ROUND(PRODUCT(V47,AC7:AC46),0),ROUND(PRODUCT(V47,AC7:AC46),1))</f>
        <v>11</v>
      </c>
      <c r="W48" s="3474"/>
      <c r="X48" s="1559"/>
      <c r="Y48" s="1559"/>
      <c r="Z48" s="1559"/>
      <c r="AA48" s="1559"/>
      <c r="AB48" s="1559"/>
      <c r="AC48" s="1559"/>
    </row>
    <row r="49" spans="1:29" ht="15.75" thickBot="1">
      <c r="A49" s="621" t="s">
        <v>2932</v>
      </c>
      <c r="B49" s="622"/>
      <c r="C49" s="2615">
        <f>R49</f>
        <v>10.3</v>
      </c>
      <c r="D49" s="2615"/>
      <c r="E49" s="2615"/>
      <c r="F49" s="2615"/>
      <c r="G49" s="2615"/>
      <c r="H49" s="2615"/>
      <c r="I49" s="2615"/>
      <c r="J49" s="2615"/>
      <c r="K49" s="1613"/>
      <c r="L49" s="2144"/>
      <c r="M49" s="2145"/>
      <c r="N49" s="2134"/>
      <c r="O49" s="2145"/>
      <c r="P49" s="3475" t="str">
        <f>A49</f>
        <v>估价对象XX用房的比较价格（楼面单价，元/平方米）</v>
      </c>
      <c r="Q49" s="3476"/>
      <c r="R49" s="3477">
        <f>IF(F1="售价",ROUND(AVERAGE(R48:V48),0),ROUND(AVERAGE(R48:V48),1))</f>
        <v>10.3</v>
      </c>
      <c r="S49" s="3477"/>
      <c r="T49" s="3477"/>
      <c r="U49" s="3477"/>
      <c r="V49" s="3477"/>
      <c r="W49" s="3477"/>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4.7619047619047672E-2</v>
      </c>
      <c r="F52" s="627" t="str">
        <f>IF(OR(E52&gt;=0.3,E52&lt;=-0.3),"超过30%","")</f>
        <v/>
      </c>
      <c r="G52" s="626">
        <f>IF(G47&lt;G48,G48/G47-1,G47/G48-1)</f>
        <v>7.5268817204301008E-2</v>
      </c>
      <c r="H52" s="627" t="str">
        <f>IF(OR(G52&gt;=0.3,G52&lt;=-0.3),"超过30%","")</f>
        <v/>
      </c>
      <c r="I52" s="626">
        <f>IF(I47&lt;I48,I48/I47-1,I47/I48-1)</f>
        <v>9.0909090909090828E-2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0.12903225806451601</v>
      </c>
      <c r="F53" s="627" t="str">
        <f>IF(OR(E53&gt;=0.2,E53&lt;=-0.2),"超过20%","")</f>
        <v/>
      </c>
      <c r="G53" s="626">
        <f>IF(G48&lt;I48,I48/G48-1,G48/I48-1)</f>
        <v>0.18279569892473102</v>
      </c>
      <c r="H53" s="627" t="str">
        <f>IF(OR(G53&gt;=0.2,G53&lt;=-0.2),"超过20%","")</f>
        <v/>
      </c>
      <c r="I53" s="626">
        <f>IF(I48&lt;E48,E48/I48-1,I48/E48-1)</f>
        <v>4.7619047619047672E-2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f>IF(E47&lt;G47,G47/E47-1,E47/G47-1)</f>
        <v>0.10000000000000009</v>
      </c>
      <c r="F54" s="627" t="str">
        <f>IF(OR(E54&gt;=0.3,E54&lt;=-0.3),"超过30%","")</f>
        <v/>
      </c>
      <c r="G54" s="626">
        <f>IF(G47&lt;I47,I47/G47-1,G47/I47-1)</f>
        <v>0.19999999999999996</v>
      </c>
      <c r="H54" s="627" t="str">
        <f>IF(OR(G54&gt;=0.3,G54&lt;=-0.3),"超过30%","")</f>
        <v/>
      </c>
      <c r="I54" s="626">
        <f>IF(I47&lt;E47,E47/I47-1,I47/E47-1)</f>
        <v>9.0909090909090828E-2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5" t="s">
        <v>529</v>
      </c>
      <c r="B58" s="646"/>
      <c r="C58" s="2781" t="str">
        <f>YEAR(C7)&amp;"-"&amp;MONTH(C7)</f>
        <v>2018-10</v>
      </c>
      <c r="D58" s="2783">
        <f>EDATE(C58,-1)</f>
        <v>43344</v>
      </c>
      <c r="E58" s="2783">
        <f t="shared" ref="E58:O58" si="16">EDATE(D58,-1)</f>
        <v>43313</v>
      </c>
      <c r="F58" s="2783">
        <f t="shared" si="16"/>
        <v>43282</v>
      </c>
      <c r="G58" s="2783">
        <f t="shared" si="16"/>
        <v>43252</v>
      </c>
      <c r="H58" s="2783">
        <f t="shared" si="16"/>
        <v>43221</v>
      </c>
      <c r="I58" s="2783">
        <f t="shared" si="16"/>
        <v>43191</v>
      </c>
      <c r="J58" s="2783">
        <f t="shared" si="16"/>
        <v>43160</v>
      </c>
      <c r="K58" s="2783">
        <f t="shared" si="16"/>
        <v>43132</v>
      </c>
      <c r="L58" s="2783">
        <f t="shared" si="16"/>
        <v>43101</v>
      </c>
      <c r="M58" s="2783">
        <f t="shared" si="16"/>
        <v>43070</v>
      </c>
      <c r="N58" s="2783">
        <f t="shared" si="16"/>
        <v>43040</v>
      </c>
      <c r="O58" s="2783">
        <f t="shared" si="16"/>
        <v>43009</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v>100</v>
      </c>
      <c r="E59" s="650">
        <v>100</v>
      </c>
      <c r="F59" s="650">
        <v>100</v>
      </c>
      <c r="G59" s="650">
        <v>100</v>
      </c>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99.5</v>
      </c>
      <c r="H66" s="679">
        <f>G66-$K10</f>
        <v>99</v>
      </c>
      <c r="I66" s="679">
        <f>H66-$K10</f>
        <v>98.5</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1（含）-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1</v>
      </c>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771</v>
      </c>
      <c r="C86" s="3204" t="s">
        <v>3022</v>
      </c>
      <c r="D86" s="3204" t="s">
        <v>3114</v>
      </c>
      <c r="E86" s="3204" t="s">
        <v>3115</v>
      </c>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99</v>
      </c>
      <c r="E87" s="679">
        <f t="shared" si="19"/>
        <v>98</v>
      </c>
      <c r="F87" s="679">
        <f t="shared" si="19"/>
        <v>97</v>
      </c>
      <c r="G87" s="679">
        <f t="shared" si="19"/>
        <v>96</v>
      </c>
      <c r="H87" s="679">
        <f t="shared" si="19"/>
        <v>95</v>
      </c>
      <c r="I87" s="679">
        <f t="shared" si="19"/>
        <v>94</v>
      </c>
      <c r="J87" s="679">
        <f t="shared" si="19"/>
        <v>93</v>
      </c>
      <c r="K87" s="679">
        <f t="shared" si="19"/>
        <v>92</v>
      </c>
      <c r="L87" s="679">
        <f t="shared" si="19"/>
        <v>91</v>
      </c>
      <c r="M87" s="679">
        <f t="shared" si="19"/>
        <v>90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3204" t="s">
        <v>3061</v>
      </c>
      <c r="D88" s="3204" t="s">
        <v>3062</v>
      </c>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v>100</v>
      </c>
      <c r="D89" s="671">
        <v>101</v>
      </c>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27.75" thickTop="1">
      <c r="A94" s="669"/>
      <c r="B94" s="673" t="str">
        <f>B29</f>
        <v>临街道路</v>
      </c>
      <c r="C94" s="3209" t="s">
        <v>3143</v>
      </c>
      <c r="D94" s="3209" t="s">
        <v>3134</v>
      </c>
      <c r="E94" s="3209" t="s">
        <v>3135</v>
      </c>
      <c r="F94" s="3209" t="s">
        <v>3136</v>
      </c>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v>100</v>
      </c>
      <c r="D95" s="671">
        <v>98</v>
      </c>
      <c r="E95" s="671">
        <v>100</v>
      </c>
      <c r="F95" s="671">
        <v>100</v>
      </c>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5" thickTop="1">
      <c r="A100" s="664" t="s">
        <v>551</v>
      </c>
      <c r="B100" s="665" t="s">
        <v>772</v>
      </c>
      <c r="C100" s="3204" t="s">
        <v>3023</v>
      </c>
      <c r="D100" s="3205" t="s">
        <v>3138</v>
      </c>
      <c r="E100" s="3205" t="s">
        <v>3137</v>
      </c>
      <c r="F100" s="3205"/>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99</v>
      </c>
      <c r="E101" s="679">
        <f t="shared" si="21"/>
        <v>98</v>
      </c>
      <c r="F101" s="679">
        <f t="shared" si="21"/>
        <v>97</v>
      </c>
      <c r="G101" s="679">
        <f t="shared" si="21"/>
        <v>96</v>
      </c>
      <c r="H101" s="679">
        <f t="shared" si="21"/>
        <v>95</v>
      </c>
      <c r="I101" s="679">
        <f t="shared" si="21"/>
        <v>94</v>
      </c>
      <c r="J101" s="679">
        <f t="shared" si="21"/>
        <v>93</v>
      </c>
      <c r="K101" s="679">
        <f t="shared" si="21"/>
        <v>92</v>
      </c>
      <c r="L101" s="679">
        <f t="shared" si="21"/>
        <v>91</v>
      </c>
      <c r="M101" s="680">
        <f t="shared" si="21"/>
        <v>90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1(含)-800</v>
      </c>
      <c r="D102" s="708" t="str">
        <f t="shared" ref="D102:L102" si="22">D103&amp;"(含)"&amp;"-"&amp;E103</f>
        <v>800(含)-50000</v>
      </c>
      <c r="E102" s="708" t="str">
        <f t="shared" si="22"/>
        <v>50000(含)-100000</v>
      </c>
      <c r="F102" s="708" t="str">
        <f t="shared" si="22"/>
        <v>100000(含)-100000</v>
      </c>
      <c r="G102" s="708" t="str">
        <f t="shared" si="22"/>
        <v>100000(含)-250000</v>
      </c>
      <c r="H102" s="708" t="str">
        <f t="shared" si="22"/>
        <v>250000(含)-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1</v>
      </c>
      <c r="D103" s="730">
        <v>800</v>
      </c>
      <c r="E103" s="730">
        <v>50000</v>
      </c>
      <c r="F103" s="730">
        <v>100000</v>
      </c>
      <c r="G103" s="730">
        <v>100000</v>
      </c>
      <c r="H103" s="730">
        <v>250000</v>
      </c>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97.5</v>
      </c>
      <c r="E104" s="671">
        <v>95</v>
      </c>
      <c r="F104" s="671">
        <v>92.5</v>
      </c>
      <c r="G104" s="671">
        <v>90</v>
      </c>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204" t="s">
        <v>3025</v>
      </c>
      <c r="D105" s="688"/>
      <c r="E105" s="2179"/>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3204" t="s">
        <v>3027</v>
      </c>
      <c r="D107" s="3204" t="s">
        <v>3029</v>
      </c>
      <c r="E107" s="3204" t="s">
        <v>3030</v>
      </c>
      <c r="F107" s="3206" t="s">
        <v>3031</v>
      </c>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101</v>
      </c>
      <c r="E111" s="679">
        <f t="shared" ref="E111:M111" si="25">D111+$K36</f>
        <v>102</v>
      </c>
      <c r="F111" s="679">
        <f t="shared" si="25"/>
        <v>103</v>
      </c>
      <c r="G111" s="679">
        <f t="shared" si="25"/>
        <v>104</v>
      </c>
      <c r="H111" s="679">
        <f t="shared" si="25"/>
        <v>105</v>
      </c>
      <c r="I111" s="679">
        <f t="shared" si="25"/>
        <v>106</v>
      </c>
      <c r="J111" s="679">
        <f t="shared" si="25"/>
        <v>107</v>
      </c>
      <c r="K111" s="679">
        <f t="shared" si="25"/>
        <v>108</v>
      </c>
      <c r="L111" s="679">
        <f t="shared" si="25"/>
        <v>109</v>
      </c>
      <c r="M111" s="679">
        <f t="shared" si="25"/>
        <v>110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2557</v>
      </c>
      <c r="C112" s="3204" t="s">
        <v>3032</v>
      </c>
      <c r="D112" s="3204" t="s">
        <v>3034</v>
      </c>
      <c r="E112" s="3204" t="s">
        <v>3035</v>
      </c>
      <c r="F112" s="3204" t="s">
        <v>3036</v>
      </c>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0</v>
      </c>
      <c r="E113" s="679">
        <f t="shared" ref="E113:M113" si="26">D113-$K37</f>
        <v>-100</v>
      </c>
      <c r="F113" s="679">
        <f t="shared" si="26"/>
        <v>-200</v>
      </c>
      <c r="G113" s="679">
        <f t="shared" si="26"/>
        <v>-300</v>
      </c>
      <c r="H113" s="679">
        <f t="shared" si="26"/>
        <v>-400</v>
      </c>
      <c r="I113" s="679">
        <f t="shared" si="26"/>
        <v>-500</v>
      </c>
      <c r="J113" s="679">
        <f t="shared" si="26"/>
        <v>-600</v>
      </c>
      <c r="K113" s="679">
        <f t="shared" si="26"/>
        <v>-700</v>
      </c>
      <c r="L113" s="679">
        <f t="shared" si="26"/>
        <v>-800</v>
      </c>
      <c r="M113" s="679">
        <f t="shared" si="26"/>
        <v>-900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204" t="s">
        <v>3027</v>
      </c>
      <c r="D122" s="3204" t="s">
        <v>3029</v>
      </c>
      <c r="E122" s="3204" t="s">
        <v>3030</v>
      </c>
      <c r="F122" s="3206" t="s">
        <v>3031</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880" t="s">
        <v>3132</v>
      </c>
      <c r="D126" s="3204" t="s">
        <v>3131</v>
      </c>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v>100</v>
      </c>
      <c r="D127" s="671">
        <v>105</v>
      </c>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F54 H52:H54 J52:J54">
    <cfRule type="containsText" dxfId="133" priority="17" stopIfTrue="1" operator="containsText" text="超过">
      <formula>NOT(ISERROR(SEARCH("超过",F52)))</formula>
    </cfRule>
  </conditionalFormatting>
  <conditionalFormatting sqref="E52">
    <cfRule type="expression" dxfId="132" priority="12"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4">
    <cfRule type="expression" dxfId="129" priority="9" stopIfTrue="1">
      <formula>$H$54="超过30%"</formula>
    </cfRule>
  </conditionalFormatting>
  <conditionalFormatting sqref="G52">
    <cfRule type="expression" dxfId="128" priority="8" stopIfTrue="1">
      <formula>$H$52="超过30%"</formula>
    </cfRule>
  </conditionalFormatting>
  <conditionalFormatting sqref="G53">
    <cfRule type="expression" dxfId="127" priority="7"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37 G37 I37">
      <formula1>商业基础设施水平</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788"/>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9"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2653</v>
      </c>
      <c r="B6" s="433"/>
      <c r="C6" s="1623">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1848</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1865</v>
      </c>
      <c r="B11" s="1621"/>
      <c r="C11" s="1621"/>
      <c r="D11" s="1621"/>
      <c r="E11" s="1621"/>
      <c r="F11" s="1621"/>
      <c r="G11" s="1621"/>
      <c r="H11" s="1621"/>
      <c r="I11" s="1621"/>
      <c r="J11" s="1621"/>
      <c r="K11" s="1622"/>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3" t="s">
        <v>1849</v>
      </c>
      <c r="B13" s="449" t="s">
        <v>479</v>
      </c>
      <c r="C13" s="450">
        <f ca="1">IF(B1="",'数据-取费表'!M16,INDIRECT("'数据-取费表'!M"&amp;$K$1)+INDIRECT("'数据-取费表'!t"&amp;$K$1))</f>
        <v>182788</v>
      </c>
      <c r="D13" s="451"/>
      <c r="E13" s="365"/>
      <c r="F13" s="452"/>
      <c r="G13" s="444"/>
      <c r="H13" s="447"/>
      <c r="I13" s="447"/>
      <c r="J13" s="447"/>
      <c r="K13" s="448"/>
    </row>
    <row r="14" spans="1:41" s="2116" customFormat="1" ht="13.5" customHeight="1">
      <c r="A14" s="1633" t="s">
        <v>1850</v>
      </c>
      <c r="B14" s="449" t="s">
        <v>480</v>
      </c>
      <c r="C14" s="53">
        <f ca="1">ROUND(C13*F14,0)</f>
        <v>5484</v>
      </c>
      <c r="D14" s="451"/>
      <c r="E14" s="365"/>
      <c r="F14" s="453">
        <f>'数据-取费表'!B33</f>
        <v>0.03</v>
      </c>
      <c r="G14" s="444" t="s">
        <v>502</v>
      </c>
      <c r="H14" s="447"/>
      <c r="I14" s="447"/>
      <c r="J14" s="447"/>
      <c r="K14" s="448"/>
    </row>
    <row r="15" spans="1:41" s="2116" customFormat="1" ht="13.5" customHeight="1">
      <c r="A15" s="1633"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7" customFormat="1" ht="13.5" customHeight="1">
      <c r="A16" s="1633" t="s">
        <v>1852</v>
      </c>
      <c r="B16" s="449" t="s">
        <v>484</v>
      </c>
      <c r="C16" s="53">
        <f ca="1">ROUND(D16*E16/10000,0)</f>
        <v>8010</v>
      </c>
      <c r="D16" s="451">
        <f ca="1">IF(B1="",'数据-汇总表'!E3,INDIRECT("'数据-取费表'!K"&amp;$K$1)+INDIRECT("'数据-取费表'!S"&amp;$K$1))</f>
        <v>400500</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1853</v>
      </c>
      <c r="B17" s="449" t="s">
        <v>485</v>
      </c>
      <c r="C17" s="454">
        <f ca="1">ROUND(C13*F17,0)</f>
        <v>2742</v>
      </c>
      <c r="D17" s="455"/>
      <c r="E17" s="454"/>
      <c r="F17" s="456">
        <f>'数据-取费表'!B36</f>
        <v>1.4999999999999999E-2</v>
      </c>
      <c r="G17" s="444" t="s">
        <v>502</v>
      </c>
      <c r="H17" s="457"/>
      <c r="I17" s="457"/>
      <c r="J17" s="457"/>
      <c r="K17" s="458"/>
    </row>
    <row r="18" spans="1:14" s="2119" customFormat="1" ht="13.5" customHeight="1">
      <c r="A18" s="1634" t="s">
        <v>1854</v>
      </c>
      <c r="B18" s="459" t="s">
        <v>487</v>
      </c>
      <c r="C18" s="460">
        <f ca="1">SUM(C13:C17)</f>
        <v>199024</v>
      </c>
      <c r="D18" s="461"/>
      <c r="E18" s="462"/>
      <c r="F18" s="462"/>
      <c r="G18" s="1326" t="s">
        <v>2433</v>
      </c>
      <c r="H18" s="447"/>
      <c r="I18" s="447"/>
      <c r="J18" s="447"/>
      <c r="K18" s="448"/>
    </row>
    <row r="19" spans="1:14" s="2119" customFormat="1" ht="13.5" customHeight="1">
      <c r="A19" s="1634" t="s">
        <v>1855</v>
      </c>
      <c r="B19" s="459" t="s">
        <v>493</v>
      </c>
      <c r="C19" s="460">
        <f ca="1">ROUND(C18*F19,0)</f>
        <v>5971</v>
      </c>
      <c r="D19" s="462"/>
      <c r="E19" s="462"/>
      <c r="F19" s="466">
        <f>'数据-取费表'!B37</f>
        <v>0.03</v>
      </c>
      <c r="G19" s="444" t="s">
        <v>503</v>
      </c>
      <c r="H19" s="447"/>
      <c r="I19" s="447"/>
      <c r="J19" s="447"/>
      <c r="K19" s="448"/>
      <c r="L19" s="2121"/>
      <c r="M19" s="2121"/>
      <c r="N19" s="2121"/>
    </row>
    <row r="20" spans="1:14" s="2119" customFormat="1" ht="13.5" customHeight="1">
      <c r="A20" s="1634" t="s">
        <v>1856</v>
      </c>
      <c r="B20" s="459" t="s">
        <v>504</v>
      </c>
      <c r="C20" s="3006">
        <f>F20</f>
        <v>0.03</v>
      </c>
      <c r="D20" s="469" t="s">
        <v>505</v>
      </c>
      <c r="E20" s="469"/>
      <c r="F20" s="486">
        <f>'数据-取费表'!B38</f>
        <v>0.03</v>
      </c>
      <c r="G20" s="1326" t="s">
        <v>506</v>
      </c>
      <c r="H20" s="447"/>
      <c r="I20" s="447"/>
      <c r="J20" s="447"/>
      <c r="K20" s="448"/>
      <c r="L20" s="2121"/>
      <c r="M20" s="2121"/>
      <c r="N20" s="2121"/>
    </row>
    <row r="21" spans="1:14" s="2121" customFormat="1" ht="13.5" customHeight="1">
      <c r="A21" s="1634" t="s">
        <v>1859</v>
      </c>
      <c r="B21" s="461" t="s">
        <v>494</v>
      </c>
      <c r="C21" s="470">
        <f ca="1">C22</f>
        <v>9737</v>
      </c>
      <c r="D21" s="467">
        <f ca="1">C23</f>
        <v>1.4E-3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3" t="s">
        <v>1849</v>
      </c>
      <c r="B22" s="1327" t="s">
        <v>2436</v>
      </c>
      <c r="C22" s="487">
        <f ca="1">ROUND(IF('数据-取费表'!B22&lt;=1,(C18+C19)*F21*'数据-取费表'!B20/2,(C18+C19)*(POWER((1+F21),'数据-取费表'!B20/2)-1)),0)</f>
        <v>9737</v>
      </c>
      <c r="D22" s="472"/>
      <c r="E22" s="473"/>
      <c r="F22" s="474"/>
      <c r="G22" s="2546" t="str">
        <f>IF('数据-取费表'!B22&lt;=1,"((1)+(2))×年利率×建设期÷2","((1)+(2))×((1+年利率)^(建设期÷2)-1)")</f>
        <v>((1)+(2))×((1+年利率)^(建设期÷2)-1)</v>
      </c>
      <c r="H22" s="457"/>
      <c r="I22" s="457"/>
      <c r="J22" s="457"/>
      <c r="K22" s="458"/>
    </row>
    <row r="23" spans="1:14" s="2120" customFormat="1" ht="13.5" customHeight="1">
      <c r="A23" s="1633" t="s">
        <v>1850</v>
      </c>
      <c r="B23" s="1327" t="s">
        <v>508</v>
      </c>
      <c r="C23" s="488">
        <f ca="1">ROUND(IF('数据-取费表'!B22&lt;=1,F20*F21*'数据-取费表'!B20/2,F20*(POWER((1+F21),'数据-取费表'!B20/2)-1)),4)</f>
        <v>1.4E-3</v>
      </c>
      <c r="D23" s="472"/>
      <c r="E23" s="473"/>
      <c r="F23" s="474"/>
      <c r="G23" s="2546" t="str">
        <f>IF('数据-取费表'!B22&lt;=1,"销售费用率×年利率×建设期÷2","销售费用率×((1+年利率)^(建设期÷2)-1)")</f>
        <v>销售费用率×((1+年利率)^(建设期÷2)-1)</v>
      </c>
      <c r="H23" s="457"/>
      <c r="I23" s="457"/>
      <c r="J23" s="457"/>
      <c r="K23" s="458"/>
    </row>
    <row r="24" spans="1:14" s="2120" customFormat="1" ht="13.5" customHeight="1">
      <c r="A24" s="1634" t="s">
        <v>1860</v>
      </c>
      <c r="B24" s="3008" t="s">
        <v>2831</v>
      </c>
      <c r="C24" s="478">
        <f ca="1">C25</f>
        <v>43049</v>
      </c>
      <c r="D24" s="489">
        <f ca="1">C26</f>
        <v>6.3E-3</v>
      </c>
      <c r="E24" s="469" t="s">
        <v>507</v>
      </c>
      <c r="F24" s="479">
        <f ca="1">IF(B1="",'数据-取费表'!Q16,INDIRECT("'数据-取费表'!q"&amp;$K$1))</f>
        <v>0.21</v>
      </c>
      <c r="G24" s="444"/>
      <c r="H24" s="447"/>
      <c r="I24" s="447"/>
      <c r="J24" s="447"/>
      <c r="K24" s="448"/>
    </row>
    <row r="25" spans="1:14" s="2120" customFormat="1" ht="13.5" customHeight="1">
      <c r="A25" s="1633" t="s">
        <v>1849</v>
      </c>
      <c r="B25" s="1327" t="s">
        <v>2437</v>
      </c>
      <c r="C25" s="490">
        <f ca="1">ROUND((C18+C19)*F24,0)</f>
        <v>43049</v>
      </c>
      <c r="D25" s="472"/>
      <c r="E25" s="473"/>
      <c r="F25" s="480"/>
      <c r="G25" s="1325" t="s">
        <v>2434</v>
      </c>
      <c r="H25" s="457"/>
      <c r="I25" s="457"/>
      <c r="J25" s="457"/>
      <c r="K25" s="458"/>
    </row>
    <row r="26" spans="1:14" s="2120" customFormat="1" ht="13.5" customHeight="1">
      <c r="A26" s="1633" t="s">
        <v>1850</v>
      </c>
      <c r="B26" s="1327" t="s">
        <v>509</v>
      </c>
      <c r="C26" s="491">
        <f ca="1">ROUND(F20*F24,4)</f>
        <v>6.3E-3</v>
      </c>
      <c r="D26" s="472"/>
      <c r="E26" s="481"/>
      <c r="F26" s="480"/>
      <c r="G26" s="1325" t="s">
        <v>510</v>
      </c>
      <c r="H26" s="457"/>
      <c r="I26" s="457"/>
      <c r="J26" s="457"/>
      <c r="K26" s="458"/>
    </row>
    <row r="27" spans="1:14" s="2120" customFormat="1" ht="13.5" customHeight="1">
      <c r="A27" s="1637" t="s">
        <v>1868</v>
      </c>
      <c r="B27" s="459" t="s">
        <v>511</v>
      </c>
      <c r="C27" s="3007">
        <f>ROUND(F27/(1+'数据-取费表'!C42),4)</f>
        <v>5.33E-2</v>
      </c>
      <c r="D27" s="462" t="s">
        <v>2829</v>
      </c>
      <c r="E27" s="462"/>
      <c r="F27" s="466">
        <f>'数据-取费表'!B41</f>
        <v>5.6000000000000001E-2</v>
      </c>
      <c r="G27" s="1960" t="s">
        <v>2292</v>
      </c>
      <c r="H27" s="447"/>
      <c r="I27" s="447"/>
      <c r="J27" s="447"/>
      <c r="K27" s="448"/>
    </row>
    <row r="28" spans="1:14" s="2121" customFormat="1" ht="13.5" customHeight="1">
      <c r="A28" s="1637" t="s">
        <v>1869</v>
      </c>
      <c r="B28" s="476" t="s">
        <v>512</v>
      </c>
      <c r="C28" s="470">
        <f ca="1">ROUND((C18+C19+C21+C24)/(1-C20-D21-D24-C27),0)</f>
        <v>283587</v>
      </c>
      <c r="D28" s="477"/>
      <c r="E28" s="469"/>
      <c r="F28" s="471"/>
      <c r="G28" s="1326" t="s">
        <v>2435</v>
      </c>
      <c r="H28" s="447"/>
      <c r="I28" s="447"/>
      <c r="J28" s="447"/>
      <c r="K28" s="448"/>
    </row>
    <row r="29" spans="1:14" s="2121"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8" t="s">
        <v>515</v>
      </c>
      <c r="H30" s="496"/>
      <c r="I30" s="496"/>
      <c r="J30" s="447"/>
      <c r="K30" s="448"/>
    </row>
    <row r="31" spans="1:14" s="2126" customFormat="1" ht="13.5" customHeight="1">
      <c r="A31" s="2461" t="s">
        <v>1866</v>
      </c>
      <c r="B31" s="1329"/>
      <c r="C31" s="500">
        <f>ROUND(C6*F31/(1+'数据-取费表'!C42),0)</f>
        <v>0</v>
      </c>
      <c r="D31" s="1330"/>
      <c r="E31" s="1330"/>
      <c r="F31" s="501">
        <f>'数据-取费表'!B41</f>
        <v>5.6000000000000001E-2</v>
      </c>
      <c r="G31" s="1331"/>
      <c r="H31" s="1331"/>
      <c r="I31" s="1331"/>
      <c r="J31" s="1332"/>
      <c r="K31" s="1333"/>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2"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t="e">
        <f>F68</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1685</v>
      </c>
      <c r="B3" s="510" t="e">
        <f>ROUND(B2*10000/'数据-汇总表'!E3,0)</f>
        <v>#DIV/0!</v>
      </c>
      <c r="C3" s="2061"/>
      <c r="D3" s="2549"/>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5" customFormat="1" ht="28.5" customHeight="1">
      <c r="A4" s="511" t="s">
        <v>520</v>
      </c>
      <c r="B4" s="427" t="e">
        <f>IF(B48="单位面积地价",C50,ROUND(B2*10000/'数据-汇总表'!D3,0))</f>
        <v>#DIV/0!</v>
      </c>
      <c r="C4" s="2061"/>
      <c r="D4" s="2549"/>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5"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521</v>
      </c>
      <c r="B6" s="513"/>
      <c r="C6" s="3486" t="s">
        <v>522</v>
      </c>
      <c r="D6" s="3487"/>
      <c r="E6" s="3486" t="s">
        <v>523</v>
      </c>
      <c r="F6" s="3487"/>
      <c r="G6" s="3486" t="s">
        <v>524</v>
      </c>
      <c r="H6" s="3487"/>
      <c r="I6" s="3486" t="s">
        <v>525</v>
      </c>
      <c r="J6" s="3487"/>
      <c r="K6" s="514" t="s">
        <v>526</v>
      </c>
      <c r="L6" s="2133"/>
      <c r="M6" s="2132"/>
      <c r="N6" s="2132"/>
      <c r="O6" s="2134"/>
      <c r="P6" s="3490" t="s">
        <v>527</v>
      </c>
      <c r="Q6" s="3491"/>
      <c r="R6" s="3496" t="s">
        <v>523</v>
      </c>
      <c r="S6" s="3497"/>
      <c r="T6" s="3496" t="s">
        <v>524</v>
      </c>
      <c r="U6" s="3497"/>
      <c r="V6" s="3502" t="s">
        <v>525</v>
      </c>
      <c r="W6" s="3502"/>
      <c r="X6" s="1567"/>
      <c r="Y6" s="3496" t="s">
        <v>527</v>
      </c>
      <c r="Z6" s="3497"/>
      <c r="AA6" s="3483" t="s">
        <v>523</v>
      </c>
      <c r="AB6" s="3484" t="s">
        <v>524</v>
      </c>
      <c r="AC6" s="3483" t="s">
        <v>525</v>
      </c>
    </row>
    <row r="7" spans="1:30" ht="20.25">
      <c r="A7" s="515"/>
      <c r="B7" s="516"/>
      <c r="C7" s="3510" t="s">
        <v>2926</v>
      </c>
      <c r="D7" s="3506"/>
      <c r="E7" s="3510" t="s">
        <v>2927</v>
      </c>
      <c r="F7" s="3506"/>
      <c r="G7" s="3510" t="s">
        <v>2928</v>
      </c>
      <c r="H7" s="3506"/>
      <c r="I7" s="3510" t="s">
        <v>2929</v>
      </c>
      <c r="J7" s="3506"/>
      <c r="K7" s="514"/>
      <c r="L7" s="2133"/>
      <c r="M7" s="2132"/>
      <c r="N7" s="2132"/>
      <c r="O7" s="2134"/>
      <c r="P7" s="3492"/>
      <c r="Q7" s="3493"/>
      <c r="R7" s="3498"/>
      <c r="S7" s="3499"/>
      <c r="T7" s="3498"/>
      <c r="U7" s="3499"/>
      <c r="V7" s="3502"/>
      <c r="W7" s="3502"/>
      <c r="X7" s="1567"/>
      <c r="Y7" s="3498"/>
      <c r="Z7" s="3499"/>
      <c r="AA7" s="3484"/>
      <c r="AB7" s="3484"/>
      <c r="AC7" s="3484"/>
    </row>
    <row r="8" spans="1:30" ht="21" thickBot="1">
      <c r="A8" s="515"/>
      <c r="B8" s="516"/>
      <c r="C8" s="3517" t="s">
        <v>2930</v>
      </c>
      <c r="D8" s="3518"/>
      <c r="E8" s="3517" t="s">
        <v>2930</v>
      </c>
      <c r="F8" s="3518"/>
      <c r="G8" s="3503" t="s">
        <v>2930</v>
      </c>
      <c r="H8" s="3504"/>
      <c r="I8" s="3503" t="s">
        <v>2930</v>
      </c>
      <c r="J8" s="3504"/>
      <c r="K8" s="514" t="s">
        <v>528</v>
      </c>
      <c r="L8" s="2133"/>
      <c r="M8" s="2132"/>
      <c r="N8" s="2132"/>
      <c r="O8" s="2134"/>
      <c r="P8" s="3494"/>
      <c r="Q8" s="3495"/>
      <c r="R8" s="3498"/>
      <c r="S8" s="3499"/>
      <c r="T8" s="3500"/>
      <c r="U8" s="3501"/>
      <c r="V8" s="3502"/>
      <c r="W8" s="3502"/>
      <c r="X8" s="1567"/>
      <c r="Y8" s="3500"/>
      <c r="Z8" s="3501"/>
      <c r="AA8" s="3485"/>
      <c r="AB8" s="3485"/>
      <c r="AC8" s="3485"/>
    </row>
    <row r="9" spans="1:30" s="1219" customFormat="1" ht="21" thickBot="1">
      <c r="A9" s="2891"/>
      <c r="B9" s="2898" t="s">
        <v>529</v>
      </c>
      <c r="C9" s="2890">
        <f>'数据-取费表'!B2</f>
        <v>43388</v>
      </c>
      <c r="D9" s="520">
        <v>100</v>
      </c>
      <c r="E9" s="521"/>
      <c r="F9" s="522">
        <f>SUMIF(72:72,YEAR(E9)&amp;"-"&amp;INT((MONTH(E9)+2)/3),73:73)</f>
        <v>0</v>
      </c>
      <c r="G9" s="523"/>
      <c r="H9" s="520">
        <f>SUMIF(72:72,YEAR(G9)&amp;"-"&amp;INT((MONTH(G9)+2)/3),73:73)</f>
        <v>0</v>
      </c>
      <c r="I9" s="523"/>
      <c r="J9" s="520">
        <f>SUMIF(72:72,YEAR(I9)&amp;"-"&amp;INT((MONTH(I9)+2)/3),73:73)</f>
        <v>0</v>
      </c>
      <c r="K9" s="524"/>
      <c r="L9" s="2135"/>
      <c r="M9" s="2132"/>
      <c r="N9" s="2132"/>
      <c r="O9" s="2136"/>
      <c r="P9" s="3507" t="s">
        <v>530</v>
      </c>
      <c r="Q9" s="3509"/>
      <c r="R9" s="1568" t="s">
        <v>8</v>
      </c>
      <c r="S9" s="1569">
        <f t="shared" ref="S9:S17" si="0">F9</f>
        <v>0</v>
      </c>
      <c r="T9" s="1568" t="s">
        <v>8</v>
      </c>
      <c r="U9" s="1569">
        <f t="shared" ref="U9:U17" si="1">H9</f>
        <v>0</v>
      </c>
      <c r="V9" s="1568" t="s">
        <v>8</v>
      </c>
      <c r="W9" s="1569">
        <f t="shared" ref="W9:W17" si="2">J9</f>
        <v>0</v>
      </c>
      <c r="X9" s="1570"/>
      <c r="Y9" s="3507" t="s">
        <v>530</v>
      </c>
      <c r="Z9" s="3508"/>
      <c r="AA9" s="1571" t="e">
        <f>D9/F9</f>
        <v>#DIV/0!</v>
      </c>
      <c r="AB9" s="1571" t="e">
        <f>D9/H9</f>
        <v>#DIV/0!</v>
      </c>
      <c r="AC9" s="1571" t="e">
        <f>D9/J9</f>
        <v>#DIV/0!</v>
      </c>
    </row>
    <row r="10" spans="1:30" s="1219" customFormat="1" ht="21" thickBot="1">
      <c r="A10" s="2892"/>
      <c r="B10" s="2899"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5"/>
      <c r="M10" s="2132"/>
      <c r="N10" s="2132"/>
      <c r="O10" s="2136"/>
      <c r="P10" s="3507" t="s">
        <v>533</v>
      </c>
      <c r="Q10" s="3508"/>
      <c r="R10" s="1568" t="s">
        <v>8</v>
      </c>
      <c r="S10" s="1569">
        <f t="shared" si="0"/>
        <v>0</v>
      </c>
      <c r="T10" s="1568" t="s">
        <v>8</v>
      </c>
      <c r="U10" s="1569">
        <f t="shared" si="1"/>
        <v>0</v>
      </c>
      <c r="V10" s="1568" t="s">
        <v>8</v>
      </c>
      <c r="W10" s="1569">
        <f t="shared" si="2"/>
        <v>0</v>
      </c>
      <c r="X10" s="1570"/>
      <c r="Y10" s="3507" t="s">
        <v>533</v>
      </c>
      <c r="Z10" s="3508"/>
      <c r="AA10" s="1571" t="e">
        <f t="shared" ref="AA10:AA47" si="3">D10/F10</f>
        <v>#DIV/0!</v>
      </c>
      <c r="AB10" s="1571" t="e">
        <f t="shared" ref="AB10:AB47" si="4">D10/H10</f>
        <v>#DIV/0!</v>
      </c>
      <c r="AC10" s="1571" t="e">
        <f t="shared" ref="AC10:AC47" si="5">D10/J10</f>
        <v>#DIV/0!</v>
      </c>
    </row>
    <row r="11" spans="1:30" s="1219" customFormat="1" ht="20.25">
      <c r="A11" s="2893"/>
      <c r="B11" s="2900" t="s">
        <v>2757</v>
      </c>
      <c r="C11" s="2887"/>
      <c r="D11" s="254">
        <v>100</v>
      </c>
      <c r="E11" s="526"/>
      <c r="F11" s="254">
        <f>SUMIF(77:77,E11,78:78)-SUMIF(77:77,C11,78:78)+100</f>
        <v>100</v>
      </c>
      <c r="G11" s="526"/>
      <c r="H11" s="254">
        <f>SUMIF(77:77,G11,78:78)-SUMIF(77:77,C11,78:78)+100</f>
        <v>100</v>
      </c>
      <c r="I11" s="526"/>
      <c r="J11" s="254">
        <f>SUMIF(77:77,I11,78:78)-SUMIF(77:77,C11,78:78)+100</f>
        <v>100</v>
      </c>
      <c r="K11" s="524"/>
      <c r="L11" s="2135"/>
      <c r="M11" s="2132"/>
      <c r="N11" s="2132"/>
      <c r="O11" s="2137"/>
      <c r="P11" s="3473" t="s">
        <v>535</v>
      </c>
      <c r="Q11" s="1151" t="str">
        <f t="shared" ref="Q11:Q17" si="6">B11</f>
        <v>用途</v>
      </c>
      <c r="R11" s="1568" t="s">
        <v>8</v>
      </c>
      <c r="S11" s="1569">
        <f t="shared" si="0"/>
        <v>100</v>
      </c>
      <c r="T11" s="1568" t="s">
        <v>8</v>
      </c>
      <c r="U11" s="1569">
        <f t="shared" si="1"/>
        <v>100</v>
      </c>
      <c r="V11" s="1568" t="s">
        <v>8</v>
      </c>
      <c r="W11" s="1569">
        <f t="shared" si="2"/>
        <v>100</v>
      </c>
      <c r="X11" s="1570"/>
      <c r="Y11" s="3434" t="s">
        <v>536</v>
      </c>
      <c r="Z11" s="1150" t="str">
        <f t="shared" ref="Z11:Z17" si="7">Q11</f>
        <v>用途</v>
      </c>
      <c r="AA11" s="1571">
        <f t="shared" si="3"/>
        <v>1</v>
      </c>
      <c r="AB11" s="1571">
        <f t="shared" si="4"/>
        <v>1</v>
      </c>
      <c r="AC11" s="1571">
        <f t="shared" si="5"/>
        <v>1</v>
      </c>
    </row>
    <row r="12" spans="1:30" s="1337" customFormat="1" ht="27">
      <c r="A12" s="2894"/>
      <c r="B12" s="2899" t="s">
        <v>2758</v>
      </c>
      <c r="C12" s="910"/>
      <c r="D12" s="255">
        <v>100</v>
      </c>
      <c r="E12" s="529"/>
      <c r="F12" s="255">
        <f>ROUND(100/'数据-取费表'!G16,0)</f>
        <v>100</v>
      </c>
      <c r="G12" s="530"/>
      <c r="H12" s="255">
        <f>ROUND(100/'数据-取费表'!G16,0)</f>
        <v>100</v>
      </c>
      <c r="I12" s="530"/>
      <c r="J12" s="255">
        <f>ROUND(100/'数据-取费表'!G16,0)</f>
        <v>100</v>
      </c>
      <c r="K12" s="531"/>
      <c r="L12" s="2138"/>
      <c r="M12" s="2132"/>
      <c r="N12" s="2132"/>
      <c r="O12" s="2139"/>
      <c r="P12" s="3473"/>
      <c r="Q12" s="1151" t="str">
        <f t="shared" si="6"/>
        <v>土地使用年限（年）</v>
      </c>
      <c r="R12" s="1568" t="s">
        <v>8</v>
      </c>
      <c r="S12" s="1569">
        <f t="shared" si="0"/>
        <v>100</v>
      </c>
      <c r="T12" s="1568" t="s">
        <v>8</v>
      </c>
      <c r="U12" s="1569">
        <f t="shared" si="1"/>
        <v>100</v>
      </c>
      <c r="V12" s="1568" t="s">
        <v>8</v>
      </c>
      <c r="W12" s="1569">
        <f t="shared" si="2"/>
        <v>100</v>
      </c>
      <c r="X12" s="1570"/>
      <c r="Y12" s="3434"/>
      <c r="Z12" s="1150" t="str">
        <f t="shared" si="7"/>
        <v>土地使用年限（年）</v>
      </c>
      <c r="AA12" s="1571">
        <f t="shared" si="3"/>
        <v>1</v>
      </c>
      <c r="AB12" s="1571">
        <f t="shared" si="4"/>
        <v>1</v>
      </c>
      <c r="AC12" s="1571">
        <f t="shared" si="5"/>
        <v>1</v>
      </c>
    </row>
    <row r="13" spans="1:30" ht="20.25">
      <c r="A13" s="2895"/>
      <c r="B13" s="2899" t="s">
        <v>2759</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0"/>
      <c r="M13" s="2132"/>
      <c r="N13" s="2132"/>
      <c r="O13" s="2141"/>
      <c r="P13" s="3473"/>
      <c r="Q13" s="1151" t="str">
        <f t="shared" si="6"/>
        <v>容积率</v>
      </c>
      <c r="R13" s="1568" t="s">
        <v>8</v>
      </c>
      <c r="S13" s="1569" t="e">
        <f t="shared" si="0"/>
        <v>#N/A</v>
      </c>
      <c r="T13" s="1568" t="s">
        <v>8</v>
      </c>
      <c r="U13" s="1569" t="e">
        <f t="shared" si="1"/>
        <v>#N/A</v>
      </c>
      <c r="V13" s="1568" t="s">
        <v>8</v>
      </c>
      <c r="W13" s="1569" t="e">
        <f t="shared" si="2"/>
        <v>#N/A</v>
      </c>
      <c r="X13" s="1570"/>
      <c r="Y13" s="3434"/>
      <c r="Z13" s="1150" t="str">
        <f t="shared" si="7"/>
        <v>容积率</v>
      </c>
      <c r="AA13" s="1571" t="e">
        <f t="shared" si="3"/>
        <v>#N/A</v>
      </c>
      <c r="AB13" s="1571" t="e">
        <f t="shared" si="4"/>
        <v>#N/A</v>
      </c>
      <c r="AC13" s="1571" t="e">
        <f t="shared" si="5"/>
        <v>#N/A</v>
      </c>
    </row>
    <row r="14" spans="1:30" s="1219" customFormat="1" ht="20.25">
      <c r="A14" s="2892"/>
      <c r="B14" s="2901" t="s">
        <v>2760</v>
      </c>
      <c r="C14" s="2888"/>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473"/>
      <c r="Q14" s="1151" t="str">
        <f t="shared" si="6"/>
        <v>配建</v>
      </c>
      <c r="R14" s="1568" t="s">
        <v>8</v>
      </c>
      <c r="S14" s="1569">
        <f t="shared" si="0"/>
        <v>100</v>
      </c>
      <c r="T14" s="1568" t="s">
        <v>8</v>
      </c>
      <c r="U14" s="1569">
        <f t="shared" si="1"/>
        <v>100</v>
      </c>
      <c r="V14" s="1568" t="s">
        <v>8</v>
      </c>
      <c r="W14" s="1569">
        <f t="shared" si="2"/>
        <v>100</v>
      </c>
      <c r="X14" s="1570"/>
      <c r="Y14" s="3434"/>
      <c r="Z14" s="1150" t="str">
        <f t="shared" si="7"/>
        <v>配建</v>
      </c>
      <c r="AA14" s="1571">
        <f>D14/F14</f>
        <v>1</v>
      </c>
      <c r="AB14" s="1571">
        <f>D14/H14</f>
        <v>1</v>
      </c>
      <c r="AC14" s="1571">
        <f>D14/J14</f>
        <v>1</v>
      </c>
    </row>
    <row r="15" spans="1:30" ht="20.25">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73"/>
      <c r="Q15" s="1151">
        <f t="shared" si="6"/>
        <v>111</v>
      </c>
      <c r="R15" s="1568" t="s">
        <v>8</v>
      </c>
      <c r="S15" s="1569">
        <f t="shared" si="0"/>
        <v>100</v>
      </c>
      <c r="T15" s="1568" t="s">
        <v>8</v>
      </c>
      <c r="U15" s="1569">
        <f t="shared" si="1"/>
        <v>100</v>
      </c>
      <c r="V15" s="1568" t="s">
        <v>8</v>
      </c>
      <c r="W15" s="1569">
        <f t="shared" si="2"/>
        <v>100</v>
      </c>
      <c r="X15" s="1570"/>
      <c r="Y15" s="3434"/>
      <c r="Z15" s="1150">
        <f t="shared" si="7"/>
        <v>111</v>
      </c>
      <c r="AA15" s="1571">
        <f>D15/F15</f>
        <v>1</v>
      </c>
      <c r="AB15" s="1571">
        <f>D15/H15</f>
        <v>1</v>
      </c>
      <c r="AC15" s="1571">
        <f>D15/J15</f>
        <v>1</v>
      </c>
    </row>
    <row r="16" spans="1:30" ht="2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73"/>
      <c r="Q16" s="1151">
        <f t="shared" si="6"/>
        <v>111</v>
      </c>
      <c r="R16" s="1568" t="s">
        <v>8</v>
      </c>
      <c r="S16" s="1569">
        <f t="shared" si="0"/>
        <v>100</v>
      </c>
      <c r="T16" s="1568" t="s">
        <v>8</v>
      </c>
      <c r="U16" s="1569">
        <f t="shared" si="1"/>
        <v>100</v>
      </c>
      <c r="V16" s="1568" t="s">
        <v>8</v>
      </c>
      <c r="W16" s="1569">
        <f t="shared" si="2"/>
        <v>100</v>
      </c>
      <c r="X16" s="1570"/>
      <c r="Y16" s="3434"/>
      <c r="Z16" s="1150">
        <f t="shared" si="7"/>
        <v>111</v>
      </c>
      <c r="AA16" s="1571">
        <f>D16/F16</f>
        <v>1</v>
      </c>
      <c r="AB16" s="1571">
        <f>D16/H16</f>
        <v>1</v>
      </c>
      <c r="AC16" s="1571">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2"/>
      <c r="M17" s="2132"/>
      <c r="N17" s="2132"/>
      <c r="O17" s="2141"/>
      <c r="P17" s="3478" t="s">
        <v>540</v>
      </c>
      <c r="Q17" s="1572" t="str">
        <f t="shared" si="6"/>
        <v>居住社区成熟度</v>
      </c>
      <c r="R17" s="1573" t="s">
        <v>8</v>
      </c>
      <c r="S17" s="1574">
        <f t="shared" si="0"/>
        <v>100</v>
      </c>
      <c r="T17" s="1573" t="s">
        <v>8</v>
      </c>
      <c r="U17" s="1574">
        <f t="shared" si="1"/>
        <v>100</v>
      </c>
      <c r="V17" s="1573" t="s">
        <v>8</v>
      </c>
      <c r="W17" s="1574">
        <f t="shared" si="2"/>
        <v>100</v>
      </c>
      <c r="X17" s="1567"/>
      <c r="Y17" s="3478" t="s">
        <v>540</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2"/>
      <c r="M18" s="2132"/>
      <c r="N18" s="2132"/>
      <c r="O18" s="2141"/>
      <c r="P18" s="3479"/>
      <c r="Q18" s="1572"/>
      <c r="R18" s="1573"/>
      <c r="S18" s="1574"/>
      <c r="T18" s="1573"/>
      <c r="U18" s="1574"/>
      <c r="V18" s="1573"/>
      <c r="W18" s="1574"/>
      <c r="X18" s="1567"/>
      <c r="Y18" s="3479"/>
      <c r="Z18" s="1575"/>
      <c r="AA18" s="1576">
        <v>1</v>
      </c>
      <c r="AB18" s="1576">
        <v>1</v>
      </c>
      <c r="AC18" s="1576">
        <v>1</v>
      </c>
    </row>
    <row r="19" spans="1:29" ht="85.5">
      <c r="A19" s="532"/>
      <c r="B19" s="560" t="s">
        <v>541</v>
      </c>
      <c r="C19" s="561" t="str">
        <f>估价对象房地状况!C16</f>
        <v>估价对象位于酒仙桥商圈，周边商业氛围较成熟，人流量较大，商业繁华度较好</v>
      </c>
      <c r="D19" s="563">
        <v>100</v>
      </c>
      <c r="E19" s="564"/>
      <c r="F19" s="559">
        <f>SUMIF(92:92,E20,93:93)-SUMIF(92:92,C20,93:93)+100</f>
        <v>100</v>
      </c>
      <c r="G19" s="562"/>
      <c r="H19" s="565">
        <f>SUMIF(92:92,G20,93:93)-SUMIF(92:92,C20,93:93)+100</f>
        <v>100</v>
      </c>
      <c r="I19" s="564"/>
      <c r="J19" s="565">
        <f>SUMIF(92:92,I20,93:93)-SUMIF(92:92,C20,93:93)+100</f>
        <v>100</v>
      </c>
      <c r="K19" s="535"/>
      <c r="L19" s="2142"/>
      <c r="M19" s="2132"/>
      <c r="N19" s="2132"/>
      <c r="O19" s="2141"/>
      <c r="P19" s="3479"/>
      <c r="Q19" s="1572" t="str">
        <f>B19</f>
        <v>商业繁华度</v>
      </c>
      <c r="R19" s="1573" t="s">
        <v>8</v>
      </c>
      <c r="S19" s="1574">
        <f>F19</f>
        <v>100</v>
      </c>
      <c r="T19" s="1573" t="s">
        <v>8</v>
      </c>
      <c r="U19" s="1574">
        <f>H19</f>
        <v>100</v>
      </c>
      <c r="V19" s="1573" t="s">
        <v>8</v>
      </c>
      <c r="W19" s="1574">
        <f>J19</f>
        <v>100</v>
      </c>
      <c r="X19" s="1567"/>
      <c r="Y19" s="3479"/>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2"/>
      <c r="M20" s="2132"/>
      <c r="N20" s="2132"/>
      <c r="O20" s="2141"/>
      <c r="P20" s="3479"/>
      <c r="Q20" s="1572"/>
      <c r="R20" s="1573"/>
      <c r="S20" s="1574"/>
      <c r="T20" s="1573"/>
      <c r="U20" s="1574"/>
      <c r="V20" s="1573"/>
      <c r="W20" s="1574"/>
      <c r="X20" s="1567"/>
      <c r="Y20" s="3479"/>
      <c r="Z20" s="1575"/>
      <c r="AA20" s="1576">
        <v>1</v>
      </c>
      <c r="AB20" s="1576">
        <v>1</v>
      </c>
      <c r="AC20" s="1576">
        <v>1</v>
      </c>
    </row>
    <row r="21" spans="1:29" ht="85.5">
      <c r="A21" s="532"/>
      <c r="B21" s="560" t="s">
        <v>542</v>
      </c>
      <c r="C21" s="561" t="str">
        <f>估价对象房地状况!C17</f>
        <v>估价对象位于酒仙桥商圈，周边办公楼项目较多，入驻率高，办公集聚程度较好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79"/>
      <c r="Q21" s="1572" t="str">
        <f>B21</f>
        <v>办公集聚程度</v>
      </c>
      <c r="R21" s="1573" t="s">
        <v>8</v>
      </c>
      <c r="S21" s="1574">
        <f>F21</f>
        <v>100</v>
      </c>
      <c r="T21" s="1573" t="s">
        <v>8</v>
      </c>
      <c r="U21" s="1574">
        <f>H21</f>
        <v>100</v>
      </c>
      <c r="V21" s="1573" t="s">
        <v>8</v>
      </c>
      <c r="W21" s="1574">
        <f>J21</f>
        <v>100</v>
      </c>
      <c r="X21" s="1567"/>
      <c r="Y21" s="3479"/>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2"/>
      <c r="M22" s="2132"/>
      <c r="N22" s="2132"/>
      <c r="O22" s="2141"/>
      <c r="P22" s="3479"/>
      <c r="Q22" s="1572"/>
      <c r="R22" s="1573"/>
      <c r="S22" s="1574"/>
      <c r="T22" s="1573"/>
      <c r="U22" s="1574"/>
      <c r="V22" s="1573"/>
      <c r="W22" s="1574"/>
      <c r="X22" s="1567"/>
      <c r="Y22" s="3479"/>
      <c r="Z22" s="1575"/>
      <c r="AA22" s="1576">
        <v>1</v>
      </c>
      <c r="AB22" s="1576">
        <v>1</v>
      </c>
      <c r="AC22" s="1576">
        <v>1</v>
      </c>
    </row>
    <row r="23" spans="1:29" ht="156.75">
      <c r="A23" s="532"/>
      <c r="B23" s="560" t="s">
        <v>543</v>
      </c>
      <c r="C23" s="573" t="str">
        <f>估价对象房地状况!C18</f>
        <v>估价对象周边有445路、516路、659路、983路等多条公交线路经过，距14号线地铁（将台站）约300米，道路状况较好、公共交通通达情况较好、综合评价交通便捷度较好。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2"/>
      <c r="M23" s="2132"/>
      <c r="N23" s="2132"/>
      <c r="O23" s="2141"/>
      <c r="P23" s="3479"/>
      <c r="Q23" s="1572" t="str">
        <f>B23</f>
        <v>交通便捷度</v>
      </c>
      <c r="R23" s="1573" t="s">
        <v>8</v>
      </c>
      <c r="S23" s="1574">
        <f>F23</f>
        <v>100</v>
      </c>
      <c r="T23" s="1573" t="s">
        <v>8</v>
      </c>
      <c r="U23" s="1574">
        <f>H23</f>
        <v>100</v>
      </c>
      <c r="V23" s="1573" t="s">
        <v>8</v>
      </c>
      <c r="W23" s="1574">
        <f>J23</f>
        <v>100</v>
      </c>
      <c r="X23" s="1567"/>
      <c r="Y23" s="3479"/>
      <c r="Z23" s="1575" t="str">
        <f>Q23</f>
        <v>交通便捷度</v>
      </c>
      <c r="AA23" s="1576">
        <f t="shared" si="3"/>
        <v>1</v>
      </c>
      <c r="AB23" s="1576">
        <f t="shared" si="4"/>
        <v>1</v>
      </c>
      <c r="AC23" s="1576">
        <f t="shared" si="5"/>
        <v>1</v>
      </c>
    </row>
    <row r="24" spans="1:29" ht="20.25">
      <c r="A24" s="532"/>
      <c r="B24" s="578"/>
      <c r="C24" s="554"/>
      <c r="D24" s="557"/>
      <c r="E24" s="558"/>
      <c r="F24" s="555"/>
      <c r="G24" s="556"/>
      <c r="H24" s="555"/>
      <c r="I24" s="558"/>
      <c r="J24" s="555"/>
      <c r="K24" s="531"/>
      <c r="L24" s="2142"/>
      <c r="M24" s="2132"/>
      <c r="N24" s="2132"/>
      <c r="O24" s="2141"/>
      <c r="P24" s="3479"/>
      <c r="Q24" s="1572"/>
      <c r="R24" s="1573"/>
      <c r="S24" s="1574"/>
      <c r="T24" s="1573"/>
      <c r="U24" s="1574"/>
      <c r="V24" s="1573"/>
      <c r="W24" s="1574"/>
      <c r="X24" s="1567"/>
      <c r="Y24" s="3479"/>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2"/>
      <c r="M25" s="2132"/>
      <c r="N25" s="2132"/>
      <c r="O25" s="2141"/>
      <c r="P25" s="3479"/>
      <c r="Q25" s="1572" t="str">
        <f t="shared" ref="Q25:Q39" si="8">B25</f>
        <v>区域土地利用方向</v>
      </c>
      <c r="R25" s="1573" t="s">
        <v>8</v>
      </c>
      <c r="S25" s="1574">
        <f>F25</f>
        <v>100</v>
      </c>
      <c r="T25" s="1573" t="s">
        <v>8</v>
      </c>
      <c r="U25" s="1574">
        <f>H25</f>
        <v>100</v>
      </c>
      <c r="V25" s="1573" t="s">
        <v>8</v>
      </c>
      <c r="W25" s="1574">
        <f>J25</f>
        <v>100</v>
      </c>
      <c r="X25" s="1567"/>
      <c r="Y25" s="3479"/>
      <c r="Z25" s="1575" t="str">
        <f>Q25</f>
        <v>区域土地利用方向</v>
      </c>
      <c r="AA25" s="1576">
        <f t="shared" si="3"/>
        <v>1</v>
      </c>
      <c r="AB25" s="1576">
        <f t="shared" si="4"/>
        <v>1</v>
      </c>
      <c r="AC25" s="1576">
        <f t="shared" si="5"/>
        <v>1</v>
      </c>
    </row>
    <row r="26" spans="1:29" ht="20.25">
      <c r="A26" s="515"/>
      <c r="B26" s="1007"/>
      <c r="C26" s="554"/>
      <c r="D26" s="557"/>
      <c r="E26" s="558"/>
      <c r="F26" s="555"/>
      <c r="G26" s="556"/>
      <c r="H26" s="555"/>
      <c r="I26" s="558"/>
      <c r="J26" s="555"/>
      <c r="K26" s="531"/>
      <c r="L26" s="2142"/>
      <c r="M26" s="2132"/>
      <c r="N26" s="2132"/>
      <c r="O26" s="2141"/>
      <c r="P26" s="3479"/>
      <c r="Q26" s="1572"/>
      <c r="R26" s="1573"/>
      <c r="S26" s="1574"/>
      <c r="T26" s="1573"/>
      <c r="U26" s="1574"/>
      <c r="V26" s="1573"/>
      <c r="W26" s="1574"/>
      <c r="X26" s="1567"/>
      <c r="Y26" s="3479"/>
      <c r="Z26" s="1575"/>
      <c r="AA26" s="1576"/>
      <c r="AB26" s="1576"/>
      <c r="AC26" s="1576"/>
    </row>
    <row r="27" spans="1:29" ht="57">
      <c r="A27" s="515"/>
      <c r="B27" s="578" t="s">
        <v>545</v>
      </c>
      <c r="C27" s="561" t="str">
        <f>估价对象房地状况!C20</f>
        <v>区域自然环境：；人文环境；综合评价环境状况较好</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2"/>
      <c r="M27" s="2132"/>
      <c r="N27" s="2132"/>
      <c r="O27" s="2141"/>
      <c r="P27" s="3479"/>
      <c r="Q27" s="1572" t="str">
        <f t="shared" si="8"/>
        <v>自然及人文环境状况</v>
      </c>
      <c r="R27" s="1573" t="s">
        <v>8</v>
      </c>
      <c r="S27" s="1574">
        <f>F27</f>
        <v>100</v>
      </c>
      <c r="T27" s="1573" t="s">
        <v>8</v>
      </c>
      <c r="U27" s="1574">
        <f>H27</f>
        <v>100</v>
      </c>
      <c r="V27" s="1573" t="s">
        <v>8</v>
      </c>
      <c r="W27" s="1574">
        <f>J27</f>
        <v>100</v>
      </c>
      <c r="X27" s="1567"/>
      <c r="Y27" s="3479"/>
      <c r="Z27" s="1575" t="str">
        <f>Q27</f>
        <v>自然及人文环境状况</v>
      </c>
      <c r="AA27" s="1576">
        <f t="shared" si="3"/>
        <v>1</v>
      </c>
      <c r="AB27" s="1576">
        <f t="shared" si="4"/>
        <v>1</v>
      </c>
      <c r="AC27" s="1576">
        <f t="shared" si="5"/>
        <v>1</v>
      </c>
    </row>
    <row r="28" spans="1:29" ht="20.25">
      <c r="A28" s="515"/>
      <c r="B28" s="566"/>
      <c r="C28" s="554"/>
      <c r="D28" s="557"/>
      <c r="E28" s="576"/>
      <c r="F28" s="555"/>
      <c r="G28" s="554"/>
      <c r="H28" s="555"/>
      <c r="I28" s="576"/>
      <c r="J28" s="555"/>
      <c r="K28" s="531"/>
      <c r="L28" s="2142"/>
      <c r="M28" s="2132"/>
      <c r="N28" s="2132"/>
      <c r="O28" s="2141"/>
      <c r="P28" s="3479"/>
      <c r="Q28" s="1572"/>
      <c r="R28" s="1573"/>
      <c r="S28" s="1574"/>
      <c r="T28" s="1573"/>
      <c r="U28" s="1574"/>
      <c r="V28" s="1573"/>
      <c r="W28" s="1574"/>
      <c r="X28" s="1567"/>
      <c r="Y28" s="3479"/>
      <c r="Z28" s="1575"/>
      <c r="AA28" s="1576">
        <v>1</v>
      </c>
      <c r="AB28" s="1576">
        <v>1</v>
      </c>
      <c r="AC28" s="1576">
        <v>1</v>
      </c>
    </row>
    <row r="29" spans="1:29" s="1219" customFormat="1" ht="42.75">
      <c r="A29" s="577"/>
      <c r="B29" s="2570" t="s">
        <v>2549</v>
      </c>
      <c r="C29" s="573" t="str">
        <f>估价对象房地状况!C21</f>
        <v>估价对象所在区域公共配套设施齐备度较好</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5"/>
      <c r="M29" s="2132"/>
      <c r="N29" s="2132"/>
      <c r="O29" s="2137"/>
      <c r="P29" s="3479"/>
      <c r="Q29" s="1151" t="str">
        <f t="shared" si="8"/>
        <v>公共配套设施</v>
      </c>
      <c r="R29" s="1568" t="s">
        <v>8</v>
      </c>
      <c r="S29" s="1569">
        <f>F29</f>
        <v>100</v>
      </c>
      <c r="T29" s="1568" t="s">
        <v>8</v>
      </c>
      <c r="U29" s="1569">
        <f>H29</f>
        <v>100</v>
      </c>
      <c r="V29" s="1568" t="s">
        <v>8</v>
      </c>
      <c r="W29" s="1569">
        <f>J29</f>
        <v>100</v>
      </c>
      <c r="X29" s="1570"/>
      <c r="Y29" s="3479"/>
      <c r="Z29" s="1150" t="str">
        <f>Q29</f>
        <v>公共配套设施</v>
      </c>
      <c r="AA29" s="1576">
        <f>D29/F29</f>
        <v>1</v>
      </c>
      <c r="AB29" s="1576">
        <f>D29/H29</f>
        <v>1</v>
      </c>
      <c r="AC29" s="1576">
        <f>D29/J29</f>
        <v>1</v>
      </c>
    </row>
    <row r="30" spans="1:29" s="1219" customFormat="1" ht="20.25">
      <c r="A30" s="577"/>
      <c r="B30" s="566"/>
      <c r="C30" s="579"/>
      <c r="D30" s="557"/>
      <c r="E30" s="576"/>
      <c r="F30" s="555"/>
      <c r="G30" s="554"/>
      <c r="H30" s="555"/>
      <c r="I30" s="576"/>
      <c r="J30" s="555"/>
      <c r="K30" s="531"/>
      <c r="L30" s="2135"/>
      <c r="M30" s="2132"/>
      <c r="N30" s="2132"/>
      <c r="O30" s="2137"/>
      <c r="P30" s="3479"/>
      <c r="Q30" s="1151"/>
      <c r="R30" s="1568"/>
      <c r="S30" s="1569"/>
      <c r="T30" s="1568"/>
      <c r="U30" s="1569"/>
      <c r="V30" s="1568"/>
      <c r="W30" s="1569"/>
      <c r="X30" s="1570"/>
      <c r="Y30" s="3479"/>
      <c r="Z30" s="1150"/>
      <c r="AA30" s="1576">
        <v>1</v>
      </c>
      <c r="AB30" s="1576">
        <v>1</v>
      </c>
      <c r="AC30" s="1576">
        <v>1</v>
      </c>
    </row>
    <row r="31" spans="1:29" s="1219" customFormat="1" ht="42.75">
      <c r="A31" s="577"/>
      <c r="B31" s="2570" t="s">
        <v>2550</v>
      </c>
      <c r="C31" s="573" t="str">
        <f>估价对象房地状况!C22</f>
        <v>估价对象所在区域基础设施水平达到七通一平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5"/>
      <c r="M31" s="2132"/>
      <c r="N31" s="2132"/>
      <c r="O31" s="2137"/>
      <c r="P31" s="3479"/>
      <c r="Q31" s="2557" t="str">
        <f t="shared" ref="Q31" si="9">B31</f>
        <v>基础设施水平</v>
      </c>
      <c r="R31" s="1568" t="s">
        <v>8</v>
      </c>
      <c r="S31" s="1569">
        <f>F31</f>
        <v>100</v>
      </c>
      <c r="T31" s="1568" t="s">
        <v>8</v>
      </c>
      <c r="U31" s="1569">
        <f>H31</f>
        <v>100</v>
      </c>
      <c r="V31" s="1568" t="s">
        <v>8</v>
      </c>
      <c r="W31" s="1569">
        <f>J31</f>
        <v>100</v>
      </c>
      <c r="X31" s="1570"/>
      <c r="Y31" s="3479"/>
      <c r="Z31" s="2554" t="str">
        <f>Q31</f>
        <v>基础设施水平</v>
      </c>
      <c r="AA31" s="1576">
        <f>D31/F31</f>
        <v>1</v>
      </c>
      <c r="AB31" s="1576">
        <f>D31/H31</f>
        <v>1</v>
      </c>
      <c r="AC31" s="1576">
        <f>D31/J31</f>
        <v>1</v>
      </c>
    </row>
    <row r="32" spans="1:29" s="1219" customFormat="1" ht="20.25">
      <c r="A32" s="577"/>
      <c r="B32" s="566"/>
      <c r="C32" s="579"/>
      <c r="D32" s="557"/>
      <c r="E32" s="2571"/>
      <c r="F32" s="555"/>
      <c r="G32" s="579"/>
      <c r="H32" s="555"/>
      <c r="I32" s="579"/>
      <c r="J32" s="555"/>
      <c r="K32" s="531"/>
      <c r="L32" s="2135"/>
      <c r="M32" s="2132"/>
      <c r="N32" s="2132"/>
      <c r="O32" s="2137"/>
      <c r="P32" s="3479"/>
      <c r="Q32" s="2557"/>
      <c r="R32" s="1568"/>
      <c r="S32" s="1569"/>
      <c r="T32" s="1568"/>
      <c r="U32" s="1569"/>
      <c r="V32" s="1568"/>
      <c r="W32" s="1569"/>
      <c r="X32" s="1570"/>
      <c r="Y32" s="3479"/>
      <c r="Z32" s="2554"/>
      <c r="AA32" s="1576">
        <v>1</v>
      </c>
      <c r="AB32" s="1576">
        <v>1</v>
      </c>
      <c r="AC32" s="1576">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479"/>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79"/>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479"/>
      <c r="Q34" s="1572" t="str">
        <f t="shared" si="8"/>
        <v>毗邻道路的类型与等级</v>
      </c>
      <c r="R34" s="1573" t="s">
        <v>8</v>
      </c>
      <c r="S34" s="1574">
        <f t="shared" si="10"/>
        <v>100</v>
      </c>
      <c r="T34" s="1573" t="s">
        <v>8</v>
      </c>
      <c r="U34" s="1574">
        <f t="shared" si="11"/>
        <v>100</v>
      </c>
      <c r="V34" s="1573" t="s">
        <v>8</v>
      </c>
      <c r="W34" s="1574">
        <f t="shared" si="12"/>
        <v>100</v>
      </c>
      <c r="X34" s="1567"/>
      <c r="Y34" s="3479"/>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2"/>
      <c r="M35" s="2132"/>
      <c r="N35" s="2132"/>
      <c r="O35" s="2141"/>
      <c r="P35" s="3479"/>
      <c r="Q35" s="1572"/>
      <c r="R35" s="1573"/>
      <c r="S35" s="1574"/>
      <c r="T35" s="1573"/>
      <c r="U35" s="1574"/>
      <c r="V35" s="1573"/>
      <c r="W35" s="1574"/>
      <c r="X35" s="1567"/>
      <c r="Y35" s="3479"/>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79"/>
      <c r="Q36" s="1572" t="str">
        <f t="shared" si="8"/>
        <v>土地级别</v>
      </c>
      <c r="R36" s="1573" t="s">
        <v>8</v>
      </c>
      <c r="S36" s="1574">
        <f t="shared" si="10"/>
        <v>100</v>
      </c>
      <c r="T36" s="1573" t="s">
        <v>8</v>
      </c>
      <c r="U36" s="1574">
        <f t="shared" si="11"/>
        <v>100</v>
      </c>
      <c r="V36" s="1573" t="s">
        <v>8</v>
      </c>
      <c r="W36" s="1574">
        <f t="shared" si="12"/>
        <v>100</v>
      </c>
      <c r="X36" s="1567"/>
      <c r="Y36" s="3479"/>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79"/>
      <c r="Q37" s="1572">
        <f t="shared" si="8"/>
        <v>111</v>
      </c>
      <c r="R37" s="1573" t="s">
        <v>8</v>
      </c>
      <c r="S37" s="1574">
        <f t="shared" si="10"/>
        <v>100</v>
      </c>
      <c r="T37" s="1573" t="s">
        <v>8</v>
      </c>
      <c r="U37" s="1574">
        <f t="shared" si="11"/>
        <v>100</v>
      </c>
      <c r="V37" s="1573" t="s">
        <v>8</v>
      </c>
      <c r="W37" s="1574">
        <f t="shared" si="12"/>
        <v>100</v>
      </c>
      <c r="X37" s="1567"/>
      <c r="Y37" s="3479"/>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80" t="s">
        <v>550</v>
      </c>
      <c r="Q38" s="1572">
        <f t="shared" si="8"/>
        <v>111</v>
      </c>
      <c r="R38" s="1573" t="s">
        <v>8</v>
      </c>
      <c r="S38" s="1574">
        <f t="shared" si="10"/>
        <v>100</v>
      </c>
      <c r="T38" s="1573" t="s">
        <v>8</v>
      </c>
      <c r="U38" s="1574">
        <f t="shared" si="11"/>
        <v>100</v>
      </c>
      <c r="V38" s="1573" t="s">
        <v>8</v>
      </c>
      <c r="W38" s="1574">
        <f t="shared" si="12"/>
        <v>100</v>
      </c>
      <c r="X38" s="1567"/>
      <c r="Y38" s="3481" t="s">
        <v>550</v>
      </c>
      <c r="Z38" s="1575">
        <f t="shared" si="13"/>
        <v>111</v>
      </c>
      <c r="AA38" s="1576">
        <f t="shared" si="3"/>
        <v>1</v>
      </c>
      <c r="AB38" s="1576">
        <f t="shared" si="4"/>
        <v>1</v>
      </c>
      <c r="AC38" s="1576">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81"/>
      <c r="Q39" s="1572">
        <f t="shared" si="8"/>
        <v>111</v>
      </c>
      <c r="R39" s="1577" t="s">
        <v>8</v>
      </c>
      <c r="S39" s="1578">
        <f t="shared" si="10"/>
        <v>100</v>
      </c>
      <c r="T39" s="1577" t="s">
        <v>8</v>
      </c>
      <c r="U39" s="1578">
        <f t="shared" si="11"/>
        <v>100</v>
      </c>
      <c r="V39" s="1577" t="s">
        <v>8</v>
      </c>
      <c r="W39" s="1578">
        <f t="shared" si="12"/>
        <v>100</v>
      </c>
      <c r="X39" s="1579"/>
      <c r="Y39" s="3481"/>
      <c r="Z39" s="1580">
        <f t="shared" si="13"/>
        <v>111</v>
      </c>
      <c r="AA39" s="1576">
        <f t="shared" si="3"/>
        <v>1</v>
      </c>
      <c r="AB39" s="1576">
        <f t="shared" si="4"/>
        <v>1</v>
      </c>
      <c r="AC39" s="1576">
        <f t="shared" si="5"/>
        <v>1</v>
      </c>
    </row>
    <row r="40" spans="1:29" ht="20.25">
      <c r="A40" s="2886" t="s">
        <v>2756</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2"/>
      <c r="M40" s="2132"/>
      <c r="N40" s="2132"/>
      <c r="O40" s="2141"/>
      <c r="P40" s="3481"/>
      <c r="Q40" s="1572" t="str">
        <f>B40</f>
        <v>宗地面积</v>
      </c>
      <c r="R40" s="1573" t="s">
        <v>8</v>
      </c>
      <c r="S40" s="1574" t="e">
        <f t="shared" si="10"/>
        <v>#N/A</v>
      </c>
      <c r="T40" s="1573" t="s">
        <v>8</v>
      </c>
      <c r="U40" s="1574" t="e">
        <f t="shared" si="11"/>
        <v>#N/A</v>
      </c>
      <c r="V40" s="1573" t="s">
        <v>8</v>
      </c>
      <c r="W40" s="1574" t="e">
        <f t="shared" si="12"/>
        <v>#N/A</v>
      </c>
      <c r="X40" s="1567"/>
      <c r="Y40" s="3481"/>
      <c r="Z40" s="1575" t="str">
        <f t="shared" si="13"/>
        <v>宗地面积</v>
      </c>
      <c r="AA40" s="1576" t="e">
        <f t="shared" si="3"/>
        <v>#N/A</v>
      </c>
      <c r="AB40" s="1576" t="e">
        <f t="shared" si="4"/>
        <v>#N/A</v>
      </c>
      <c r="AC40" s="1576"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481"/>
      <c r="Q41" s="1572" t="str">
        <f t="shared" ref="Q41:Q47" si="14">B41</f>
        <v>宗地形状</v>
      </c>
      <c r="R41" s="1573" t="s">
        <v>8</v>
      </c>
      <c r="S41" s="1574">
        <f t="shared" si="10"/>
        <v>100</v>
      </c>
      <c r="T41" s="1573" t="s">
        <v>8</v>
      </c>
      <c r="U41" s="1574">
        <f t="shared" si="11"/>
        <v>100</v>
      </c>
      <c r="V41" s="1573" t="s">
        <v>8</v>
      </c>
      <c r="W41" s="1574">
        <f t="shared" si="12"/>
        <v>100</v>
      </c>
      <c r="X41" s="1567"/>
      <c r="Y41" s="3481"/>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81"/>
      <c r="Q42" s="1572" t="str">
        <f t="shared" si="14"/>
        <v>临街宽度及深度</v>
      </c>
      <c r="R42" s="1573" t="s">
        <v>8</v>
      </c>
      <c r="S42" s="1574">
        <f t="shared" si="10"/>
        <v>100</v>
      </c>
      <c r="T42" s="1573" t="s">
        <v>8</v>
      </c>
      <c r="U42" s="1574">
        <f t="shared" si="11"/>
        <v>100</v>
      </c>
      <c r="V42" s="1573" t="s">
        <v>8</v>
      </c>
      <c r="W42" s="1574">
        <f t="shared" si="12"/>
        <v>100</v>
      </c>
      <c r="X42" s="1567"/>
      <c r="Y42" s="3481"/>
      <c r="Z42" s="1575" t="str">
        <f t="shared" si="13"/>
        <v>临街宽度及深度</v>
      </c>
      <c r="AA42" s="1576">
        <f t="shared" si="3"/>
        <v>1</v>
      </c>
      <c r="AB42" s="1576">
        <f t="shared" si="4"/>
        <v>1</v>
      </c>
      <c r="AC42" s="1576">
        <f t="shared" si="5"/>
        <v>1</v>
      </c>
    </row>
    <row r="43" spans="1:29" s="1219" customFormat="1" ht="20.25">
      <c r="A43" s="600"/>
      <c r="B43" s="1895"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5"/>
      <c r="M43" s="2132"/>
      <c r="N43" s="2132"/>
      <c r="O43" s="2137"/>
      <c r="P43" s="3481"/>
      <c r="Q43" s="1572" t="str">
        <f t="shared" si="14"/>
        <v>宗地开发程度</v>
      </c>
      <c r="R43" s="1568" t="s">
        <v>8</v>
      </c>
      <c r="S43" s="1569">
        <f t="shared" si="10"/>
        <v>100</v>
      </c>
      <c r="T43" s="1568" t="s">
        <v>8</v>
      </c>
      <c r="U43" s="1569">
        <f t="shared" si="11"/>
        <v>100</v>
      </c>
      <c r="V43" s="1568" t="s">
        <v>8</v>
      </c>
      <c r="W43" s="1569">
        <f t="shared" si="12"/>
        <v>100</v>
      </c>
      <c r="X43" s="1570"/>
      <c r="Y43" s="3481"/>
      <c r="Z43" s="1150" t="str">
        <f t="shared" si="13"/>
        <v>宗地开发程度</v>
      </c>
      <c r="AA43" s="1571">
        <f t="shared" si="3"/>
        <v>1</v>
      </c>
      <c r="AB43" s="1571">
        <f t="shared" si="4"/>
        <v>1</v>
      </c>
      <c r="AC43" s="1571">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481" t="s">
        <v>550</v>
      </c>
      <c r="Q44" s="1572" t="str">
        <f t="shared" si="14"/>
        <v>工程地质条件</v>
      </c>
      <c r="R44" s="1573" t="s">
        <v>8</v>
      </c>
      <c r="S44" s="1574">
        <f t="shared" si="10"/>
        <v>100</v>
      </c>
      <c r="T44" s="1573" t="s">
        <v>8</v>
      </c>
      <c r="U44" s="1574">
        <f t="shared" si="11"/>
        <v>100</v>
      </c>
      <c r="V44" s="1573" t="s">
        <v>8</v>
      </c>
      <c r="W44" s="1574">
        <f t="shared" si="12"/>
        <v>100</v>
      </c>
      <c r="X44" s="1567"/>
      <c r="Y44" s="3481"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81"/>
      <c r="Q45" s="1572">
        <f t="shared" si="14"/>
        <v>111</v>
      </c>
      <c r="R45" s="1573" t="s">
        <v>8</v>
      </c>
      <c r="S45" s="1574">
        <f t="shared" si="10"/>
        <v>100</v>
      </c>
      <c r="T45" s="1573" t="s">
        <v>8</v>
      </c>
      <c r="U45" s="1574">
        <f t="shared" si="11"/>
        <v>100</v>
      </c>
      <c r="V45" s="1573" t="s">
        <v>8</v>
      </c>
      <c r="W45" s="1574">
        <f t="shared" si="12"/>
        <v>100</v>
      </c>
      <c r="X45" s="1567"/>
      <c r="Y45" s="3481"/>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81"/>
      <c r="Q46" s="1572">
        <f t="shared" si="14"/>
        <v>111</v>
      </c>
      <c r="R46" s="1573" t="s">
        <v>8</v>
      </c>
      <c r="S46" s="1574">
        <f t="shared" si="10"/>
        <v>100</v>
      </c>
      <c r="T46" s="1573" t="s">
        <v>8</v>
      </c>
      <c r="U46" s="1574">
        <f t="shared" si="11"/>
        <v>100</v>
      </c>
      <c r="V46" s="1573" t="s">
        <v>8</v>
      </c>
      <c r="W46" s="1574">
        <f t="shared" si="12"/>
        <v>100</v>
      </c>
      <c r="X46" s="1567"/>
      <c r="Y46" s="3481"/>
      <c r="Z46" s="1575">
        <f t="shared" si="13"/>
        <v>111</v>
      </c>
      <c r="AA46" s="1576">
        <f t="shared" si="3"/>
        <v>1</v>
      </c>
      <c r="AB46" s="1576">
        <f t="shared" si="4"/>
        <v>1</v>
      </c>
      <c r="AC46" s="1576">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81"/>
      <c r="Q47" s="1572">
        <f t="shared" si="14"/>
        <v>111</v>
      </c>
      <c r="R47" s="1577" t="s">
        <v>8</v>
      </c>
      <c r="S47" s="1578">
        <f t="shared" si="10"/>
        <v>100</v>
      </c>
      <c r="T47" s="1577" t="s">
        <v>8</v>
      </c>
      <c r="U47" s="1578">
        <f t="shared" si="11"/>
        <v>100</v>
      </c>
      <c r="V47" s="1577" t="s">
        <v>8</v>
      </c>
      <c r="W47" s="1578">
        <f t="shared" si="12"/>
        <v>100</v>
      </c>
      <c r="X47" s="1579"/>
      <c r="Y47" s="3481"/>
      <c r="Z47" s="1580">
        <f t="shared" si="13"/>
        <v>111</v>
      </c>
      <c r="AA47" s="1576">
        <f t="shared" si="3"/>
        <v>1</v>
      </c>
      <c r="AB47" s="1576">
        <f t="shared" si="4"/>
        <v>1</v>
      </c>
      <c r="AC47" s="1576">
        <f t="shared" si="5"/>
        <v>1</v>
      </c>
    </row>
    <row r="48" spans="1:29" ht="20.25">
      <c r="A48" s="607" t="s">
        <v>556</v>
      </c>
      <c r="B48" s="608" t="s">
        <v>2931</v>
      </c>
      <c r="C48" s="609" t="s">
        <v>1</v>
      </c>
      <c r="D48" s="610"/>
      <c r="E48" s="611"/>
      <c r="F48" s="612"/>
      <c r="G48" s="613"/>
      <c r="H48" s="614"/>
      <c r="I48" s="611"/>
      <c r="J48" s="614"/>
      <c r="K48" s="1339"/>
      <c r="L48" s="2144"/>
      <c r="M48" s="2132"/>
      <c r="N48" s="2132"/>
      <c r="O48" s="2145"/>
      <c r="P48" s="3473" t="str">
        <f>A48</f>
        <v>成交单价</v>
      </c>
      <c r="Q48" s="3473"/>
      <c r="R48" s="3502">
        <f>E48</f>
        <v>0</v>
      </c>
      <c r="S48" s="3502"/>
      <c r="T48" s="3502">
        <f>G48</f>
        <v>0</v>
      </c>
      <c r="U48" s="3502"/>
      <c r="V48" s="3502">
        <f>I48</f>
        <v>0</v>
      </c>
      <c r="W48" s="3502"/>
      <c r="X48" s="1559"/>
      <c r="Y48" s="1581"/>
      <c r="Z48" s="1559"/>
      <c r="AA48" s="1559"/>
      <c r="AB48" s="1559"/>
      <c r="AC48" s="1559"/>
    </row>
    <row r="49" spans="1:29" ht="21" thickBot="1">
      <c r="A49" s="615" t="s">
        <v>2694</v>
      </c>
      <c r="B49" s="616"/>
      <c r="C49" s="617" t="e">
        <f>R50</f>
        <v>#DIV/0!</v>
      </c>
      <c r="D49" s="618"/>
      <c r="E49" s="617" t="e">
        <f>R49</f>
        <v>#DIV/0!</v>
      </c>
      <c r="F49" s="619"/>
      <c r="G49" s="620" t="e">
        <f>T49</f>
        <v>#DIV/0!</v>
      </c>
      <c r="H49" s="618"/>
      <c r="I49" s="617" t="e">
        <f>V49</f>
        <v>#DIV/0!</v>
      </c>
      <c r="J49" s="618"/>
      <c r="K49" s="1340"/>
      <c r="L49" s="2144"/>
      <c r="M49" s="2132"/>
      <c r="N49" s="2132"/>
      <c r="O49" s="2145"/>
      <c r="P49" s="3473" t="str">
        <f>A49</f>
        <v>比较价格（元/平方米）</v>
      </c>
      <c r="Q49" s="3473"/>
      <c r="R49" s="3516" t="e">
        <f>ROUND(PRODUCT(R48,AA9:AA47),0)</f>
        <v>#DIV/0!</v>
      </c>
      <c r="S49" s="3516"/>
      <c r="T49" s="3516" t="e">
        <f>ROUND(PRODUCT(T48,AB9:AB47),0)</f>
        <v>#DIV/0!</v>
      </c>
      <c r="U49" s="3516"/>
      <c r="V49" s="3516" t="e">
        <f>ROUND(PRODUCT(V48,AC9:AC47),0)</f>
        <v>#DIV/0!</v>
      </c>
      <c r="W49" s="3516"/>
      <c r="X49" s="1559"/>
      <c r="Y49" s="1559"/>
      <c r="Z49" s="1559"/>
      <c r="AA49" s="1559"/>
      <c r="AB49" s="1559"/>
      <c r="AC49" s="1559"/>
    </row>
    <row r="50" spans="1:29" ht="21" thickBot="1">
      <c r="A50" s="621" t="s">
        <v>2932</v>
      </c>
      <c r="B50" s="622"/>
      <c r="C50" s="623" t="e">
        <f>R50</f>
        <v>#DIV/0!</v>
      </c>
      <c r="D50" s="623"/>
      <c r="E50" s="623"/>
      <c r="F50" s="623"/>
      <c r="G50" s="623"/>
      <c r="H50" s="623"/>
      <c r="I50" s="623"/>
      <c r="J50" s="623"/>
      <c r="K50" s="1341"/>
      <c r="L50" s="2144"/>
      <c r="M50" s="2132"/>
      <c r="N50" s="2132"/>
      <c r="O50" s="2145"/>
      <c r="P50" s="3475" t="str">
        <f>A50</f>
        <v>估价对象XX用房的比较价格（楼面单价，元/平方米）</v>
      </c>
      <c r="Q50" s="3476"/>
      <c r="R50" s="3515" t="e">
        <f>ROUND(AVERAGE(R49:V49),0)</f>
        <v>#DIV/0!</v>
      </c>
      <c r="S50" s="3515"/>
      <c r="T50" s="3515"/>
      <c r="U50" s="3515"/>
      <c r="V50" s="3515"/>
      <c r="W50" s="3515"/>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560</v>
      </c>
      <c r="B57" s="630" t="s">
        <v>561</v>
      </c>
      <c r="C57" s="1560" t="s">
        <v>1725</v>
      </c>
      <c r="D57" s="2227" t="s">
        <v>2294</v>
      </c>
      <c r="E57" s="631" t="s">
        <v>562</v>
      </c>
      <c r="F57" s="632" t="s">
        <v>563</v>
      </c>
      <c r="G57" s="3519" t="s">
        <v>2282</v>
      </c>
      <c r="H57" s="3520"/>
      <c r="I57" s="1555" t="s">
        <v>1723</v>
      </c>
      <c r="J57" s="1555">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564</v>
      </c>
      <c r="B58" s="634" t="e">
        <f>C50</f>
        <v>#DIV/0!</v>
      </c>
      <c r="C58" s="635">
        <v>1</v>
      </c>
      <c r="D58" s="2228">
        <v>1</v>
      </c>
      <c r="E58" s="635">
        <f>'数据-汇总表'!E8+'数据-汇总表'!E9</f>
        <v>400500</v>
      </c>
      <c r="F58" s="636" t="e">
        <f t="shared" ref="F58:F67" si="15">ROUND(B58*E58/10000,0)</f>
        <v>#DIV/0!</v>
      </c>
      <c r="G58" s="3521"/>
      <c r="H58" s="3522"/>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565</v>
      </c>
      <c r="B59" s="638" t="e">
        <f>ROUND($C$50*C59*D59,0)</f>
        <v>#DIV/0!</v>
      </c>
      <c r="C59" s="378">
        <f t="shared" ref="C59:C67" si="16">IF($C$57="北京市系数",I59,J59)</f>
        <v>0.7</v>
      </c>
      <c r="D59" s="2229">
        <v>0.25</v>
      </c>
      <c r="E59" s="639">
        <v>0</v>
      </c>
      <c r="F59" s="636" t="e">
        <f t="shared" si="15"/>
        <v>#DIV/0!</v>
      </c>
      <c r="G59" s="3523" t="s">
        <v>2283</v>
      </c>
      <c r="H59" s="1948" t="str">
        <f>项目基本情况!B43</f>
        <v>四级</v>
      </c>
      <c r="I59" s="1556">
        <f>SUMIF(修正!$A$45:$A$56,H59,修正!B45:B56)</f>
        <v>0.7</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566</v>
      </c>
      <c r="B60" s="638" t="e">
        <f t="shared" ref="B60:B67" si="17">ROUND($C$50*C60*D60,0)</f>
        <v>#DIV/0!</v>
      </c>
      <c r="C60" s="378">
        <f t="shared" si="16"/>
        <v>0.4</v>
      </c>
      <c r="D60" s="2229">
        <v>0.25</v>
      </c>
      <c r="E60" s="639">
        <v>0</v>
      </c>
      <c r="F60" s="636" t="e">
        <f t="shared" si="15"/>
        <v>#DIV/0!</v>
      </c>
      <c r="G60" s="3523"/>
      <c r="H60" s="1948" t="str">
        <f>项目基本情况!B43</f>
        <v>四级</v>
      </c>
      <c r="I60" s="1556">
        <f>SUMIF(修正!$A$45:$A$56,H60,修正!C45:C56)</f>
        <v>0.4</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567</v>
      </c>
      <c r="B61" s="638" t="e">
        <f t="shared" si="17"/>
        <v>#DIV/0!</v>
      </c>
      <c r="C61" s="378">
        <f t="shared" si="16"/>
        <v>0.28000000000000003</v>
      </c>
      <c r="D61" s="2229">
        <v>0.25</v>
      </c>
      <c r="E61" s="639">
        <v>0</v>
      </c>
      <c r="F61" s="636" t="e">
        <f t="shared" si="15"/>
        <v>#DIV/0!</v>
      </c>
      <c r="G61" s="3523"/>
      <c r="H61" s="1948" t="str">
        <f>项目基本情况!B43</f>
        <v>四级</v>
      </c>
      <c r="I61" s="1556">
        <f>SUMIF(修正!$A$45:$A$56,H61,修正!D45:D56)</f>
        <v>0.28000000000000003</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568</v>
      </c>
      <c r="B62" s="638" t="e">
        <f t="shared" si="17"/>
        <v>#DIV/0!</v>
      </c>
      <c r="C62" s="378">
        <f t="shared" si="16"/>
        <v>0.25</v>
      </c>
      <c r="D62" s="2229">
        <v>0.25</v>
      </c>
      <c r="E62" s="639">
        <v>0</v>
      </c>
      <c r="F62" s="636" t="e">
        <f t="shared" si="15"/>
        <v>#DIV/0!</v>
      </c>
      <c r="G62" s="3523"/>
      <c r="H62" s="1948" t="str">
        <f>项目基本情况!B43</f>
        <v>四级</v>
      </c>
      <c r="I62" s="1556">
        <f>SUMIF(修正!$A$45:$A$56,H62,修正!E45:E56)</f>
        <v>0.25</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2329</v>
      </c>
      <c r="B63" s="638" t="e">
        <f t="shared" si="17"/>
        <v>#DIV/0!</v>
      </c>
      <c r="C63" s="378">
        <f t="shared" si="16"/>
        <v>0.25</v>
      </c>
      <c r="D63" s="2229">
        <v>0.25</v>
      </c>
      <c r="E63" s="641">
        <f>'数据-汇总表'!E11</f>
        <v>0</v>
      </c>
      <c r="F63" s="636" t="e">
        <f t="shared" si="15"/>
        <v>#DIV/0!</v>
      </c>
      <c r="G63" s="1945" t="s">
        <v>2284</v>
      </c>
      <c r="H63" s="1948" t="str">
        <f>项目基本情况!C43</f>
        <v>四级</v>
      </c>
      <c r="I63" s="1556">
        <f>SUMIF(修正!$A$45:$A$56,H63,修正!F45:F56)</f>
        <v>0.25</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569</v>
      </c>
      <c r="B64" s="638" t="e">
        <f t="shared" si="17"/>
        <v>#DIV/0!</v>
      </c>
      <c r="C64" s="378">
        <f t="shared" si="16"/>
        <v>0.25</v>
      </c>
      <c r="D64" s="2229">
        <v>0.25</v>
      </c>
      <c r="E64" s="641">
        <f>'数据-汇总表'!E12</f>
        <v>0</v>
      </c>
      <c r="F64" s="636" t="e">
        <f t="shared" si="15"/>
        <v>#DIV/0!</v>
      </c>
      <c r="G64" s="1946" t="s">
        <v>1678</v>
      </c>
      <c r="H64" s="1944" t="str">
        <f>IF(G64="商业",项目基本情况!B43,IF(G64="办公",项目基本情况!C43,IF(G64="住宅",项目基本情况!D43,项目基本情况!E43)))</f>
        <v>四级</v>
      </c>
      <c r="I64" s="1556">
        <f>SUMIF(修正!$A$45:$A$56,H64,修正!G45:G56)</f>
        <v>0.25</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570</v>
      </c>
      <c r="B65" s="638" t="e">
        <f t="shared" si="17"/>
        <v>#DIV/0!</v>
      </c>
      <c r="C65" s="378">
        <f t="shared" si="16"/>
        <v>0</v>
      </c>
      <c r="D65" s="2229">
        <v>0.25</v>
      </c>
      <c r="E65" s="641">
        <f>'数据-汇总表'!E13</f>
        <v>0</v>
      </c>
      <c r="F65" s="636" t="e">
        <f t="shared" si="15"/>
        <v>#DIV/0!</v>
      </c>
      <c r="G65" s="1946" t="s">
        <v>923</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571</v>
      </c>
      <c r="B66" s="638" t="e">
        <f t="shared" si="17"/>
        <v>#DIV/0!</v>
      </c>
      <c r="C66" s="378">
        <f t="shared" si="16"/>
        <v>0.2</v>
      </c>
      <c r="D66" s="2229">
        <v>0.25</v>
      </c>
      <c r="E66" s="641">
        <f>'数据-汇总表'!E14</f>
        <v>0</v>
      </c>
      <c r="F66" s="636" t="e">
        <f t="shared" si="15"/>
        <v>#DIV/0!</v>
      </c>
      <c r="G66" s="1945" t="s">
        <v>2283</v>
      </c>
      <c r="H66" s="1948" t="str">
        <f>项目基本情况!B43</f>
        <v>四级</v>
      </c>
      <c r="I66" s="1556">
        <f>SUMIF(修正!$A$45:$A$56,H66,修正!H45:H56)</f>
        <v>0.2</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572</v>
      </c>
      <c r="B67" s="638" t="e">
        <f t="shared" si="17"/>
        <v>#DIV/0!</v>
      </c>
      <c r="C67" s="378">
        <f t="shared" si="16"/>
        <v>0.2</v>
      </c>
      <c r="D67" s="2229">
        <v>0.25</v>
      </c>
      <c r="E67" s="641">
        <f>'数据-汇总表'!E15</f>
        <v>0</v>
      </c>
      <c r="F67" s="636" t="e">
        <f t="shared" si="15"/>
        <v>#DIV/0!</v>
      </c>
      <c r="G67" s="1947" t="s">
        <v>2284</v>
      </c>
      <c r="H67" s="1949" t="str">
        <f>项目基本情况!C43</f>
        <v>四级</v>
      </c>
      <c r="I67" s="1556">
        <f>SUMIF(修正!$A$45:$A$56,H67,修正!H45:H56)</f>
        <v>0.2</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573</v>
      </c>
      <c r="B68" s="643" t="s">
        <v>17</v>
      </c>
      <c r="C68" s="643" t="s">
        <v>18</v>
      </c>
      <c r="D68" s="643" t="s">
        <v>2295</v>
      </c>
      <c r="E68" s="643">
        <f>IF(B48="楼面地价",SUM(E58:E67),'数据-汇总表'!D3)</f>
        <v>78298.679999999993</v>
      </c>
      <c r="F68" s="644" t="e">
        <f>IF(B48="楼面地价",SUM(F58:F67),ROUND(C50*E68/10000,0))</f>
        <v>#DIV/0!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8" t="str">
        <f>YEAR(C9)&amp;"-"&amp;MONTH(C9)&amp;"-1"</f>
        <v>2018-10-1</v>
      </c>
      <c r="D70" s="2778">
        <f>EDATE(C70,-3)</f>
        <v>43282</v>
      </c>
      <c r="E70" s="2778">
        <f t="shared" ref="E70:N70" si="18">EDATE(D70,-3)</f>
        <v>43191</v>
      </c>
      <c r="F70" s="2778">
        <f t="shared" si="18"/>
        <v>43101</v>
      </c>
      <c r="G70" s="2778">
        <f t="shared" si="18"/>
        <v>43009</v>
      </c>
      <c r="H70" s="2778">
        <f t="shared" si="18"/>
        <v>42917</v>
      </c>
      <c r="I70" s="2778">
        <f t="shared" si="18"/>
        <v>42826</v>
      </c>
      <c r="J70" s="2778">
        <f t="shared" si="18"/>
        <v>42736</v>
      </c>
      <c r="K70" s="2778">
        <f t="shared" si="18"/>
        <v>42644</v>
      </c>
      <c r="L70" s="2778">
        <f t="shared" si="18"/>
        <v>42552</v>
      </c>
      <c r="M70" s="2778">
        <f t="shared" si="18"/>
        <v>42461</v>
      </c>
      <c r="N70" s="2778">
        <f t="shared" si="18"/>
        <v>42370</v>
      </c>
      <c r="O70" s="2145"/>
      <c r="P70" s="2145"/>
      <c r="Q70" s="2145"/>
      <c r="R70" s="2145"/>
      <c r="S70" s="2145"/>
      <c r="T70" s="2145"/>
      <c r="U70" s="2145"/>
      <c r="V70" s="2145"/>
      <c r="W70" s="2145"/>
      <c r="X70" s="2145"/>
      <c r="Y70" s="2145"/>
      <c r="Z70" s="2145"/>
      <c r="AA70" s="2145"/>
      <c r="AB70" s="2145"/>
      <c r="AC70" s="2145"/>
    </row>
    <row r="71" spans="1:29" ht="21.75" thickBot="1">
      <c r="A71" s="1584" t="s">
        <v>574</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47" t="s">
        <v>2533</v>
      </c>
      <c r="B72" s="2548"/>
      <c r="C72" s="2773" t="str">
        <f>YEAR(C70)&amp;"-"&amp;ROUNDUP(MONTH(C70)/3,0)</f>
        <v>2018-4</v>
      </c>
      <c r="D72" s="2780" t="str">
        <f>YEAR(D70)&amp;"-"&amp;ROUNDUP(MONTH(D70)/3,0)</f>
        <v>2018-3</v>
      </c>
      <c r="E72" s="2780" t="str">
        <f t="shared" ref="E72:N72" si="19">YEAR(E70)&amp;"-"&amp;ROUNDUP(MONTH(E70)/3,0)</f>
        <v>2018-2</v>
      </c>
      <c r="F72" s="2780" t="str">
        <f t="shared" si="19"/>
        <v>2018-1</v>
      </c>
      <c r="G72" s="2780" t="str">
        <f t="shared" si="19"/>
        <v>2017-4</v>
      </c>
      <c r="H72" s="2780" t="str">
        <f t="shared" si="19"/>
        <v>2017-3</v>
      </c>
      <c r="I72" s="2780" t="str">
        <f t="shared" si="19"/>
        <v>2017-2</v>
      </c>
      <c r="J72" s="2780" t="str">
        <f t="shared" si="19"/>
        <v>2017-1</v>
      </c>
      <c r="K72" s="2780" t="str">
        <f t="shared" si="19"/>
        <v>2016-4</v>
      </c>
      <c r="L72" s="2780" t="str">
        <f t="shared" si="19"/>
        <v>2016-3</v>
      </c>
      <c r="M72" s="2780" t="str">
        <f t="shared" si="19"/>
        <v>2016-2</v>
      </c>
      <c r="N72" s="2780" t="str">
        <f t="shared" si="19"/>
        <v>2016-1</v>
      </c>
      <c r="O72" s="2159"/>
      <c r="P72" s="2160"/>
      <c r="Q72" s="2161"/>
      <c r="R72" s="2161"/>
      <c r="S72" s="2161"/>
      <c r="T72" s="2161"/>
      <c r="U72" s="2161"/>
      <c r="V72" s="2161"/>
      <c r="W72" s="2161"/>
      <c r="X72" s="2161"/>
      <c r="Y72" s="2161"/>
      <c r="Z72" s="2161"/>
      <c r="AA72" s="2161"/>
      <c r="AB72" s="2161"/>
      <c r="AC72" s="2161"/>
    </row>
    <row r="73" spans="1:29" s="1219" customFormat="1" ht="27" customHeight="1">
      <c r="A73" s="2785" t="s">
        <v>2648</v>
      </c>
      <c r="B73" s="479" t="str">
        <f>"北京市平均增长率"&amp;TEXT(SUMIF('基准地价-商业'!N21:N25,A73,'基准地价-商业'!P21:P25),"0.00%")</f>
        <v>北京市平均增长率2.19%</v>
      </c>
      <c r="C73" s="894">
        <v>100</v>
      </c>
      <c r="D73" s="730"/>
      <c r="E73" s="730"/>
      <c r="F73" s="730"/>
      <c r="G73" s="730"/>
      <c r="H73" s="730"/>
      <c r="I73" s="730"/>
      <c r="J73" s="730"/>
      <c r="K73" s="730"/>
      <c r="L73" s="730"/>
      <c r="M73" s="2771"/>
      <c r="N73" s="2772"/>
      <c r="O73" s="2162"/>
      <c r="P73" s="2158"/>
      <c r="Q73" s="1993"/>
      <c r="R73" s="1993"/>
      <c r="S73" s="1993"/>
      <c r="T73" s="1993"/>
      <c r="U73" s="1993"/>
      <c r="V73" s="1993"/>
      <c r="W73" s="1993"/>
      <c r="X73" s="1993"/>
      <c r="Y73" s="1993"/>
      <c r="Z73" s="1993"/>
      <c r="AA73" s="1993"/>
      <c r="AB73" s="1993"/>
      <c r="AC73" s="1993"/>
    </row>
    <row r="74" spans="1:29" s="1219" customFormat="1" ht="15" customHeight="1" thickBot="1">
      <c r="A74" s="2775" t="s">
        <v>2647</v>
      </c>
      <c r="B74" s="2784"/>
      <c r="C74" s="2769"/>
      <c r="D74" s="2770"/>
      <c r="E74" s="2770"/>
      <c r="F74" s="2770"/>
      <c r="G74" s="2770"/>
      <c r="H74" s="2770"/>
      <c r="I74" s="2770"/>
      <c r="J74" s="2770"/>
      <c r="K74" s="2770"/>
      <c r="L74" s="2770"/>
      <c r="M74" s="2770"/>
      <c r="N74" s="2770"/>
      <c r="O74" s="2162"/>
      <c r="P74" s="2158"/>
      <c r="Q74" s="2158"/>
      <c r="R74" s="1993"/>
      <c r="S74" s="1993"/>
      <c r="T74" s="1993"/>
      <c r="U74" s="1993"/>
      <c r="V74" s="1993"/>
      <c r="W74" s="1993"/>
      <c r="X74" s="1993"/>
      <c r="Y74" s="1993"/>
      <c r="Z74" s="1993"/>
      <c r="AA74" s="1993"/>
      <c r="AB74" s="1993"/>
      <c r="AC74" s="1993"/>
    </row>
    <row r="75" spans="1:29" s="1219"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598"/>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c r="D82" s="541"/>
      <c r="E82" s="541"/>
      <c r="F82" s="541"/>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2549</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576" t="s">
        <v>2551</v>
      </c>
      <c r="C104" s="2577" t="s">
        <v>2552</v>
      </c>
      <c r="D104" s="2577" t="s">
        <v>2553</v>
      </c>
      <c r="E104" s="2577" t="s">
        <v>2554</v>
      </c>
      <c r="F104" s="2577" t="s">
        <v>2555</v>
      </c>
      <c r="G104" s="2577"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100</v>
      </c>
      <c r="E105" s="679">
        <f>D105-$K31</f>
        <v>100</v>
      </c>
      <c r="F105" s="679">
        <f>E105-$K31</f>
        <v>100</v>
      </c>
      <c r="G105" s="679">
        <f>F105-$K31</f>
        <v>100</v>
      </c>
      <c r="H105" s="683"/>
      <c r="I105" s="683"/>
      <c r="J105" s="683"/>
      <c r="K105" s="683"/>
      <c r="L105" s="683"/>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68" t="str">
        <f t="shared" si="25"/>
        <v>(含)-</v>
      </c>
      <c r="K118" s="3068" t="str">
        <f t="shared" si="25"/>
        <v>(含)-</v>
      </c>
      <c r="L118" s="3069" t="str">
        <f t="shared" si="25"/>
        <v>(含)-</v>
      </c>
      <c r="M118" s="3070"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c r="D119" s="730"/>
      <c r="E119" s="730"/>
      <c r="F119" s="730"/>
      <c r="G119" s="730"/>
      <c r="H119" s="730"/>
      <c r="I119" s="730"/>
      <c r="J119" s="2346"/>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c r="D120" s="726"/>
      <c r="E120" s="726"/>
      <c r="F120" s="726"/>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718"/>
      <c r="D121" s="718"/>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2426</v>
      </c>
      <c r="C125" s="1375"/>
      <c r="D125" s="1375"/>
      <c r="E125" s="1375"/>
      <c r="F125" s="1375"/>
      <c r="G125" s="1375"/>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23" priority="14" stopIfTrue="1" operator="containsText" text="超过">
      <formula>NOT(ISERROR(SEARCH("超过",F53)))</formula>
    </cfRule>
  </conditionalFormatting>
  <conditionalFormatting sqref="J55">
    <cfRule type="containsText" dxfId="122" priority="13" stopIfTrue="1" operator="containsText" text="超过">
      <formula>NOT(ISERROR(SEARCH("超过",J55)))</formula>
    </cfRule>
  </conditionalFormatting>
  <conditionalFormatting sqref="H55">
    <cfRule type="containsText" dxfId="121" priority="12" stopIfTrue="1" operator="containsText" text="超过">
      <formula>NOT(ISERROR(SEARCH("超过",H55)))</formula>
    </cfRule>
  </conditionalFormatting>
  <conditionalFormatting sqref="F55">
    <cfRule type="containsText" dxfId="120" priority="11" stopIfTrue="1" operator="containsText" text="超过">
      <formula>NOT(ISERROR(SEARCH("超过",F55)))</formula>
    </cfRule>
  </conditionalFormatting>
  <conditionalFormatting sqref="F54 H54 J54">
    <cfRule type="containsText" dxfId="119" priority="10" stopIfTrue="1" operator="containsText" text="超过">
      <formula>NOT(ISERROR(SEARCH("超过",F54)))</formula>
    </cfRule>
  </conditionalFormatting>
  <conditionalFormatting sqref="E53">
    <cfRule type="expression" dxfId="118" priority="9" stopIfTrue="1">
      <formula>$F$53="超过30%"</formula>
    </cfRule>
  </conditionalFormatting>
  <conditionalFormatting sqref="G55">
    <cfRule type="expression" dxfId="117" priority="8" stopIfTrue="1">
      <formula>$H$55="超过30%"</formula>
    </cfRule>
  </conditionalFormatting>
  <conditionalFormatting sqref="E54">
    <cfRule type="expression" dxfId="116" priority="7" stopIfTrue="1">
      <formula>$F$54="超过20%"</formula>
    </cfRule>
  </conditionalFormatting>
  <conditionalFormatting sqref="E55">
    <cfRule type="expression" dxfId="115" priority="6" stopIfTrue="1">
      <formula>$F$55="超过30%"</formula>
    </cfRule>
  </conditionalFormatting>
  <conditionalFormatting sqref="G53">
    <cfRule type="expression" dxfId="114" priority="5" stopIfTrue="1">
      <formula>$H$55+$H$53="超过30%"</formula>
    </cfRule>
  </conditionalFormatting>
  <conditionalFormatting sqref="G54">
    <cfRule type="expression" dxfId="113" priority="4" stopIfTrue="1">
      <formula>$H$54="超过20%"</formula>
    </cfRule>
  </conditionalFormatting>
  <conditionalFormatting sqref="I53">
    <cfRule type="expression" dxfId="112" priority="3" stopIfTrue="1">
      <formula>$J$53="超过30%"</formula>
    </cfRule>
  </conditionalFormatting>
  <conditionalFormatting sqref="I54">
    <cfRule type="expression" dxfId="111" priority="2" stopIfTrue="1">
      <formula>$J$54="超过20%"</formula>
    </cfRule>
  </conditionalFormatting>
  <conditionalFormatting sqref="I55">
    <cfRule type="expression" dxfId="11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1686</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521</v>
      </c>
      <c r="B6" s="513"/>
      <c r="C6" s="3486" t="s">
        <v>522</v>
      </c>
      <c r="D6" s="3487"/>
      <c r="E6" s="3488" t="s">
        <v>523</v>
      </c>
      <c r="F6" s="3489"/>
      <c r="G6" s="3486" t="s">
        <v>524</v>
      </c>
      <c r="H6" s="3487"/>
      <c r="I6" s="3486" t="s">
        <v>525</v>
      </c>
      <c r="J6" s="3487"/>
      <c r="K6" s="514" t="s">
        <v>526</v>
      </c>
      <c r="L6" s="2133"/>
      <c r="M6" s="2134"/>
      <c r="N6" s="2134"/>
      <c r="O6" s="2134"/>
      <c r="P6" s="3490" t="s">
        <v>527</v>
      </c>
      <c r="Q6" s="3491"/>
      <c r="R6" s="3496" t="s">
        <v>523</v>
      </c>
      <c r="S6" s="3497"/>
      <c r="T6" s="3496" t="s">
        <v>524</v>
      </c>
      <c r="U6" s="3497"/>
      <c r="V6" s="3502" t="s">
        <v>525</v>
      </c>
      <c r="W6" s="3502"/>
      <c r="X6" s="1567"/>
      <c r="Y6" s="3496" t="s">
        <v>527</v>
      </c>
      <c r="Z6" s="3497"/>
      <c r="AA6" s="3483" t="s">
        <v>523</v>
      </c>
      <c r="AB6" s="3484" t="s">
        <v>524</v>
      </c>
      <c r="AC6" s="3483" t="s">
        <v>525</v>
      </c>
    </row>
    <row r="7" spans="1:29" ht="15">
      <c r="A7" s="515"/>
      <c r="B7" s="516"/>
      <c r="C7" s="3510" t="s">
        <v>2926</v>
      </c>
      <c r="D7" s="3506"/>
      <c r="E7" s="3524" t="s">
        <v>2927</v>
      </c>
      <c r="F7" s="3514"/>
      <c r="G7" s="3510" t="s">
        <v>2928</v>
      </c>
      <c r="H7" s="3506"/>
      <c r="I7" s="3510" t="s">
        <v>2929</v>
      </c>
      <c r="J7" s="3506"/>
      <c r="K7" s="514"/>
      <c r="L7" s="2133"/>
      <c r="M7" s="2134"/>
      <c r="N7" s="2134"/>
      <c r="O7" s="2134"/>
      <c r="P7" s="3492"/>
      <c r="Q7" s="3493"/>
      <c r="R7" s="3498"/>
      <c r="S7" s="3499"/>
      <c r="T7" s="3498"/>
      <c r="U7" s="3499"/>
      <c r="V7" s="3502"/>
      <c r="W7" s="3502"/>
      <c r="X7" s="1567"/>
      <c r="Y7" s="3498"/>
      <c r="Z7" s="3499"/>
      <c r="AA7" s="3484"/>
      <c r="AB7" s="3484"/>
      <c r="AC7" s="3484"/>
    </row>
    <row r="8" spans="1:29" ht="15.75" thickBot="1">
      <c r="A8" s="517"/>
      <c r="B8" s="518"/>
      <c r="C8" s="3503" t="s">
        <v>2930</v>
      </c>
      <c r="D8" s="3504"/>
      <c r="E8" s="3511" t="s">
        <v>2930</v>
      </c>
      <c r="F8" s="3512"/>
      <c r="G8" s="3503" t="s">
        <v>2930</v>
      </c>
      <c r="H8" s="3504"/>
      <c r="I8" s="3503" t="s">
        <v>2930</v>
      </c>
      <c r="J8" s="3504"/>
      <c r="K8" s="514" t="s">
        <v>528</v>
      </c>
      <c r="L8" s="2133"/>
      <c r="M8" s="2134"/>
      <c r="N8" s="2134"/>
      <c r="O8" s="2134"/>
      <c r="P8" s="3494"/>
      <c r="Q8" s="3495"/>
      <c r="R8" s="3498"/>
      <c r="S8" s="3499"/>
      <c r="T8" s="3500"/>
      <c r="U8" s="3501"/>
      <c r="V8" s="3502"/>
      <c r="W8" s="3502"/>
      <c r="X8" s="1567"/>
      <c r="Y8" s="3500"/>
      <c r="Z8" s="3501"/>
      <c r="AA8" s="3485"/>
      <c r="AB8" s="3485"/>
      <c r="AC8" s="3485"/>
    </row>
    <row r="9" spans="1:29" s="1219" customFormat="1" ht="15.75" thickBot="1">
      <c r="A9" s="2891"/>
      <c r="B9" s="2898" t="s">
        <v>529</v>
      </c>
      <c r="C9" s="519">
        <f>'数据-取费表'!B2</f>
        <v>43388</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507" t="s">
        <v>530</v>
      </c>
      <c r="Q9" s="3509"/>
      <c r="R9" s="1568" t="s">
        <v>8</v>
      </c>
      <c r="S9" s="1569">
        <f t="shared" ref="S9:S17" si="0">F9</f>
        <v>0</v>
      </c>
      <c r="T9" s="1568" t="s">
        <v>8</v>
      </c>
      <c r="U9" s="1569">
        <f t="shared" ref="U9:U17" si="1">H9</f>
        <v>0</v>
      </c>
      <c r="V9" s="1568" t="s">
        <v>8</v>
      </c>
      <c r="W9" s="1569">
        <f t="shared" ref="W9:W17" si="2">J9</f>
        <v>0</v>
      </c>
      <c r="X9" s="1570"/>
      <c r="Y9" s="3507" t="s">
        <v>530</v>
      </c>
      <c r="Z9" s="3508"/>
      <c r="AA9" s="1571" t="e">
        <f>D9/F9</f>
        <v>#DIV/0!</v>
      </c>
      <c r="AB9" s="1571" t="e">
        <f>D9/H9</f>
        <v>#DIV/0!</v>
      </c>
      <c r="AC9" s="1571" t="e">
        <f>D9/J9</f>
        <v>#DIV/0!</v>
      </c>
    </row>
    <row r="10" spans="1:29" s="1219"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507" t="s">
        <v>533</v>
      </c>
      <c r="Q10" s="3508"/>
      <c r="R10" s="1568" t="s">
        <v>8</v>
      </c>
      <c r="S10" s="1569">
        <f t="shared" si="0"/>
        <v>0</v>
      </c>
      <c r="T10" s="1568" t="s">
        <v>8</v>
      </c>
      <c r="U10" s="1569">
        <f t="shared" si="1"/>
        <v>0</v>
      </c>
      <c r="V10" s="1568" t="s">
        <v>8</v>
      </c>
      <c r="W10" s="1569">
        <f t="shared" si="2"/>
        <v>0</v>
      </c>
      <c r="X10" s="1570"/>
      <c r="Y10" s="3507" t="s">
        <v>533</v>
      </c>
      <c r="Z10" s="3508"/>
      <c r="AA10" s="1571" t="e">
        <f t="shared" ref="AA10:AA42" si="3">D10/F10</f>
        <v>#DIV/0!</v>
      </c>
      <c r="AB10" s="1571" t="e">
        <f t="shared" ref="AB10:AB42" si="4">D10/H10</f>
        <v>#DIV/0!</v>
      </c>
      <c r="AC10" s="1571" t="e">
        <f t="shared" ref="AC10:AC42" si="5">D10/J10</f>
        <v>#DIV/0!</v>
      </c>
    </row>
    <row r="11" spans="1:29" s="1219" customFormat="1" ht="15">
      <c r="A11" s="2893"/>
      <c r="B11" s="2900" t="s">
        <v>2757</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73" t="s">
        <v>535</v>
      </c>
      <c r="Q11" s="1151" t="str">
        <f t="shared" ref="Q11:Q17" si="6">B11</f>
        <v>用途</v>
      </c>
      <c r="R11" s="1568" t="s">
        <v>8</v>
      </c>
      <c r="S11" s="1569">
        <f t="shared" si="0"/>
        <v>100</v>
      </c>
      <c r="T11" s="1568" t="s">
        <v>8</v>
      </c>
      <c r="U11" s="1569">
        <f t="shared" si="1"/>
        <v>100</v>
      </c>
      <c r="V11" s="1568" t="s">
        <v>8</v>
      </c>
      <c r="W11" s="1569">
        <f t="shared" si="2"/>
        <v>100</v>
      </c>
      <c r="X11" s="1570"/>
      <c r="Y11" s="3434" t="s">
        <v>536</v>
      </c>
      <c r="Z11" s="1150" t="str">
        <f t="shared" ref="Z11:Z17" si="7">Q11</f>
        <v>用途</v>
      </c>
      <c r="AA11" s="1571">
        <f t="shared" si="3"/>
        <v>1</v>
      </c>
      <c r="AB11" s="1571">
        <f t="shared" si="4"/>
        <v>1</v>
      </c>
      <c r="AC11" s="1571">
        <f t="shared" si="5"/>
        <v>1</v>
      </c>
    </row>
    <row r="12" spans="1:29" s="1337" customFormat="1" ht="27">
      <c r="A12" s="2894"/>
      <c r="B12" s="2899" t="s">
        <v>2758</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473"/>
      <c r="Q12" s="1151" t="str">
        <f t="shared" si="6"/>
        <v>土地使用年限（年）</v>
      </c>
      <c r="R12" s="1568" t="s">
        <v>8</v>
      </c>
      <c r="S12" s="1569">
        <f t="shared" si="0"/>
        <v>100</v>
      </c>
      <c r="T12" s="1568" t="s">
        <v>8</v>
      </c>
      <c r="U12" s="1569">
        <f t="shared" si="1"/>
        <v>100</v>
      </c>
      <c r="V12" s="1568" t="s">
        <v>8</v>
      </c>
      <c r="W12" s="1569">
        <f t="shared" si="2"/>
        <v>100</v>
      </c>
      <c r="X12" s="1570"/>
      <c r="Y12" s="3434"/>
      <c r="Z12" s="1150" t="str">
        <f t="shared" si="7"/>
        <v>土地使用年限（年）</v>
      </c>
      <c r="AA12" s="1571">
        <f t="shared" si="3"/>
        <v>1</v>
      </c>
      <c r="AB12" s="1571">
        <f t="shared" si="4"/>
        <v>1</v>
      </c>
      <c r="AC12" s="1571">
        <f t="shared" si="5"/>
        <v>1</v>
      </c>
    </row>
    <row r="13" spans="1:29" ht="15">
      <c r="A13" s="2895"/>
      <c r="B13" s="289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73"/>
      <c r="Q13" s="1151" t="str">
        <f t="shared" si="6"/>
        <v>容积率</v>
      </c>
      <c r="R13" s="1568" t="s">
        <v>8</v>
      </c>
      <c r="S13" s="1569" t="e">
        <f t="shared" si="0"/>
        <v>#N/A</v>
      </c>
      <c r="T13" s="1568" t="s">
        <v>8</v>
      </c>
      <c r="U13" s="1569" t="e">
        <f t="shared" si="1"/>
        <v>#N/A</v>
      </c>
      <c r="V13" s="1568" t="s">
        <v>8</v>
      </c>
      <c r="W13" s="1569" t="e">
        <f t="shared" si="2"/>
        <v>#N/A</v>
      </c>
      <c r="X13" s="1570"/>
      <c r="Y13" s="3434"/>
      <c r="Z13" s="1150" t="str">
        <f t="shared" si="7"/>
        <v>容积率</v>
      </c>
      <c r="AA13" s="1571" t="e">
        <f t="shared" si="3"/>
        <v>#N/A</v>
      </c>
      <c r="AB13" s="1571" t="e">
        <f t="shared" si="4"/>
        <v>#N/A</v>
      </c>
      <c r="AC13" s="1571" t="e">
        <f t="shared" si="5"/>
        <v>#N/A</v>
      </c>
    </row>
    <row r="14" spans="1:29" s="1219"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73"/>
      <c r="Q14" s="1151">
        <f t="shared" si="6"/>
        <v>111</v>
      </c>
      <c r="R14" s="1568" t="s">
        <v>8</v>
      </c>
      <c r="S14" s="1569">
        <f t="shared" si="0"/>
        <v>100</v>
      </c>
      <c r="T14" s="1568" t="s">
        <v>8</v>
      </c>
      <c r="U14" s="1569">
        <f t="shared" si="1"/>
        <v>100</v>
      </c>
      <c r="V14" s="1568" t="s">
        <v>8</v>
      </c>
      <c r="W14" s="1569">
        <f t="shared" si="2"/>
        <v>100</v>
      </c>
      <c r="X14" s="1570"/>
      <c r="Y14" s="3434"/>
      <c r="Z14" s="1150">
        <f t="shared" si="7"/>
        <v>111</v>
      </c>
      <c r="AA14" s="1571">
        <f>D14/F14</f>
        <v>1</v>
      </c>
      <c r="AB14" s="1571">
        <f>D14/H14</f>
        <v>1</v>
      </c>
      <c r="AC14" s="1571">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73"/>
      <c r="Q15" s="1151">
        <f t="shared" si="6"/>
        <v>111</v>
      </c>
      <c r="R15" s="1568" t="s">
        <v>8</v>
      </c>
      <c r="S15" s="1569">
        <f t="shared" si="0"/>
        <v>100</v>
      </c>
      <c r="T15" s="1568" t="s">
        <v>8</v>
      </c>
      <c r="U15" s="1569">
        <f t="shared" si="1"/>
        <v>100</v>
      </c>
      <c r="V15" s="1568" t="s">
        <v>8</v>
      </c>
      <c r="W15" s="1569">
        <f t="shared" si="2"/>
        <v>100</v>
      </c>
      <c r="X15" s="1570"/>
      <c r="Y15" s="3434"/>
      <c r="Z15" s="1150">
        <f t="shared" si="7"/>
        <v>111</v>
      </c>
      <c r="AA15" s="1571">
        <f t="shared" si="3"/>
        <v>1</v>
      </c>
      <c r="AB15" s="1571">
        <f t="shared" si="4"/>
        <v>1</v>
      </c>
      <c r="AC15" s="1571">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73"/>
      <c r="Q16" s="1151">
        <f t="shared" si="6"/>
        <v>111</v>
      </c>
      <c r="R16" s="1568" t="s">
        <v>8</v>
      </c>
      <c r="S16" s="1569">
        <f t="shared" si="0"/>
        <v>100</v>
      </c>
      <c r="T16" s="1568" t="s">
        <v>8</v>
      </c>
      <c r="U16" s="1569">
        <f t="shared" si="1"/>
        <v>100</v>
      </c>
      <c r="V16" s="1568" t="s">
        <v>8</v>
      </c>
      <c r="W16" s="1569">
        <f t="shared" si="2"/>
        <v>100</v>
      </c>
      <c r="X16" s="1570"/>
      <c r="Y16" s="3434"/>
      <c r="Z16" s="1150">
        <f t="shared" si="7"/>
        <v>111</v>
      </c>
      <c r="AA16" s="1571">
        <f t="shared" si="3"/>
        <v>1</v>
      </c>
      <c r="AB16" s="1571">
        <f t="shared" si="4"/>
        <v>1</v>
      </c>
      <c r="AC16" s="1571">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78" t="s">
        <v>540</v>
      </c>
      <c r="Q17" s="1572" t="str">
        <f t="shared" si="6"/>
        <v>产业集聚程度</v>
      </c>
      <c r="R17" s="1573" t="s">
        <v>8</v>
      </c>
      <c r="S17" s="1574">
        <f t="shared" si="0"/>
        <v>100</v>
      </c>
      <c r="T17" s="1573" t="s">
        <v>8</v>
      </c>
      <c r="U17" s="1574">
        <f t="shared" si="1"/>
        <v>100</v>
      </c>
      <c r="V17" s="1573" t="s">
        <v>8</v>
      </c>
      <c r="W17" s="1574">
        <f t="shared" si="2"/>
        <v>100</v>
      </c>
      <c r="X17" s="1567"/>
      <c r="Y17" s="3478"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479"/>
      <c r="Q18" s="1572"/>
      <c r="R18" s="1573"/>
      <c r="S18" s="1574"/>
      <c r="T18" s="1573"/>
      <c r="U18" s="1574"/>
      <c r="V18" s="1573"/>
      <c r="W18" s="1574"/>
      <c r="X18" s="1567"/>
      <c r="Y18" s="3479"/>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79"/>
      <c r="Q19" s="1572" t="str">
        <f>B19</f>
        <v>交通便捷度</v>
      </c>
      <c r="R19" s="1573" t="s">
        <v>8</v>
      </c>
      <c r="S19" s="1574">
        <f>F19</f>
        <v>100</v>
      </c>
      <c r="T19" s="1573" t="s">
        <v>8</v>
      </c>
      <c r="U19" s="1574">
        <f>H19</f>
        <v>100</v>
      </c>
      <c r="V19" s="1573" t="s">
        <v>8</v>
      </c>
      <c r="W19" s="1574">
        <f>J19</f>
        <v>100</v>
      </c>
      <c r="X19" s="1567"/>
      <c r="Y19" s="3479"/>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2"/>
      <c r="M20" s="2134"/>
      <c r="N20" s="2134"/>
      <c r="O20" s="2141"/>
      <c r="P20" s="3479"/>
      <c r="Q20" s="1572"/>
      <c r="R20" s="1573"/>
      <c r="S20" s="1574"/>
      <c r="T20" s="1573"/>
      <c r="U20" s="1574"/>
      <c r="V20" s="1573"/>
      <c r="W20" s="1574"/>
      <c r="X20" s="1567"/>
      <c r="Y20" s="3479"/>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79"/>
      <c r="Q21" s="1572" t="str">
        <f t="shared" ref="Q21:Q35" si="8">B21</f>
        <v>区域土地利用方向</v>
      </c>
      <c r="R21" s="1573" t="s">
        <v>8</v>
      </c>
      <c r="S21" s="1574">
        <f>F21</f>
        <v>100</v>
      </c>
      <c r="T21" s="1573" t="s">
        <v>8</v>
      </c>
      <c r="U21" s="1574">
        <f>H21</f>
        <v>100</v>
      </c>
      <c r="V21" s="1573" t="s">
        <v>8</v>
      </c>
      <c r="W21" s="1574">
        <f>J21</f>
        <v>100</v>
      </c>
      <c r="X21" s="1567"/>
      <c r="Y21" s="3479"/>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2"/>
      <c r="M22" s="2134"/>
      <c r="N22" s="2134"/>
      <c r="O22" s="2141"/>
      <c r="P22" s="3479"/>
      <c r="Q22" s="1572"/>
      <c r="R22" s="1573"/>
      <c r="S22" s="1574"/>
      <c r="T22" s="1573"/>
      <c r="U22" s="1574"/>
      <c r="V22" s="1573"/>
      <c r="W22" s="1574"/>
      <c r="X22" s="1567"/>
      <c r="Y22" s="3479"/>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79"/>
      <c r="Q23" s="1572" t="str">
        <f t="shared" si="8"/>
        <v>环境状况</v>
      </c>
      <c r="R23" s="1573" t="s">
        <v>8</v>
      </c>
      <c r="S23" s="1574">
        <f>F23</f>
        <v>100</v>
      </c>
      <c r="T23" s="1573" t="s">
        <v>8</v>
      </c>
      <c r="U23" s="1574">
        <f>H23</f>
        <v>100</v>
      </c>
      <c r="V23" s="1573" t="s">
        <v>8</v>
      </c>
      <c r="W23" s="1574">
        <f>J23</f>
        <v>100</v>
      </c>
      <c r="X23" s="1567"/>
      <c r="Y23" s="3479"/>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479"/>
      <c r="Q24" s="1572"/>
      <c r="R24" s="1573"/>
      <c r="S24" s="1574"/>
      <c r="T24" s="1573"/>
      <c r="U24" s="1574"/>
      <c r="V24" s="1573"/>
      <c r="W24" s="1574"/>
      <c r="X24" s="1567"/>
      <c r="Y24" s="3479"/>
      <c r="Z24" s="1575"/>
      <c r="AA24" s="1576">
        <v>1</v>
      </c>
      <c r="AB24" s="1576">
        <v>1</v>
      </c>
      <c r="AC24" s="1576">
        <v>1</v>
      </c>
    </row>
    <row r="25" spans="1:29" s="1219" customFormat="1" ht="42.75">
      <c r="A25" s="577"/>
      <c r="B25" s="2572"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79"/>
      <c r="Q25" s="1151" t="str">
        <f t="shared" si="8"/>
        <v>公共配套设施</v>
      </c>
      <c r="R25" s="1568" t="s">
        <v>8</v>
      </c>
      <c r="S25" s="1569">
        <f>F25</f>
        <v>100</v>
      </c>
      <c r="T25" s="1568" t="s">
        <v>8</v>
      </c>
      <c r="U25" s="1569">
        <f>H25</f>
        <v>100</v>
      </c>
      <c r="V25" s="1568" t="s">
        <v>8</v>
      </c>
      <c r="W25" s="1569">
        <f>J25</f>
        <v>100</v>
      </c>
      <c r="X25" s="1570"/>
      <c r="Y25" s="3479"/>
      <c r="Z25" s="1150" t="str">
        <f>Q25</f>
        <v>公共配套设施</v>
      </c>
      <c r="AA25" s="1576">
        <f>D25/F25</f>
        <v>1</v>
      </c>
      <c r="AB25" s="1576">
        <f>D25/H25</f>
        <v>1</v>
      </c>
      <c r="AC25" s="1576">
        <f>D25/J25</f>
        <v>1</v>
      </c>
    </row>
    <row r="26" spans="1:29" s="1219" customFormat="1" ht="15">
      <c r="A26" s="577"/>
      <c r="B26" s="595"/>
      <c r="C26" s="2571"/>
      <c r="D26" s="555"/>
      <c r="E26" s="554"/>
      <c r="F26" s="555"/>
      <c r="G26" s="554"/>
      <c r="H26" s="555"/>
      <c r="I26" s="576"/>
      <c r="J26" s="555"/>
      <c r="K26" s="531"/>
      <c r="L26" s="2135"/>
      <c r="M26" s="2136"/>
      <c r="N26" s="2136"/>
      <c r="O26" s="2137"/>
      <c r="P26" s="3479"/>
      <c r="Q26" s="1151"/>
      <c r="R26" s="1568"/>
      <c r="S26" s="1569"/>
      <c r="T26" s="1568"/>
      <c r="U26" s="1569"/>
      <c r="V26" s="1568"/>
      <c r="W26" s="1569"/>
      <c r="X26" s="1570"/>
      <c r="Y26" s="3479"/>
      <c r="Z26" s="1150"/>
      <c r="AA26" s="1571">
        <v>1</v>
      </c>
      <c r="AB26" s="1571">
        <v>1</v>
      </c>
      <c r="AC26" s="1571">
        <v>1</v>
      </c>
    </row>
    <row r="27" spans="1:29" s="1219" customFormat="1" ht="28.5">
      <c r="A27" s="577"/>
      <c r="B27" s="2572"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79"/>
      <c r="Q27" s="2557" t="str">
        <f t="shared" ref="Q27" si="9">B27</f>
        <v>基础设施水平</v>
      </c>
      <c r="R27" s="1568" t="s">
        <v>8</v>
      </c>
      <c r="S27" s="1569">
        <f>F27</f>
        <v>100</v>
      </c>
      <c r="T27" s="1568" t="s">
        <v>8</v>
      </c>
      <c r="U27" s="1569">
        <f>H27</f>
        <v>100</v>
      </c>
      <c r="V27" s="1568" t="s">
        <v>8</v>
      </c>
      <c r="W27" s="1569">
        <f>J27</f>
        <v>100</v>
      </c>
      <c r="X27" s="1570"/>
      <c r="Y27" s="3479"/>
      <c r="Z27" s="2554" t="str">
        <f>Q27</f>
        <v>基础设施水平</v>
      </c>
      <c r="AA27" s="1576">
        <f>D27/F27</f>
        <v>1</v>
      </c>
      <c r="AB27" s="1576">
        <f>D27/H27</f>
        <v>1</v>
      </c>
      <c r="AC27" s="1576">
        <f>D27/J27</f>
        <v>1</v>
      </c>
    </row>
    <row r="28" spans="1:29" s="1219" customFormat="1" ht="15">
      <c r="A28" s="577"/>
      <c r="B28" s="595"/>
      <c r="C28" s="2571"/>
      <c r="D28" s="555"/>
      <c r="E28" s="579"/>
      <c r="F28" s="555"/>
      <c r="G28" s="579"/>
      <c r="H28" s="555"/>
      <c r="I28" s="579"/>
      <c r="J28" s="555"/>
      <c r="K28" s="531"/>
      <c r="L28" s="2135"/>
      <c r="M28" s="2136"/>
      <c r="N28" s="2136"/>
      <c r="O28" s="2137"/>
      <c r="P28" s="3479"/>
      <c r="Q28" s="2557"/>
      <c r="R28" s="1568"/>
      <c r="S28" s="1569"/>
      <c r="T28" s="1568"/>
      <c r="U28" s="1569"/>
      <c r="V28" s="1568"/>
      <c r="W28" s="1569"/>
      <c r="X28" s="1570"/>
      <c r="Y28" s="3479"/>
      <c r="Z28" s="2554"/>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79"/>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79"/>
      <c r="Z29" s="1575" t="str">
        <f t="shared" ref="Z29:Z42" si="13">Q29</f>
        <v>临街状况</v>
      </c>
      <c r="AA29" s="1576">
        <f t="shared" si="3"/>
        <v>1</v>
      </c>
      <c r="AB29" s="1576">
        <f t="shared" si="4"/>
        <v>1</v>
      </c>
      <c r="AC29" s="1576">
        <f t="shared" si="5"/>
        <v>1</v>
      </c>
    </row>
    <row r="30" spans="1:29" ht="27">
      <c r="A30" s="532"/>
      <c r="B30" s="922"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79"/>
      <c r="Q30" s="1572" t="str">
        <f t="shared" si="8"/>
        <v>毗邻道路的类型与等级</v>
      </c>
      <c r="R30" s="1573" t="s">
        <v>8</v>
      </c>
      <c r="S30" s="1574">
        <f t="shared" si="10"/>
        <v>100</v>
      </c>
      <c r="T30" s="1573" t="s">
        <v>8</v>
      </c>
      <c r="U30" s="1574">
        <f t="shared" si="11"/>
        <v>100</v>
      </c>
      <c r="V30" s="1573" t="s">
        <v>8</v>
      </c>
      <c r="W30" s="1574">
        <f t="shared" si="12"/>
        <v>100</v>
      </c>
      <c r="X30" s="1567"/>
      <c r="Y30" s="3479"/>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2"/>
      <c r="M31" s="2134"/>
      <c r="N31" s="2134"/>
      <c r="O31" s="2141"/>
      <c r="P31" s="3479"/>
      <c r="Q31" s="1572"/>
      <c r="R31" s="1573"/>
      <c r="S31" s="1574"/>
      <c r="T31" s="1573"/>
      <c r="U31" s="1574"/>
      <c r="V31" s="1573"/>
      <c r="W31" s="1574"/>
      <c r="X31" s="1567"/>
      <c r="Y31" s="3479"/>
      <c r="Z31" s="1575"/>
      <c r="AA31" s="1576">
        <v>1</v>
      </c>
      <c r="AB31" s="1576">
        <v>1</v>
      </c>
      <c r="AC31" s="1576">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79"/>
      <c r="Q32" s="1572" t="str">
        <f t="shared" si="8"/>
        <v>土地级别</v>
      </c>
      <c r="R32" s="1573" t="s">
        <v>8</v>
      </c>
      <c r="S32" s="1574">
        <f t="shared" si="10"/>
        <v>100</v>
      </c>
      <c r="T32" s="1573" t="s">
        <v>8</v>
      </c>
      <c r="U32" s="1574">
        <f t="shared" si="11"/>
        <v>100</v>
      </c>
      <c r="V32" s="1573" t="s">
        <v>8</v>
      </c>
      <c r="W32" s="1574">
        <f t="shared" si="12"/>
        <v>100</v>
      </c>
      <c r="X32" s="1567"/>
      <c r="Y32" s="3479"/>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79"/>
      <c r="Q33" s="1572">
        <f t="shared" si="8"/>
        <v>111</v>
      </c>
      <c r="R33" s="1573" t="s">
        <v>8</v>
      </c>
      <c r="S33" s="1574">
        <f t="shared" si="10"/>
        <v>100</v>
      </c>
      <c r="T33" s="1573" t="s">
        <v>8</v>
      </c>
      <c r="U33" s="1574">
        <f t="shared" si="11"/>
        <v>100</v>
      </c>
      <c r="V33" s="1573" t="s">
        <v>8</v>
      </c>
      <c r="W33" s="1574">
        <f t="shared" si="12"/>
        <v>100</v>
      </c>
      <c r="X33" s="1567"/>
      <c r="Y33" s="3479"/>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80" t="s">
        <v>550</v>
      </c>
      <c r="Q34" s="1572">
        <f t="shared" si="8"/>
        <v>111</v>
      </c>
      <c r="R34" s="1573" t="s">
        <v>8</v>
      </c>
      <c r="S34" s="1574">
        <f t="shared" si="10"/>
        <v>100</v>
      </c>
      <c r="T34" s="1573" t="s">
        <v>8</v>
      </c>
      <c r="U34" s="1574">
        <f t="shared" si="11"/>
        <v>100</v>
      </c>
      <c r="V34" s="1573" t="s">
        <v>8</v>
      </c>
      <c r="W34" s="1574">
        <f t="shared" si="12"/>
        <v>100</v>
      </c>
      <c r="X34" s="1567"/>
      <c r="Y34" s="3481" t="s">
        <v>550</v>
      </c>
      <c r="Z34" s="1575">
        <f t="shared" si="13"/>
        <v>111</v>
      </c>
      <c r="AA34" s="1576">
        <f t="shared" si="3"/>
        <v>1</v>
      </c>
      <c r="AB34" s="1576">
        <f t="shared" si="4"/>
        <v>1</v>
      </c>
      <c r="AC34" s="1576">
        <f t="shared" si="5"/>
        <v>1</v>
      </c>
    </row>
    <row r="35" spans="1:29" s="1338"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81"/>
      <c r="Q35" s="1572">
        <f t="shared" si="8"/>
        <v>111</v>
      </c>
      <c r="R35" s="1577" t="s">
        <v>8</v>
      </c>
      <c r="S35" s="1578">
        <f t="shared" si="10"/>
        <v>100</v>
      </c>
      <c r="T35" s="1577" t="s">
        <v>8</v>
      </c>
      <c r="U35" s="1578">
        <f t="shared" si="11"/>
        <v>100</v>
      </c>
      <c r="V35" s="1577" t="s">
        <v>8</v>
      </c>
      <c r="W35" s="1578">
        <f t="shared" si="12"/>
        <v>100</v>
      </c>
      <c r="X35" s="1579"/>
      <c r="Y35" s="3481"/>
      <c r="Z35" s="1580">
        <f t="shared" si="13"/>
        <v>111</v>
      </c>
      <c r="AA35" s="1576">
        <f t="shared" si="3"/>
        <v>1</v>
      </c>
      <c r="AB35" s="1576">
        <f t="shared" si="4"/>
        <v>1</v>
      </c>
      <c r="AC35" s="1576">
        <f t="shared" si="5"/>
        <v>1</v>
      </c>
    </row>
    <row r="36" spans="1:29" ht="15">
      <c r="A36" s="288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81"/>
      <c r="Q36" s="1572" t="str">
        <f>B36</f>
        <v>宗地面积</v>
      </c>
      <c r="R36" s="1573" t="s">
        <v>8</v>
      </c>
      <c r="S36" s="1574" t="e">
        <f t="shared" si="10"/>
        <v>#N/A</v>
      </c>
      <c r="T36" s="1573" t="s">
        <v>8</v>
      </c>
      <c r="U36" s="1574" t="e">
        <f t="shared" si="11"/>
        <v>#N/A</v>
      </c>
      <c r="V36" s="1573" t="s">
        <v>8</v>
      </c>
      <c r="W36" s="1574" t="e">
        <f t="shared" si="12"/>
        <v>#N/A</v>
      </c>
      <c r="X36" s="1567"/>
      <c r="Y36" s="3481"/>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81"/>
      <c r="Q37" s="1572" t="str">
        <f t="shared" ref="Q37:Q42" si="14">B37</f>
        <v>宗地形状</v>
      </c>
      <c r="R37" s="1573" t="s">
        <v>8</v>
      </c>
      <c r="S37" s="1574">
        <f t="shared" si="10"/>
        <v>100</v>
      </c>
      <c r="T37" s="1573" t="s">
        <v>8</v>
      </c>
      <c r="U37" s="1574">
        <f t="shared" si="11"/>
        <v>100</v>
      </c>
      <c r="V37" s="1573" t="s">
        <v>8</v>
      </c>
      <c r="W37" s="1574">
        <f t="shared" si="12"/>
        <v>100</v>
      </c>
      <c r="X37" s="1567"/>
      <c r="Y37" s="3481"/>
      <c r="Z37" s="1575" t="str">
        <f t="shared" si="13"/>
        <v>宗地形状</v>
      </c>
      <c r="AA37" s="1576">
        <f t="shared" si="3"/>
        <v>1</v>
      </c>
      <c r="AB37" s="1576">
        <f t="shared" si="4"/>
        <v>1</v>
      </c>
      <c r="AC37" s="1576">
        <f t="shared" si="5"/>
        <v>1</v>
      </c>
    </row>
    <row r="38" spans="1:29" s="1219"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81"/>
      <c r="Q38" s="1572" t="str">
        <f t="shared" si="14"/>
        <v>宗地开发程度</v>
      </c>
      <c r="R38" s="1568" t="s">
        <v>8</v>
      </c>
      <c r="S38" s="1569">
        <f t="shared" si="10"/>
        <v>100</v>
      </c>
      <c r="T38" s="1568" t="s">
        <v>8</v>
      </c>
      <c r="U38" s="1569">
        <f t="shared" si="11"/>
        <v>100</v>
      </c>
      <c r="V38" s="1568" t="s">
        <v>8</v>
      </c>
      <c r="W38" s="1569">
        <f t="shared" si="12"/>
        <v>100</v>
      </c>
      <c r="X38" s="1570"/>
      <c r="Y38" s="3481"/>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81" t="s">
        <v>601</v>
      </c>
      <c r="Q39" s="1572" t="str">
        <f t="shared" si="14"/>
        <v>工程地质条件</v>
      </c>
      <c r="R39" s="1573" t="s">
        <v>8</v>
      </c>
      <c r="S39" s="1574">
        <f t="shared" si="10"/>
        <v>100</v>
      </c>
      <c r="T39" s="1573" t="s">
        <v>8</v>
      </c>
      <c r="U39" s="1574">
        <f t="shared" si="11"/>
        <v>100</v>
      </c>
      <c r="V39" s="1573" t="s">
        <v>8</v>
      </c>
      <c r="W39" s="1574">
        <f t="shared" si="12"/>
        <v>100</v>
      </c>
      <c r="X39" s="1567"/>
      <c r="Y39" s="3481"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81"/>
      <c r="Q40" s="1572">
        <f t="shared" si="14"/>
        <v>111</v>
      </c>
      <c r="R40" s="1573" t="s">
        <v>8</v>
      </c>
      <c r="S40" s="1574">
        <f t="shared" si="10"/>
        <v>100</v>
      </c>
      <c r="T40" s="1573" t="s">
        <v>8</v>
      </c>
      <c r="U40" s="1574">
        <f t="shared" si="11"/>
        <v>100</v>
      </c>
      <c r="V40" s="1573" t="s">
        <v>8</v>
      </c>
      <c r="W40" s="1574">
        <f t="shared" si="12"/>
        <v>100</v>
      </c>
      <c r="X40" s="1567"/>
      <c r="Y40" s="3481"/>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81"/>
      <c r="Q41" s="1572">
        <f t="shared" si="14"/>
        <v>111</v>
      </c>
      <c r="R41" s="1573" t="s">
        <v>8</v>
      </c>
      <c r="S41" s="1574">
        <f t="shared" si="10"/>
        <v>100</v>
      </c>
      <c r="T41" s="1573" t="s">
        <v>8</v>
      </c>
      <c r="U41" s="1574">
        <f t="shared" si="11"/>
        <v>100</v>
      </c>
      <c r="V41" s="1573" t="s">
        <v>8</v>
      </c>
      <c r="W41" s="1574">
        <f t="shared" si="12"/>
        <v>100</v>
      </c>
      <c r="X41" s="1567"/>
      <c r="Y41" s="3481"/>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81"/>
      <c r="Q42" s="1572">
        <f t="shared" si="14"/>
        <v>111</v>
      </c>
      <c r="R42" s="1577" t="s">
        <v>8</v>
      </c>
      <c r="S42" s="1578">
        <f t="shared" si="10"/>
        <v>100</v>
      </c>
      <c r="T42" s="1577" t="s">
        <v>8</v>
      </c>
      <c r="U42" s="1578">
        <f t="shared" si="11"/>
        <v>100</v>
      </c>
      <c r="V42" s="1577" t="s">
        <v>8</v>
      </c>
      <c r="W42" s="1578">
        <f t="shared" si="12"/>
        <v>100</v>
      </c>
      <c r="X42" s="1579"/>
      <c r="Y42" s="3481"/>
      <c r="Z42" s="1580">
        <f t="shared" si="13"/>
        <v>111</v>
      </c>
      <c r="AA42" s="1576">
        <f t="shared" si="3"/>
        <v>1</v>
      </c>
      <c r="AB42" s="1576">
        <f t="shared" si="4"/>
        <v>1</v>
      </c>
      <c r="AC42" s="1576">
        <f t="shared" si="5"/>
        <v>1</v>
      </c>
    </row>
    <row r="43" spans="1:29" ht="15">
      <c r="A43" s="607" t="s">
        <v>556</v>
      </c>
      <c r="B43" s="608" t="s">
        <v>2931</v>
      </c>
      <c r="C43" s="609" t="s">
        <v>1</v>
      </c>
      <c r="D43" s="610"/>
      <c r="E43" s="611"/>
      <c r="F43" s="612"/>
      <c r="G43" s="613"/>
      <c r="H43" s="614"/>
      <c r="I43" s="611"/>
      <c r="J43" s="614"/>
      <c r="K43" s="1339"/>
      <c r="L43" s="2144"/>
      <c r="M43" s="2134"/>
      <c r="N43" s="2134"/>
      <c r="O43" s="2145"/>
      <c r="P43" s="3473" t="str">
        <f>A43</f>
        <v>成交单价</v>
      </c>
      <c r="Q43" s="3473"/>
      <c r="R43" s="3502">
        <f>E43</f>
        <v>0</v>
      </c>
      <c r="S43" s="3502"/>
      <c r="T43" s="3502">
        <f>G43</f>
        <v>0</v>
      </c>
      <c r="U43" s="3502"/>
      <c r="V43" s="3502">
        <f>I43</f>
        <v>0</v>
      </c>
      <c r="W43" s="3502"/>
      <c r="X43" s="1559"/>
      <c r="Y43" s="1581"/>
      <c r="Z43" s="1559"/>
      <c r="AA43" s="1559"/>
      <c r="AB43" s="1559"/>
      <c r="AC43" s="1559"/>
    </row>
    <row r="44" spans="1:29" ht="15.75" thickBot="1">
      <c r="A44" s="615" t="s">
        <v>2694</v>
      </c>
      <c r="B44" s="616"/>
      <c r="C44" s="617" t="e">
        <f>R45</f>
        <v>#DIV/0!</v>
      </c>
      <c r="D44" s="618"/>
      <c r="E44" s="617" t="e">
        <f>R44</f>
        <v>#DIV/0!</v>
      </c>
      <c r="F44" s="619"/>
      <c r="G44" s="620" t="e">
        <f>T44</f>
        <v>#DIV/0!</v>
      </c>
      <c r="H44" s="618"/>
      <c r="I44" s="617" t="e">
        <f>V44</f>
        <v>#DIV/0!</v>
      </c>
      <c r="J44" s="618"/>
      <c r="K44" s="1340"/>
      <c r="L44" s="2144"/>
      <c r="M44" s="2134"/>
      <c r="N44" s="2134"/>
      <c r="O44" s="2145"/>
      <c r="P44" s="3473" t="str">
        <f>A44</f>
        <v>比较价格（元/平方米）</v>
      </c>
      <c r="Q44" s="3473"/>
      <c r="R44" s="3516" t="e">
        <f>ROUND(PRODUCT(R43,AA9:AA42),0)</f>
        <v>#DIV/0!</v>
      </c>
      <c r="S44" s="3516"/>
      <c r="T44" s="3516" t="e">
        <f>ROUND(PRODUCT(T43,AB9:AB42),0)</f>
        <v>#DIV/0!</v>
      </c>
      <c r="U44" s="3516"/>
      <c r="V44" s="3516" t="e">
        <f>ROUND(PRODUCT(V43,AC9:AC42),0)</f>
        <v>#DIV/0!</v>
      </c>
      <c r="W44" s="3516"/>
      <c r="X44" s="1559"/>
      <c r="Y44" s="1559"/>
      <c r="Z44" s="1559"/>
      <c r="AA44" s="1559"/>
      <c r="AB44" s="1559"/>
      <c r="AC44" s="1559"/>
    </row>
    <row r="45" spans="1:29" ht="15.75" thickBot="1">
      <c r="A45" s="621" t="s">
        <v>2932</v>
      </c>
      <c r="B45" s="622"/>
      <c r="C45" s="623" t="e">
        <f>R45</f>
        <v>#DIV/0!</v>
      </c>
      <c r="D45" s="623"/>
      <c r="E45" s="623"/>
      <c r="F45" s="623"/>
      <c r="G45" s="623"/>
      <c r="H45" s="623"/>
      <c r="I45" s="623"/>
      <c r="J45" s="623"/>
      <c r="K45" s="1341"/>
      <c r="L45" s="2144"/>
      <c r="M45" s="2134"/>
      <c r="N45" s="2134"/>
      <c r="O45" s="2145"/>
      <c r="P45" s="3475" t="str">
        <f>A45</f>
        <v>估价对象XX用房的比较价格（楼面单价，元/平方米）</v>
      </c>
      <c r="Q45" s="3476"/>
      <c r="R45" s="3515" t="e">
        <f>ROUND(AVERAGE(R44:V44),0)</f>
        <v>#DIV/0!</v>
      </c>
      <c r="S45" s="3515"/>
      <c r="T45" s="3515"/>
      <c r="U45" s="3515"/>
      <c r="V45" s="3515"/>
      <c r="W45" s="3515"/>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0" t="s">
        <v>1725</v>
      </c>
      <c r="D52" s="2227" t="s">
        <v>2294</v>
      </c>
      <c r="E52" s="631" t="s">
        <v>562</v>
      </c>
      <c r="F52" s="1951" t="s">
        <v>563</v>
      </c>
      <c r="G52" s="3525" t="s">
        <v>2285</v>
      </c>
      <c r="H52" s="3526"/>
      <c r="I52" s="1952" t="s">
        <v>1946</v>
      </c>
      <c r="J52" s="1555">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564</v>
      </c>
      <c r="B53" s="634" t="e">
        <f>C45</f>
        <v>#DIV/0!</v>
      </c>
      <c r="C53" s="635">
        <v>1</v>
      </c>
      <c r="D53" s="2228">
        <v>1</v>
      </c>
      <c r="E53" s="635">
        <f>'数据-汇总表'!E8+'数据-汇总表'!E9</f>
        <v>400500</v>
      </c>
      <c r="F53" s="1950" t="e">
        <f t="shared" ref="F53:F62" si="15">ROUND(B53*E53/10000,0)</f>
        <v>#DIV/0!</v>
      </c>
      <c r="G53" s="3527"/>
      <c r="H53" s="3528"/>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565</v>
      </c>
      <c r="B54" s="638" t="e">
        <f>ROUND($C$45*C54*D54,0)</f>
        <v>#DIV/0!</v>
      </c>
      <c r="C54" s="378">
        <f t="shared" ref="C54:C62" si="16">IF($C$52="北京市系数",I54,J54)</f>
        <v>0.7</v>
      </c>
      <c r="D54" s="2229">
        <v>0.25</v>
      </c>
      <c r="E54" s="639"/>
      <c r="F54" s="1950" t="e">
        <f t="shared" si="15"/>
        <v>#DIV/0!</v>
      </c>
      <c r="G54" s="3529" t="s">
        <v>2286</v>
      </c>
      <c r="H54" s="1954" t="str">
        <f>项目基本情况!B43</f>
        <v>四级</v>
      </c>
      <c r="I54" s="1953">
        <f>SUMIF(修正!$A$45:$A$56,H54,修正!B45:B56)</f>
        <v>0.7</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566</v>
      </c>
      <c r="B55" s="638" t="e">
        <f t="shared" ref="B55:B62" si="17">ROUND($C$45*C55*D55,0)</f>
        <v>#DIV/0!</v>
      </c>
      <c r="C55" s="378">
        <f t="shared" si="16"/>
        <v>0.4</v>
      </c>
      <c r="D55" s="2229">
        <v>0.25</v>
      </c>
      <c r="E55" s="639"/>
      <c r="F55" s="1950" t="e">
        <f t="shared" si="15"/>
        <v>#DIV/0!</v>
      </c>
      <c r="G55" s="3529"/>
      <c r="H55" s="1955" t="str">
        <f>项目基本情况!B43</f>
        <v>四级</v>
      </c>
      <c r="I55" s="1953">
        <f>SUMIF(修正!$A$45:$A$56,H55,修正!C45:C56)</f>
        <v>0.4</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567</v>
      </c>
      <c r="B56" s="638" t="e">
        <f t="shared" si="17"/>
        <v>#DIV/0!</v>
      </c>
      <c r="C56" s="378">
        <f t="shared" si="16"/>
        <v>0.28000000000000003</v>
      </c>
      <c r="D56" s="2229">
        <v>0.25</v>
      </c>
      <c r="E56" s="639"/>
      <c r="F56" s="1950" t="e">
        <f t="shared" si="15"/>
        <v>#DIV/0!</v>
      </c>
      <c r="G56" s="3529"/>
      <c r="H56" s="1955" t="str">
        <f>项目基本情况!B43</f>
        <v>四级</v>
      </c>
      <c r="I56" s="1953">
        <f>SUMIF(修正!$A$45:$A$56,H56,修正!D45:D56)</f>
        <v>0.28000000000000003</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568</v>
      </c>
      <c r="B57" s="638" t="e">
        <f t="shared" si="17"/>
        <v>#DIV/0!</v>
      </c>
      <c r="C57" s="378">
        <f t="shared" si="16"/>
        <v>0.25</v>
      </c>
      <c r="D57" s="2229">
        <v>0.25</v>
      </c>
      <c r="E57" s="639"/>
      <c r="F57" s="1950" t="e">
        <f t="shared" si="15"/>
        <v>#DIV/0!</v>
      </c>
      <c r="G57" s="3529"/>
      <c r="H57" s="1955" t="str">
        <f>项目基本情况!B43</f>
        <v>四级</v>
      </c>
      <c r="I57" s="1953">
        <f>SUMIF(修正!$A$45:$A$56,H57,修正!E45:E56)</f>
        <v>0.25</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2329</v>
      </c>
      <c r="B58" s="638" t="e">
        <f t="shared" si="17"/>
        <v>#DIV/0!</v>
      </c>
      <c r="C58" s="378">
        <f t="shared" si="16"/>
        <v>0.25</v>
      </c>
      <c r="D58" s="2229">
        <v>0.25</v>
      </c>
      <c r="E58" s="641">
        <f>'数据-汇总表'!E11</f>
        <v>0</v>
      </c>
      <c r="F58" s="1950" t="e">
        <f t="shared" si="15"/>
        <v>#DIV/0!</v>
      </c>
      <c r="G58" s="1956" t="s">
        <v>2287</v>
      </c>
      <c r="H58" s="1955" t="str">
        <f>项目基本情况!C43</f>
        <v>四级</v>
      </c>
      <c r="I58" s="1953">
        <f>SUMIF(修正!$A$45:$A$56,H58,修正!F45:F56)</f>
        <v>0.25</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569</v>
      </c>
      <c r="B59" s="638" t="e">
        <f t="shared" si="17"/>
        <v>#DIV/0!</v>
      </c>
      <c r="C59" s="378">
        <f t="shared" si="16"/>
        <v>0.25</v>
      </c>
      <c r="D59" s="2229">
        <v>0.25</v>
      </c>
      <c r="E59" s="641">
        <f>'数据-汇总表'!E12</f>
        <v>0</v>
      </c>
      <c r="F59" s="1950" t="e">
        <f t="shared" si="15"/>
        <v>#DIV/0!</v>
      </c>
      <c r="G59" s="1946" t="s">
        <v>1678</v>
      </c>
      <c r="H59" s="1954" t="str">
        <f>IF(G59="商业",项目基本情况!B43,IF(G59="办公",项目基本情况!C43,IF(G59="住宅",项目基本情况!D43,项目基本情况!E43)))</f>
        <v>四级</v>
      </c>
      <c r="I59" s="1953">
        <f>SUMIF(修正!$A$45:$A$56,H59,修正!G45:G56)</f>
        <v>0.25</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570</v>
      </c>
      <c r="B60" s="638" t="e">
        <f t="shared" si="17"/>
        <v>#DIV/0!</v>
      </c>
      <c r="C60" s="378">
        <f t="shared" si="16"/>
        <v>0</v>
      </c>
      <c r="D60" s="2229">
        <v>0.25</v>
      </c>
      <c r="E60" s="641">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571</v>
      </c>
      <c r="B61" s="638" t="e">
        <f t="shared" si="17"/>
        <v>#DIV/0!</v>
      </c>
      <c r="C61" s="378">
        <f t="shared" si="16"/>
        <v>0.2</v>
      </c>
      <c r="D61" s="2229">
        <v>0.25</v>
      </c>
      <c r="E61" s="641">
        <f>'数据-汇总表'!E14</f>
        <v>0</v>
      </c>
      <c r="F61" s="1950" t="e">
        <f t="shared" si="15"/>
        <v>#DIV/0!</v>
      </c>
      <c r="G61" s="1956" t="s">
        <v>2286</v>
      </c>
      <c r="H61" s="1955" t="str">
        <f>项目基本情况!B43</f>
        <v>四级</v>
      </c>
      <c r="I61" s="1953">
        <f>SUMIF(修正!$A$45:$A$56,H61,修正!H45:H56)</f>
        <v>0.2</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572</v>
      </c>
      <c r="B62" s="638" t="e">
        <f t="shared" si="17"/>
        <v>#DIV/0!</v>
      </c>
      <c r="C62" s="378">
        <f t="shared" si="16"/>
        <v>0.2</v>
      </c>
      <c r="D62" s="2229">
        <v>0.25</v>
      </c>
      <c r="E62" s="641">
        <f>'数据-汇总表'!E15</f>
        <v>0</v>
      </c>
      <c r="F62" s="1950" t="e">
        <f t="shared" si="15"/>
        <v>#DIV/0!</v>
      </c>
      <c r="G62" s="1957" t="s">
        <v>2287</v>
      </c>
      <c r="H62" s="1958" t="str">
        <f>项目基本情况!C43</f>
        <v>四级</v>
      </c>
      <c r="I62" s="1953">
        <f>SUMIF(修正!$A$45:$A$56,H62,修正!H45:H56)</f>
        <v>0.2</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573</v>
      </c>
      <c r="B63" s="643" t="s">
        <v>17</v>
      </c>
      <c r="C63" s="643" t="s">
        <v>18</v>
      </c>
      <c r="D63" s="643" t="s">
        <v>2295</v>
      </c>
      <c r="E63" s="643">
        <f>IF(B43="楼面地价",SUM(E53:E62),'数据-汇总表'!D3)</f>
        <v>78298.679999999993</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9" t="str">
        <f>YEAR(C9)&amp;"-"&amp;MONTH(C9)&amp;"-1"</f>
        <v>2018-10-1</v>
      </c>
      <c r="D65" s="2778">
        <f>EDATE(C65,-3)</f>
        <v>43282</v>
      </c>
      <c r="E65" s="2778">
        <f t="shared" ref="E65:N65" si="18">EDATE(D65,-3)</f>
        <v>43191</v>
      </c>
      <c r="F65" s="2778">
        <f t="shared" si="18"/>
        <v>43101</v>
      </c>
      <c r="G65" s="2778">
        <f t="shared" si="18"/>
        <v>43009</v>
      </c>
      <c r="H65" s="2778">
        <f t="shared" si="18"/>
        <v>42917</v>
      </c>
      <c r="I65" s="2778">
        <f t="shared" si="18"/>
        <v>42826</v>
      </c>
      <c r="J65" s="2778">
        <f t="shared" si="18"/>
        <v>42736</v>
      </c>
      <c r="K65" s="2778">
        <f t="shared" si="18"/>
        <v>42644</v>
      </c>
      <c r="L65" s="2778">
        <f t="shared" si="18"/>
        <v>42552</v>
      </c>
      <c r="M65" s="2778">
        <f t="shared" si="18"/>
        <v>42461</v>
      </c>
      <c r="N65" s="2778">
        <f t="shared" si="18"/>
        <v>42370</v>
      </c>
      <c r="O65" s="2145"/>
      <c r="P65" s="2145"/>
      <c r="Q65" s="2145"/>
      <c r="R65" s="2145"/>
      <c r="S65" s="2145"/>
      <c r="T65" s="2145"/>
      <c r="U65" s="2145"/>
      <c r="V65" s="2145"/>
      <c r="W65" s="2145"/>
      <c r="X65" s="2145"/>
      <c r="Y65" s="2145"/>
      <c r="Z65" s="2145"/>
      <c r="AA65" s="2145"/>
      <c r="AB65" s="2145"/>
      <c r="AC65" s="2145"/>
    </row>
    <row r="66" spans="1:29" ht="21.75" thickBot="1">
      <c r="A66" s="1584" t="s">
        <v>574</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47" t="s">
        <v>2534</v>
      </c>
      <c r="B67" s="646"/>
      <c r="C67" s="2773" t="str">
        <f>YEAR(C65)&amp;"-"&amp;ROUNDUP(MONTH(C65)/3,0)</f>
        <v>2018-4</v>
      </c>
      <c r="D67" s="2780" t="str">
        <f t="shared" ref="D67:N67" si="19">YEAR(D65)&amp;"-"&amp;ROUNDUP(MONTH(D65)/3,0)</f>
        <v>2018-3</v>
      </c>
      <c r="E67" s="2780" t="str">
        <f t="shared" si="19"/>
        <v>2018-2</v>
      </c>
      <c r="F67" s="2780" t="str">
        <f t="shared" si="19"/>
        <v>2018-1</v>
      </c>
      <c r="G67" s="2780" t="str">
        <f t="shared" si="19"/>
        <v>2017-4</v>
      </c>
      <c r="H67" s="2780" t="str">
        <f t="shared" si="19"/>
        <v>2017-3</v>
      </c>
      <c r="I67" s="2780" t="str">
        <f t="shared" si="19"/>
        <v>2017-2</v>
      </c>
      <c r="J67" s="2780" t="str">
        <f t="shared" si="19"/>
        <v>2017-1</v>
      </c>
      <c r="K67" s="2780" t="str">
        <f t="shared" si="19"/>
        <v>2016-4</v>
      </c>
      <c r="L67" s="2780" t="str">
        <f t="shared" si="19"/>
        <v>2016-3</v>
      </c>
      <c r="M67" s="2780" t="str">
        <f t="shared" si="19"/>
        <v>2016-2</v>
      </c>
      <c r="N67" s="2780" t="str">
        <f t="shared" si="19"/>
        <v>2016-1</v>
      </c>
      <c r="O67" s="2159"/>
      <c r="P67" s="2160"/>
      <c r="Q67" s="2161"/>
      <c r="R67" s="2161"/>
      <c r="S67" s="2161"/>
      <c r="T67" s="2161"/>
      <c r="U67" s="2161"/>
      <c r="V67" s="2161"/>
      <c r="W67" s="2161"/>
      <c r="X67" s="2161"/>
      <c r="Y67" s="2161"/>
      <c r="Z67" s="2161"/>
      <c r="AA67" s="2161"/>
      <c r="AB67" s="2161"/>
      <c r="AC67" s="2161"/>
    </row>
    <row r="68" spans="1:29" s="1219" customFormat="1" ht="27.75" customHeight="1">
      <c r="A68" s="2777" t="s">
        <v>2650</v>
      </c>
      <c r="B68" s="479" t="str">
        <f>"北京市平均增长率"&amp;TEXT('基准地价-商业'!P24,"0.00%")</f>
        <v>北京市平均增长率1.42%</v>
      </c>
      <c r="C68" s="894">
        <v>100</v>
      </c>
      <c r="D68" s="730"/>
      <c r="E68" s="730"/>
      <c r="F68" s="730"/>
      <c r="G68" s="730"/>
      <c r="H68" s="730"/>
      <c r="I68" s="730"/>
      <c r="J68" s="730"/>
      <c r="K68" s="730"/>
      <c r="L68" s="730"/>
      <c r="M68" s="2771"/>
      <c r="N68" s="2772"/>
      <c r="O68" s="2162"/>
      <c r="P68" s="2158"/>
      <c r="Q68" s="1993"/>
      <c r="R68" s="1993"/>
      <c r="S68" s="1993"/>
      <c r="T68" s="1993"/>
      <c r="U68" s="1993"/>
      <c r="V68" s="1993"/>
      <c r="W68" s="1993"/>
      <c r="X68" s="1993"/>
      <c r="Y68" s="1993"/>
      <c r="Z68" s="1993"/>
      <c r="AA68" s="1993"/>
      <c r="AB68" s="1993"/>
      <c r="AC68" s="1993"/>
    </row>
    <row r="69" spans="1:29" s="1219" customFormat="1" ht="15.75" thickBot="1">
      <c r="A69" s="653" t="s">
        <v>575</v>
      </c>
      <c r="B69" s="654"/>
      <c r="C69" s="2769"/>
      <c r="D69" s="2770"/>
      <c r="E69" s="2770"/>
      <c r="F69" s="2770"/>
      <c r="G69" s="2770"/>
      <c r="H69" s="2770"/>
      <c r="I69" s="2770"/>
      <c r="J69" s="2770"/>
      <c r="K69" s="2770"/>
      <c r="L69" s="2770"/>
      <c r="M69" s="2770"/>
      <c r="N69" s="2770"/>
      <c r="O69" s="2162"/>
      <c r="P69" s="2158"/>
      <c r="Q69" s="2158"/>
      <c r="R69" s="1993"/>
      <c r="S69" s="1993"/>
      <c r="T69" s="1993"/>
      <c r="U69" s="1993"/>
      <c r="V69" s="1993"/>
      <c r="W69" s="1993"/>
      <c r="X69" s="1993"/>
      <c r="Y69" s="1993"/>
      <c r="Z69" s="1993"/>
      <c r="AA69" s="1993"/>
      <c r="AB69" s="1993"/>
      <c r="AC69" s="1993"/>
    </row>
    <row r="70" spans="1:29" s="1219"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2549</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576" t="s">
        <v>2551</v>
      </c>
      <c r="C95" s="2577" t="s">
        <v>2552</v>
      </c>
      <c r="D95" s="2577" t="s">
        <v>2553</v>
      </c>
      <c r="E95" s="2577" t="s">
        <v>2554</v>
      </c>
      <c r="F95" s="2577" t="s">
        <v>2555</v>
      </c>
      <c r="G95" s="2577"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8" t="str">
        <f t="shared" si="25"/>
        <v>(含)-</v>
      </c>
      <c r="L109" s="3069" t="str">
        <f t="shared" si="25"/>
        <v>(含)-</v>
      </c>
      <c r="M109" s="3070"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2426</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9" priority="14" stopIfTrue="1" operator="containsText" text="超过">
      <formula>NOT(ISERROR(SEARCH("超过",F48)))</formula>
    </cfRule>
  </conditionalFormatting>
  <conditionalFormatting sqref="J50">
    <cfRule type="containsText" dxfId="108" priority="13" stopIfTrue="1" operator="containsText" text="超过">
      <formula>NOT(ISERROR(SEARCH("超过",J50)))</formula>
    </cfRule>
  </conditionalFormatting>
  <conditionalFormatting sqref="H50">
    <cfRule type="containsText" dxfId="107" priority="12" stopIfTrue="1" operator="containsText" text="超过">
      <formula>NOT(ISERROR(SEARCH("超过",H50)))</formula>
    </cfRule>
  </conditionalFormatting>
  <conditionalFormatting sqref="F50">
    <cfRule type="containsText" dxfId="106" priority="11" stopIfTrue="1" operator="containsText" text="超过">
      <formula>NOT(ISERROR(SEARCH("超过",F50)))</formula>
    </cfRule>
  </conditionalFormatting>
  <conditionalFormatting sqref="F49 H49 J49">
    <cfRule type="containsText" dxfId="105" priority="10" stopIfTrue="1" operator="containsText" text="超过">
      <formula>NOT(ISERROR(SEARCH("超过",F49)))</formula>
    </cfRule>
  </conditionalFormatting>
  <conditionalFormatting sqref="E48">
    <cfRule type="expression" dxfId="104" priority="9" stopIfTrue="1">
      <formula>$F$48="超过30%"</formula>
    </cfRule>
  </conditionalFormatting>
  <conditionalFormatting sqref="G50">
    <cfRule type="expression" dxfId="103" priority="8" stopIfTrue="1">
      <formula>$H$50="超过30%"</formula>
    </cfRule>
  </conditionalFormatting>
  <conditionalFormatting sqref="E50">
    <cfRule type="expression" dxfId="102" priority="6" stopIfTrue="1">
      <formula>$F$50="超过30%"</formula>
    </cfRule>
  </conditionalFormatting>
  <conditionalFormatting sqref="G48">
    <cfRule type="expression" dxfId="101" priority="5" stopIfTrue="1">
      <formula>$H$48="超过30%"</formula>
    </cfRule>
  </conditionalFormatting>
  <conditionalFormatting sqref="G49">
    <cfRule type="expression" dxfId="100" priority="4" stopIfTrue="1">
      <formula>$H$49="超过20%"</formula>
    </cfRule>
  </conditionalFormatting>
  <conditionalFormatting sqref="I48">
    <cfRule type="expression" dxfId="99" priority="3" stopIfTrue="1">
      <formula>$J$48="超过30%"</formula>
    </cfRule>
  </conditionalFormatting>
  <conditionalFormatting sqref="I49">
    <cfRule type="expression" dxfId="98" priority="2" stopIfTrue="1">
      <formula>$J$49="超过20%"</formula>
    </cfRule>
  </conditionalFormatting>
  <conditionalFormatting sqref="I50">
    <cfRule type="expression" dxfId="97" priority="1" stopIfTrue="1">
      <formula>$J$50="超过30%"</formula>
    </cfRule>
  </conditionalFormatting>
  <conditionalFormatting sqref="E49">
    <cfRule type="expression" dxfId="9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63" t="s">
        <v>1008</v>
      </c>
      <c r="B18" s="1154" t="s">
        <v>1447</v>
      </c>
      <c r="C18" s="1131" t="s">
        <v>1448</v>
      </c>
      <c r="D18" s="1132"/>
      <c r="E18" s="1154">
        <v>1</v>
      </c>
      <c r="F18" s="1133" t="s">
        <v>1449</v>
      </c>
      <c r="G18" s="1134"/>
      <c r="H18" s="1105"/>
      <c r="I18" s="1105"/>
    </row>
    <row r="19" spans="1:9" s="1599" customFormat="1" ht="19.5" customHeight="1">
      <c r="A19" s="3463"/>
      <c r="B19" s="3463" t="s">
        <v>1450</v>
      </c>
      <c r="C19" s="1131" t="s">
        <v>1451</v>
      </c>
      <c r="D19" s="1132"/>
      <c r="E19" s="1154">
        <v>0.9</v>
      </c>
      <c r="F19" s="1133" t="s">
        <v>1452</v>
      </c>
      <c r="G19" s="1134"/>
      <c r="H19" s="1105"/>
      <c r="I19" s="1105"/>
    </row>
    <row r="20" spans="1:9" s="1599" customFormat="1" ht="19.5" customHeight="1">
      <c r="A20" s="3463"/>
      <c r="B20" s="3463"/>
      <c r="C20" s="1131" t="s">
        <v>1453</v>
      </c>
      <c r="D20" s="1132"/>
      <c r="E20" s="1154">
        <v>1.1000000000000001</v>
      </c>
      <c r="F20" s="1133" t="s">
        <v>1454</v>
      </c>
      <c r="G20" s="1134"/>
      <c r="H20" s="1105"/>
      <c r="I20" s="1105"/>
    </row>
    <row r="21" spans="1:9" s="1599" customFormat="1" ht="19.5" customHeight="1">
      <c r="A21" s="3463"/>
      <c r="B21" s="3463"/>
      <c r="C21" s="1131" t="s">
        <v>1455</v>
      </c>
      <c r="D21" s="1132"/>
      <c r="E21" s="1154">
        <v>0.8</v>
      </c>
      <c r="F21" s="1133" t="s">
        <v>1456</v>
      </c>
      <c r="G21" s="1134"/>
      <c r="H21" s="1105"/>
      <c r="I21" s="1105"/>
    </row>
    <row r="22" spans="1:9" s="1599" customFormat="1" ht="19.5" customHeight="1">
      <c r="A22" s="3463"/>
      <c r="B22" s="3463"/>
      <c r="C22" s="1131" t="s">
        <v>1457</v>
      </c>
      <c r="D22" s="1132"/>
      <c r="E22" s="1154">
        <v>0.5</v>
      </c>
      <c r="F22" s="1133"/>
      <c r="G22" s="1134"/>
      <c r="H22" s="1105"/>
      <c r="I22" s="1105"/>
    </row>
    <row r="23" spans="1:9" s="1599" customFormat="1" ht="19.5" customHeight="1">
      <c r="A23" s="3463" t="s">
        <v>1030</v>
      </c>
      <c r="B23" s="1154" t="s">
        <v>1447</v>
      </c>
      <c r="C23" s="1131" t="s">
        <v>1458</v>
      </c>
      <c r="D23" s="1132"/>
      <c r="E23" s="1154">
        <v>1</v>
      </c>
      <c r="F23" s="1133" t="s">
        <v>1459</v>
      </c>
      <c r="G23" s="1134"/>
      <c r="H23" s="1105"/>
      <c r="I23" s="1105"/>
    </row>
    <row r="24" spans="1:9" s="1599" customFormat="1" ht="19.5" customHeight="1">
      <c r="A24" s="3463"/>
      <c r="B24" s="3463" t="s">
        <v>1450</v>
      </c>
      <c r="C24" s="1131" t="s">
        <v>1460</v>
      </c>
      <c r="D24" s="1132"/>
      <c r="E24" s="1154">
        <v>0.5</v>
      </c>
      <c r="F24" s="1133"/>
      <c r="G24" s="1134"/>
      <c r="H24" s="1105"/>
      <c r="I24" s="1105"/>
    </row>
    <row r="25" spans="1:9" s="1599" customFormat="1" ht="19.5" customHeight="1">
      <c r="A25" s="3463"/>
      <c r="B25" s="3463"/>
      <c r="C25" s="1131" t="s">
        <v>1461</v>
      </c>
      <c r="D25" s="1132"/>
      <c r="E25" s="1154">
        <v>1.1000000000000001</v>
      </c>
      <c r="F25" s="1133"/>
      <c r="G25" s="1134"/>
      <c r="H25" s="1105"/>
      <c r="I25" s="1105"/>
    </row>
    <row r="26" spans="1:9" s="1599" customFormat="1" ht="19.5" customHeight="1">
      <c r="A26" s="3463"/>
      <c r="B26" s="3463"/>
      <c r="C26" s="1131" t="s">
        <v>1462</v>
      </c>
      <c r="D26" s="1132"/>
      <c r="E26" s="1154">
        <v>1.1000000000000001</v>
      </c>
      <c r="F26" s="1133"/>
      <c r="G26" s="1134"/>
      <c r="H26" s="1105"/>
      <c r="I26" s="1105"/>
    </row>
    <row r="27" spans="1:9" s="1599" customFormat="1" ht="19.5" customHeight="1">
      <c r="A27" s="3463"/>
      <c r="B27" s="3463"/>
      <c r="C27" s="1131" t="s">
        <v>1463</v>
      </c>
      <c r="D27" s="1132"/>
      <c r="E27" s="1154">
        <v>0.9</v>
      </c>
      <c r="F27" s="1133" t="s">
        <v>1464</v>
      </c>
      <c r="G27" s="1134"/>
      <c r="H27" s="1105"/>
      <c r="I27" s="1105"/>
    </row>
    <row r="28" spans="1:9" s="1599" customFormat="1" ht="19.5" customHeight="1">
      <c r="A28" s="3463"/>
      <c r="B28" s="3463"/>
      <c r="C28" s="1131" t="s">
        <v>1465</v>
      </c>
      <c r="D28" s="1132"/>
      <c r="E28" s="1154">
        <v>0.9</v>
      </c>
      <c r="F28" s="1133" t="s">
        <v>1466</v>
      </c>
      <c r="G28" s="1134"/>
      <c r="H28" s="1105"/>
      <c r="I28" s="1105"/>
    </row>
    <row r="29" spans="1:9" s="1599" customFormat="1" ht="19.5" customHeight="1">
      <c r="A29" s="3463"/>
      <c r="B29" s="3463"/>
      <c r="C29" s="1131" t="s">
        <v>1467</v>
      </c>
      <c r="D29" s="1132"/>
      <c r="E29" s="1154">
        <v>0.9</v>
      </c>
      <c r="F29" s="1133" t="s">
        <v>1468</v>
      </c>
      <c r="G29" s="1134"/>
      <c r="H29" s="1105"/>
      <c r="I29" s="1105"/>
    </row>
    <row r="30" spans="1:9" s="1599" customFormat="1" ht="19.5" customHeight="1">
      <c r="A30" s="3463"/>
      <c r="B30" s="3463"/>
      <c r="C30" s="1131" t="s">
        <v>1469</v>
      </c>
      <c r="D30" s="1132"/>
      <c r="E30" s="1154">
        <v>0.9</v>
      </c>
      <c r="F30" s="1133" t="s">
        <v>1470</v>
      </c>
      <c r="G30" s="1134"/>
      <c r="H30" s="1105"/>
      <c r="I30" s="1105"/>
    </row>
    <row r="31" spans="1:9" s="1599" customFormat="1" ht="19.5" customHeight="1">
      <c r="A31" s="3463"/>
      <c r="B31" s="3463"/>
      <c r="C31" s="1131" t="s">
        <v>1471</v>
      </c>
      <c r="D31" s="1132"/>
      <c r="E31" s="1154">
        <v>0.8</v>
      </c>
      <c r="F31" s="1133" t="s">
        <v>1472</v>
      </c>
      <c r="G31" s="1134"/>
      <c r="H31" s="1105"/>
      <c r="I31" s="1105"/>
    </row>
    <row r="32" spans="1:9" s="1599" customFormat="1" ht="19.5" customHeight="1">
      <c r="A32" s="3463"/>
      <c r="B32" s="3463"/>
      <c r="C32" s="1131" t="s">
        <v>1473</v>
      </c>
      <c r="D32" s="1132"/>
      <c r="E32" s="1154">
        <v>0.8</v>
      </c>
      <c r="F32" s="1133" t="s">
        <v>1474</v>
      </c>
      <c r="G32" s="1134"/>
      <c r="H32" s="1105"/>
      <c r="I32" s="1105"/>
    </row>
    <row r="33" spans="1:9" s="1599" customFormat="1" ht="19.5" customHeight="1">
      <c r="A33" s="3463" t="s">
        <v>1475</v>
      </c>
      <c r="B33" s="1154" t="s">
        <v>1447</v>
      </c>
      <c r="C33" s="1131" t="s">
        <v>1476</v>
      </c>
      <c r="D33" s="1132"/>
      <c r="E33" s="1154">
        <v>1</v>
      </c>
      <c r="F33" s="1133" t="s">
        <v>1477</v>
      </c>
      <c r="G33" s="1134"/>
      <c r="H33" s="1105"/>
      <c r="I33" s="1105"/>
    </row>
    <row r="34" spans="1:9" s="1599" customFormat="1" ht="19.5" customHeight="1">
      <c r="A34" s="3463"/>
      <c r="B34" s="1154" t="s">
        <v>1450</v>
      </c>
      <c r="C34" s="1131" t="s">
        <v>1478</v>
      </c>
      <c r="D34" s="1132"/>
      <c r="E34" s="1154">
        <v>1.5</v>
      </c>
      <c r="F34" s="1133" t="s">
        <v>1479</v>
      </c>
      <c r="G34" s="1134"/>
      <c r="H34" s="1105"/>
      <c r="I34" s="1105"/>
    </row>
    <row r="35" spans="1:9" s="1599" customFormat="1" ht="19.5" customHeight="1">
      <c r="A35" s="3463" t="s">
        <v>1433</v>
      </c>
      <c r="B35" s="1154" t="s">
        <v>1447</v>
      </c>
      <c r="C35" s="1131" t="s">
        <v>1480</v>
      </c>
      <c r="D35" s="1132"/>
      <c r="E35" s="1154">
        <v>1</v>
      </c>
      <c r="F35" s="1133" t="s">
        <v>1481</v>
      </c>
      <c r="G35" s="1134"/>
      <c r="H35" s="1105"/>
      <c r="I35" s="1105"/>
    </row>
    <row r="36" spans="1:9" s="1599" customFormat="1" ht="19.5" customHeight="1">
      <c r="A36" s="3463"/>
      <c r="B36" s="3463" t="s">
        <v>1450</v>
      </c>
      <c r="C36" s="1131" t="s">
        <v>1482</v>
      </c>
      <c r="D36" s="1132"/>
      <c r="E36" s="1154">
        <v>1</v>
      </c>
      <c r="F36" s="1133" t="s">
        <v>1483</v>
      </c>
      <c r="G36" s="1134"/>
      <c r="H36" s="1105"/>
      <c r="I36" s="1105"/>
    </row>
    <row r="37" spans="1:9" s="1599" customFormat="1" ht="19.5" customHeight="1">
      <c r="A37" s="3463"/>
      <c r="B37" s="3463"/>
      <c r="C37" s="1131" t="s">
        <v>1484</v>
      </c>
      <c r="D37" s="1132"/>
      <c r="E37" s="1154">
        <v>1.5</v>
      </c>
      <c r="F37" s="1133" t="s">
        <v>1485</v>
      </c>
      <c r="G37" s="1134"/>
      <c r="H37" s="1105"/>
      <c r="I37" s="1105"/>
    </row>
    <row r="38" spans="1:9" s="1599" customFormat="1" ht="19.5" customHeight="1">
      <c r="A38" s="3463"/>
      <c r="B38" s="3463"/>
      <c r="C38" s="1131" t="s">
        <v>1486</v>
      </c>
      <c r="D38" s="1132"/>
      <c r="E38" s="1154">
        <v>1</v>
      </c>
      <c r="F38" s="1133" t="s">
        <v>1487</v>
      </c>
      <c r="G38" s="1134"/>
      <c r="H38" s="1105"/>
      <c r="I38" s="1105"/>
    </row>
    <row r="39" spans="1:9" s="1599" customFormat="1" ht="19.5" customHeight="1">
      <c r="A39" s="3463"/>
      <c r="B39" s="3463"/>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63" t="s">
        <v>1502</v>
      </c>
      <c r="C61" s="1068" t="s">
        <v>1503</v>
      </c>
      <c r="D61" s="1068" t="s">
        <v>1504</v>
      </c>
      <c r="E61" s="1139">
        <v>0.5</v>
      </c>
      <c r="F61" s="1154">
        <v>80</v>
      </c>
      <c r="H61" s="1105">
        <f>SUMIF(C59:C119,'基准地价-商业'!C8,E59:E119)</f>
        <v>0</v>
      </c>
    </row>
    <row r="62" spans="1:8" s="1105" customFormat="1" ht="24">
      <c r="A62" s="1154">
        <v>2</v>
      </c>
      <c r="B62" s="3463"/>
      <c r="C62" s="1068" t="s">
        <v>1505</v>
      </c>
      <c r="D62" s="1068" t="s">
        <v>1506</v>
      </c>
      <c r="E62" s="1139">
        <v>0.5</v>
      </c>
      <c r="F62" s="1154">
        <v>80</v>
      </c>
    </row>
    <row r="63" spans="1:8" s="1105" customFormat="1" ht="36">
      <c r="A63" s="1154">
        <v>3</v>
      </c>
      <c r="B63" s="3463"/>
      <c r="C63" s="1068" t="s">
        <v>1507</v>
      </c>
      <c r="D63" s="1068" t="s">
        <v>1508</v>
      </c>
      <c r="E63" s="1139">
        <v>0.5</v>
      </c>
      <c r="F63" s="1154">
        <v>80</v>
      </c>
    </row>
    <row r="64" spans="1:8" s="1105" customFormat="1" ht="36">
      <c r="A64" s="1154">
        <v>4</v>
      </c>
      <c r="B64" s="3463"/>
      <c r="C64" s="1068" t="s">
        <v>1509</v>
      </c>
      <c r="D64" s="1068" t="s">
        <v>1510</v>
      </c>
      <c r="E64" s="1139">
        <v>0.4</v>
      </c>
      <c r="F64" s="1154">
        <v>60</v>
      </c>
    </row>
    <row r="65" spans="1:6" s="1105" customFormat="1" ht="36">
      <c r="A65" s="1154">
        <v>5</v>
      </c>
      <c r="B65" s="3463"/>
      <c r="C65" s="1068" t="s">
        <v>1511</v>
      </c>
      <c r="D65" s="1068" t="s">
        <v>1512</v>
      </c>
      <c r="E65" s="1139">
        <v>0.2</v>
      </c>
      <c r="F65" s="1154">
        <v>30</v>
      </c>
    </row>
    <row r="66" spans="1:6" s="1105" customFormat="1" ht="36">
      <c r="A66" s="1154">
        <v>6</v>
      </c>
      <c r="B66" s="3463"/>
      <c r="C66" s="1068" t="s">
        <v>1513</v>
      </c>
      <c r="D66" s="1068" t="s">
        <v>1514</v>
      </c>
      <c r="E66" s="1139">
        <v>0.3</v>
      </c>
      <c r="F66" s="1154">
        <v>50</v>
      </c>
    </row>
    <row r="67" spans="1:6" s="1105" customFormat="1" ht="36">
      <c r="A67" s="1154">
        <v>7</v>
      </c>
      <c r="B67" s="3463"/>
      <c r="C67" s="1068" t="s">
        <v>1515</v>
      </c>
      <c r="D67" s="1068" t="s">
        <v>1516</v>
      </c>
      <c r="E67" s="1139">
        <v>0.2</v>
      </c>
      <c r="F67" s="1154">
        <v>30</v>
      </c>
    </row>
    <row r="68" spans="1:6" s="1105" customFormat="1" ht="36">
      <c r="A68" s="1154">
        <v>8</v>
      </c>
      <c r="B68" s="3463"/>
      <c r="C68" s="1068" t="s">
        <v>1517</v>
      </c>
      <c r="D68" s="1068" t="s">
        <v>1518</v>
      </c>
      <c r="E68" s="1139">
        <v>0.2</v>
      </c>
      <c r="F68" s="1154">
        <v>30</v>
      </c>
    </row>
    <row r="69" spans="1:6" s="1105" customFormat="1" ht="36">
      <c r="A69" s="1154">
        <v>9</v>
      </c>
      <c r="B69" s="3463"/>
      <c r="C69" s="1068" t="s">
        <v>1519</v>
      </c>
      <c r="D69" s="1068" t="s">
        <v>1520</v>
      </c>
      <c r="E69" s="1139">
        <v>0.2</v>
      </c>
      <c r="F69" s="1154">
        <v>30</v>
      </c>
    </row>
    <row r="70" spans="1:6" s="1105" customFormat="1" ht="48">
      <c r="A70" s="1154">
        <v>10</v>
      </c>
      <c r="B70" s="3463"/>
      <c r="C70" s="1068" t="s">
        <v>1521</v>
      </c>
      <c r="D70" s="1068" t="s">
        <v>1522</v>
      </c>
      <c r="E70" s="1139">
        <v>0.2</v>
      </c>
      <c r="F70" s="1154">
        <v>30</v>
      </c>
    </row>
    <row r="71" spans="1:6" s="1105" customFormat="1" ht="48">
      <c r="A71" s="1154">
        <v>11</v>
      </c>
      <c r="B71" s="3463"/>
      <c r="C71" s="1068" t="s">
        <v>1523</v>
      </c>
      <c r="D71" s="1068" t="s">
        <v>1524</v>
      </c>
      <c r="E71" s="1139">
        <v>0.2</v>
      </c>
      <c r="F71" s="1154">
        <v>30</v>
      </c>
    </row>
    <row r="72" spans="1:6" s="1105" customFormat="1" ht="36">
      <c r="A72" s="1154">
        <v>12</v>
      </c>
      <c r="B72" s="3463"/>
      <c r="C72" s="1068" t="s">
        <v>1525</v>
      </c>
      <c r="D72" s="1068" t="s">
        <v>1526</v>
      </c>
      <c r="E72" s="1139">
        <v>0.5</v>
      </c>
      <c r="F72" s="1154">
        <v>80</v>
      </c>
    </row>
    <row r="73" spans="1:6" s="1105" customFormat="1" ht="24">
      <c r="A73" s="1154">
        <v>13</v>
      </c>
      <c r="B73" s="3463"/>
      <c r="C73" s="1068" t="s">
        <v>1527</v>
      </c>
      <c r="D73" s="1068" t="s">
        <v>1528</v>
      </c>
      <c r="E73" s="1139">
        <v>0.4</v>
      </c>
      <c r="F73" s="1154">
        <v>60</v>
      </c>
    </row>
    <row r="74" spans="1:6" s="1105" customFormat="1" ht="24">
      <c r="A74" s="1154">
        <v>14</v>
      </c>
      <c r="B74" s="3463"/>
      <c r="C74" s="1068" t="s">
        <v>1529</v>
      </c>
      <c r="D74" s="1068" t="s">
        <v>1530</v>
      </c>
      <c r="E74" s="1139">
        <v>0.2</v>
      </c>
      <c r="F74" s="1154">
        <v>30</v>
      </c>
    </row>
    <row r="75" spans="1:6" s="1105" customFormat="1" ht="24">
      <c r="A75" s="1154">
        <v>15</v>
      </c>
      <c r="B75" s="3463"/>
      <c r="C75" s="1068" t="s">
        <v>1531</v>
      </c>
      <c r="D75" s="1068" t="s">
        <v>1532</v>
      </c>
      <c r="E75" s="1139">
        <v>0.2</v>
      </c>
      <c r="F75" s="1154">
        <v>30</v>
      </c>
    </row>
    <row r="76" spans="1:6" s="1105" customFormat="1" ht="24">
      <c r="A76" s="1154">
        <v>16</v>
      </c>
      <c r="B76" s="3463" t="s">
        <v>1533</v>
      </c>
      <c r="C76" s="1068" t="s">
        <v>1534</v>
      </c>
      <c r="D76" s="1068" t="s">
        <v>1535</v>
      </c>
      <c r="E76" s="1139">
        <v>0.5</v>
      </c>
      <c r="F76" s="1154">
        <v>80</v>
      </c>
    </row>
    <row r="77" spans="1:6" s="1105" customFormat="1" ht="24">
      <c r="A77" s="1154">
        <v>17</v>
      </c>
      <c r="B77" s="3463"/>
      <c r="C77" s="1068" t="s">
        <v>1536</v>
      </c>
      <c r="D77" s="1068" t="s">
        <v>1537</v>
      </c>
      <c r="E77" s="1139">
        <v>0.5</v>
      </c>
      <c r="F77" s="1154">
        <v>80</v>
      </c>
    </row>
    <row r="78" spans="1:6" s="1105" customFormat="1" ht="24">
      <c r="A78" s="1154">
        <v>18</v>
      </c>
      <c r="B78" s="3463"/>
      <c r="C78" s="1068" t="s">
        <v>1538</v>
      </c>
      <c r="D78" s="1068" t="s">
        <v>1539</v>
      </c>
      <c r="E78" s="1139">
        <v>0.2</v>
      </c>
      <c r="F78" s="1154">
        <v>30</v>
      </c>
    </row>
    <row r="79" spans="1:6" s="1105" customFormat="1" ht="24">
      <c r="A79" s="1154">
        <v>19</v>
      </c>
      <c r="B79" s="3463"/>
      <c r="C79" s="1068" t="s">
        <v>1540</v>
      </c>
      <c r="D79" s="1068" t="s">
        <v>1541</v>
      </c>
      <c r="E79" s="1139">
        <v>0.5</v>
      </c>
      <c r="F79" s="1154">
        <v>80</v>
      </c>
    </row>
    <row r="80" spans="1:6" s="1105" customFormat="1" ht="36">
      <c r="A80" s="1154">
        <v>20</v>
      </c>
      <c r="B80" s="3463"/>
      <c r="C80" s="1068" t="s">
        <v>1542</v>
      </c>
      <c r="D80" s="1068" t="s">
        <v>1543</v>
      </c>
      <c r="E80" s="1139">
        <v>0.2</v>
      </c>
      <c r="F80" s="1154">
        <v>30</v>
      </c>
    </row>
    <row r="81" spans="1:6" s="1105" customFormat="1" ht="36">
      <c r="A81" s="1154">
        <v>21</v>
      </c>
      <c r="B81" s="3463"/>
      <c r="C81" s="1068" t="s">
        <v>1544</v>
      </c>
      <c r="D81" s="1068" t="s">
        <v>1545</v>
      </c>
      <c r="E81" s="1139">
        <v>0.2</v>
      </c>
      <c r="F81" s="1154">
        <v>30</v>
      </c>
    </row>
    <row r="82" spans="1:6" s="1105" customFormat="1" ht="48">
      <c r="A82" s="1154">
        <v>22</v>
      </c>
      <c r="B82" s="3463"/>
      <c r="C82" s="1068" t="s">
        <v>1546</v>
      </c>
      <c r="D82" s="1068" t="s">
        <v>1547</v>
      </c>
      <c r="E82" s="1139">
        <v>0.2</v>
      </c>
      <c r="F82" s="1154">
        <v>30</v>
      </c>
    </row>
    <row r="83" spans="1:6" s="1105" customFormat="1" ht="48">
      <c r="A83" s="1154">
        <v>23</v>
      </c>
      <c r="B83" s="3463"/>
      <c r="C83" s="1068" t="s">
        <v>1548</v>
      </c>
      <c r="D83" s="1068" t="s">
        <v>1549</v>
      </c>
      <c r="E83" s="1139">
        <v>0.2</v>
      </c>
      <c r="F83" s="1154">
        <v>30</v>
      </c>
    </row>
    <row r="84" spans="1:6" s="1105" customFormat="1" ht="36">
      <c r="A84" s="1154">
        <v>24</v>
      </c>
      <c r="B84" s="3463"/>
      <c r="C84" s="1068" t="s">
        <v>1550</v>
      </c>
      <c r="D84" s="1068" t="s">
        <v>1551</v>
      </c>
      <c r="E84" s="1139">
        <v>0.2</v>
      </c>
      <c r="F84" s="1154">
        <v>30</v>
      </c>
    </row>
    <row r="85" spans="1:6" s="1105" customFormat="1" ht="36">
      <c r="A85" s="1154">
        <v>25</v>
      </c>
      <c r="B85" s="3463"/>
      <c r="C85" s="1068" t="s">
        <v>1552</v>
      </c>
      <c r="D85" s="1068" t="s">
        <v>1553</v>
      </c>
      <c r="E85" s="1139">
        <v>0.5</v>
      </c>
      <c r="F85" s="1154">
        <v>80</v>
      </c>
    </row>
    <row r="86" spans="1:6" s="1105" customFormat="1" ht="36">
      <c r="A86" s="1154">
        <v>26</v>
      </c>
      <c r="B86" s="3463"/>
      <c r="C86" s="1068" t="s">
        <v>1554</v>
      </c>
      <c r="D86" s="1068" t="s">
        <v>1555</v>
      </c>
      <c r="E86" s="1139">
        <v>0.2</v>
      </c>
      <c r="F86" s="1154">
        <v>30</v>
      </c>
    </row>
    <row r="87" spans="1:6" s="1105" customFormat="1" ht="36">
      <c r="A87" s="1154">
        <v>27</v>
      </c>
      <c r="B87" s="3463"/>
      <c r="C87" s="1068" t="s">
        <v>1556</v>
      </c>
      <c r="D87" s="1068" t="s">
        <v>1557</v>
      </c>
      <c r="E87" s="1139">
        <v>0.2</v>
      </c>
      <c r="F87" s="1154">
        <v>30</v>
      </c>
    </row>
    <row r="88" spans="1:6" s="1105" customFormat="1" ht="36">
      <c r="A88" s="1154">
        <v>28</v>
      </c>
      <c r="B88" s="3463"/>
      <c r="C88" s="1068" t="s">
        <v>1558</v>
      </c>
      <c r="D88" s="1068" t="s">
        <v>1559</v>
      </c>
      <c r="E88" s="1139">
        <v>0.2</v>
      </c>
      <c r="F88" s="1154">
        <v>30</v>
      </c>
    </row>
    <row r="89" spans="1:6" s="1105" customFormat="1" ht="24">
      <c r="A89" s="1154">
        <v>29</v>
      </c>
      <c r="B89" s="3463"/>
      <c r="C89" s="1068" t="s">
        <v>1560</v>
      </c>
      <c r="D89" s="1068" t="s">
        <v>1561</v>
      </c>
      <c r="E89" s="1139">
        <v>0.2</v>
      </c>
      <c r="F89" s="1154">
        <v>30</v>
      </c>
    </row>
    <row r="90" spans="1:6" s="1105" customFormat="1" ht="24">
      <c r="A90" s="1154">
        <v>30</v>
      </c>
      <c r="B90" s="3463"/>
      <c r="C90" s="1068" t="s">
        <v>1562</v>
      </c>
      <c r="D90" s="1068" t="s">
        <v>1563</v>
      </c>
      <c r="E90" s="1139">
        <v>0.2</v>
      </c>
      <c r="F90" s="1154">
        <v>30</v>
      </c>
    </row>
    <row r="91" spans="1:6" s="1105" customFormat="1" ht="36">
      <c r="A91" s="1154">
        <v>31</v>
      </c>
      <c r="B91" s="3463"/>
      <c r="C91" s="1068" t="s">
        <v>1564</v>
      </c>
      <c r="D91" s="1068" t="s">
        <v>1565</v>
      </c>
      <c r="E91" s="1139">
        <v>0.2</v>
      </c>
      <c r="F91" s="1154">
        <v>30</v>
      </c>
    </row>
    <row r="92" spans="1:6" s="1105" customFormat="1" ht="24">
      <c r="A92" s="1154">
        <v>32</v>
      </c>
      <c r="B92" s="3463" t="s">
        <v>1566</v>
      </c>
      <c r="C92" s="1154" t="s">
        <v>1567</v>
      </c>
      <c r="D92" s="1068" t="s">
        <v>1568</v>
      </c>
      <c r="E92" s="1139">
        <v>0.2</v>
      </c>
      <c r="F92" s="1154">
        <v>30</v>
      </c>
    </row>
    <row r="93" spans="1:6" s="1105" customFormat="1" ht="36">
      <c r="A93" s="1154">
        <v>33</v>
      </c>
      <c r="B93" s="3463"/>
      <c r="C93" s="1154" t="s">
        <v>1569</v>
      </c>
      <c r="D93" s="1068" t="s">
        <v>1570</v>
      </c>
      <c r="E93" s="1139">
        <v>0.2</v>
      </c>
      <c r="F93" s="1154">
        <v>30</v>
      </c>
    </row>
    <row r="94" spans="1:6" s="1105" customFormat="1" ht="48">
      <c r="A94" s="1154">
        <v>34</v>
      </c>
      <c r="B94" s="3463"/>
      <c r="C94" s="1154" t="s">
        <v>1571</v>
      </c>
      <c r="D94" s="1068" t="s">
        <v>1572</v>
      </c>
      <c r="E94" s="1139">
        <v>0.2</v>
      </c>
      <c r="F94" s="1154">
        <v>30</v>
      </c>
    </row>
    <row r="95" spans="1:6" s="1105" customFormat="1" ht="36">
      <c r="A95" s="1154">
        <v>35</v>
      </c>
      <c r="B95" s="3463"/>
      <c r="C95" s="1154" t="s">
        <v>1573</v>
      </c>
      <c r="D95" s="1068" t="s">
        <v>1574</v>
      </c>
      <c r="E95" s="1139">
        <v>0.2</v>
      </c>
      <c r="F95" s="1154">
        <v>30</v>
      </c>
    </row>
    <row r="96" spans="1:6" s="1105" customFormat="1" ht="48">
      <c r="A96" s="1154">
        <v>36</v>
      </c>
      <c r="B96" s="3463"/>
      <c r="C96" s="1068" t="s">
        <v>1575</v>
      </c>
      <c r="D96" s="1068" t="s">
        <v>1576</v>
      </c>
      <c r="E96" s="1139">
        <v>0.2</v>
      </c>
      <c r="F96" s="1154">
        <v>30</v>
      </c>
    </row>
    <row r="97" spans="1:6" s="1105" customFormat="1" ht="36">
      <c r="A97" s="1154">
        <v>37</v>
      </c>
      <c r="B97" s="3463"/>
      <c r="C97" s="1154" t="s">
        <v>1577</v>
      </c>
      <c r="D97" s="1068" t="s">
        <v>1578</v>
      </c>
      <c r="E97" s="1139">
        <v>0.2</v>
      </c>
      <c r="F97" s="1154">
        <v>30</v>
      </c>
    </row>
    <row r="98" spans="1:6" s="1105" customFormat="1" ht="36">
      <c r="A98" s="1154">
        <v>38</v>
      </c>
      <c r="B98" s="3463"/>
      <c r="C98" s="1154" t="s">
        <v>1579</v>
      </c>
      <c r="D98" s="1068" t="s">
        <v>1580</v>
      </c>
      <c r="E98" s="1139">
        <v>0.2</v>
      </c>
      <c r="F98" s="1154">
        <v>30</v>
      </c>
    </row>
    <row r="99" spans="1:6" s="1105" customFormat="1" ht="36">
      <c r="A99" s="1154">
        <v>39</v>
      </c>
      <c r="B99" s="3463" t="s">
        <v>1581</v>
      </c>
      <c r="C99" s="1154" t="s">
        <v>1582</v>
      </c>
      <c r="D99" s="1068" t="s">
        <v>1583</v>
      </c>
      <c r="E99" s="1139">
        <v>0.3</v>
      </c>
      <c r="F99" s="1154">
        <v>50</v>
      </c>
    </row>
    <row r="100" spans="1:6" s="1105" customFormat="1" ht="24">
      <c r="A100" s="1154">
        <v>40</v>
      </c>
      <c r="B100" s="3463"/>
      <c r="C100" s="1154" t="s">
        <v>1584</v>
      </c>
      <c r="D100" s="1068" t="s">
        <v>1585</v>
      </c>
      <c r="E100" s="1139">
        <v>0.2</v>
      </c>
      <c r="F100" s="1154">
        <v>30</v>
      </c>
    </row>
    <row r="101" spans="1:6" s="1105" customFormat="1" ht="36">
      <c r="A101" s="1154">
        <v>41</v>
      </c>
      <c r="B101" s="3463"/>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63" t="s">
        <v>1596</v>
      </c>
      <c r="C105" s="1154" t="s">
        <v>1597</v>
      </c>
      <c r="D105" s="1068" t="s">
        <v>1598</v>
      </c>
      <c r="E105" s="1139">
        <v>0.2</v>
      </c>
      <c r="F105" s="1154">
        <v>30</v>
      </c>
    </row>
    <row r="106" spans="1:6" s="1105" customFormat="1" ht="36">
      <c r="A106" s="1154">
        <v>46</v>
      </c>
      <c r="B106" s="3463"/>
      <c r="C106" s="1154" t="s">
        <v>1599</v>
      </c>
      <c r="D106" s="1068" t="s">
        <v>1600</v>
      </c>
      <c r="E106" s="1139">
        <v>0.2</v>
      </c>
      <c r="F106" s="1154">
        <v>30</v>
      </c>
    </row>
    <row r="107" spans="1:6" s="1105" customFormat="1" ht="36">
      <c r="A107" s="1154">
        <v>47</v>
      </c>
      <c r="B107" s="3463" t="s">
        <v>1601</v>
      </c>
      <c r="C107" s="1154" t="s">
        <v>1602</v>
      </c>
      <c r="D107" s="1068" t="s">
        <v>1603</v>
      </c>
      <c r="E107" s="1139">
        <v>0.3</v>
      </c>
      <c r="F107" s="1154">
        <v>50</v>
      </c>
    </row>
    <row r="108" spans="1:6" s="1105" customFormat="1" ht="36">
      <c r="A108" s="1154">
        <v>48</v>
      </c>
      <c r="B108" s="3463"/>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63" t="s">
        <v>1612</v>
      </c>
      <c r="C111" s="1154" t="s">
        <v>1613</v>
      </c>
      <c r="D111" s="1068" t="s">
        <v>1614</v>
      </c>
      <c r="E111" s="1139">
        <v>0.2</v>
      </c>
      <c r="F111" s="1154">
        <v>30</v>
      </c>
    </row>
    <row r="112" spans="1:6" s="1105" customFormat="1" ht="24">
      <c r="A112" s="1154">
        <v>52</v>
      </c>
      <c r="B112" s="3463"/>
      <c r="C112" s="1154" t="s">
        <v>1615</v>
      </c>
      <c r="D112" s="1068" t="s">
        <v>1616</v>
      </c>
      <c r="E112" s="1139">
        <v>0.2</v>
      </c>
      <c r="F112" s="1154">
        <v>30</v>
      </c>
    </row>
    <row r="113" spans="1:14" s="1105" customFormat="1" ht="24">
      <c r="A113" s="1154">
        <v>53</v>
      </c>
      <c r="B113" s="3463"/>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63" t="s">
        <v>1625</v>
      </c>
      <c r="C116" s="1154" t="s">
        <v>1626</v>
      </c>
      <c r="D116" s="1068" t="s">
        <v>1627</v>
      </c>
      <c r="E116" s="1139">
        <v>0.2</v>
      </c>
      <c r="F116" s="1154">
        <v>30</v>
      </c>
    </row>
    <row r="117" spans="1:14" ht="36">
      <c r="A117" s="1154">
        <v>57</v>
      </c>
      <c r="B117" s="3463"/>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62" t="s">
        <v>1634</v>
      </c>
      <c r="B121" s="3462"/>
      <c r="C121" s="3462"/>
      <c r="D121" s="3462"/>
      <c r="E121" s="3462"/>
      <c r="F121" s="3462"/>
      <c r="G121" s="3462"/>
      <c r="H121" s="3462"/>
      <c r="I121" s="3462"/>
      <c r="J121" s="346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30" t="s">
        <v>1040</v>
      </c>
      <c r="B1" s="3530"/>
      <c r="C1" s="3530"/>
      <c r="D1" s="3530"/>
      <c r="E1" s="3530"/>
      <c r="F1" s="3530"/>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531" t="s">
        <v>1053</v>
      </c>
      <c r="B2" s="3531"/>
      <c r="C2" s="3531"/>
      <c r="D2" s="3531"/>
      <c r="E2" s="3531"/>
      <c r="F2" s="3531"/>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532"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533"/>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SUMPRODUCT((B5:B9='基准地价-商业'!I2)*(C3:F3='基准地价-商业'!E2)*(C5:F9))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SUMPRODUCT((B10:B28='基准地价-商业'!I2)*(C3:F3='基准地价-商业'!E2)*(C10:F28))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SUMPRODUCT((B29:B48='基准地价-商业'!I2)*(C3:F3='基准地价-商业'!E2)*(C29:F48))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SUMPRODUCT((B49:B75='基准地价-商业'!I2)*(C3:F3='基准地价-商业'!E2)*(C49:F75))</f>
        <v>14720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SUMPRODUCT((B76:B109='基准地价-商业'!I2)*(C3:F3='基准地价-商业'!E2)*(C76:F109))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SUMPRODUCT((B110:B157='基准地价-商业'!I2)*(C3:F3='基准地价-商业'!E2)*(C110:F157))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SUMPRODUCT((B158:B205='基准地价-商业'!I2)*(C3:F3='基准地价-商业'!E2)*(C158:F205))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SUMPRODUCT((B206:B244='基准地价-商业'!I2)*(C3:F3='基准地价-商业'!E2)*(C206:F244))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SUMPRODUCT((B245:B289='基准地价-商业'!I2)*(C3:F3='基准地价-商业'!E2)*(C245:F289))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SUMPRODUCT((B290:B316='基准地价-商业'!I2)*(C3:F3='基准地价-商业'!E2)*(C290:F316))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SUMPRODUCT((B317:B337='基准地价-商业'!I2)*(C3:F3='基准地价-商业'!E2)*(C317:F337))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SUMPRODUCT((B338:B344='基准地价-商业'!I2)*(C3:F3='基准地价-商业'!E2)*(C338:F344))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SUMPRODUCT((A105:A204=ROUNDDOWN('基准地价-商业'!G3,1))*(B104:M104='基准地价-商业'!G2)*(B105:M204))</f>
        <v>0.81689999999999996</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534" t="s">
        <v>2080</v>
      </c>
      <c r="B1" s="3534"/>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9" t="s">
        <v>2947</v>
      </c>
      <c r="B1" s="3081"/>
      <c r="C1" s="3081"/>
      <c r="D1" s="3081"/>
      <c r="E1" s="3081"/>
      <c r="F1" s="3081"/>
    </row>
    <row r="2" spans="1:6" ht="14.25">
      <c r="A2" s="3082" t="s">
        <v>2942</v>
      </c>
      <c r="B2" s="3083">
        <f ca="1">SUMIF(B7:B14,"&lt;&gt;#ref!",B7:B14)</f>
        <v>0</v>
      </c>
      <c r="C2" s="3082" t="s">
        <v>2943</v>
      </c>
      <c r="D2" s="3081"/>
      <c r="E2" s="3081"/>
      <c r="F2" s="3081"/>
    </row>
    <row r="3" spans="1:6" ht="14.25">
      <c r="A3" s="3082" t="s">
        <v>2975</v>
      </c>
      <c r="B3" s="3083" t="e">
        <f ca="1">ROUND(B2*10000/E3,0)</f>
        <v>#DIV/0!</v>
      </c>
      <c r="C3" s="3082" t="s">
        <v>2079</v>
      </c>
      <c r="D3" s="3082" t="s">
        <v>2944</v>
      </c>
      <c r="E3" s="3083">
        <f ca="1">SUMIF(E7:E14,"&lt;&gt;#ref!",E7:E14)</f>
        <v>0</v>
      </c>
      <c r="F3" s="3081"/>
    </row>
    <row r="4" spans="1:6" ht="14.25">
      <c r="A4" s="3082" t="s">
        <v>2951</v>
      </c>
      <c r="B4" s="3083" t="e">
        <f ca="1">ROUND(B2*10000/E4,0)</f>
        <v>#DIV/0!</v>
      </c>
      <c r="C4" s="3082" t="s">
        <v>2079</v>
      </c>
      <c r="D4" s="3082" t="s">
        <v>2952</v>
      </c>
      <c r="E4" s="3083">
        <f ca="1">SUMIF(F7:F14,"&lt;&gt;#ref!",F7:F14)</f>
        <v>0</v>
      </c>
      <c r="F4" s="3081"/>
    </row>
    <row r="5" spans="1:6" ht="14.25">
      <c r="A5" s="3084"/>
      <c r="B5" s="1881"/>
      <c r="C5" s="1881"/>
      <c r="D5" s="1881"/>
      <c r="E5" s="1881"/>
      <c r="F5" s="3081"/>
    </row>
    <row r="6" spans="1:6" ht="28.5">
      <c r="A6" s="3085" t="s">
        <v>2948</v>
      </c>
      <c r="B6" s="3082" t="s">
        <v>2945</v>
      </c>
      <c r="C6" s="3083"/>
      <c r="D6" s="1881"/>
      <c r="E6" s="3082" t="s">
        <v>2946</v>
      </c>
      <c r="F6" s="3082" t="s">
        <v>2950</v>
      </c>
    </row>
    <row r="7" spans="1:6" ht="14.25">
      <c r="A7" s="260" t="s">
        <v>2949</v>
      </c>
      <c r="B7" s="3086" t="e">
        <f ca="1">SUMIF(INDIRECT("'"&amp;A7&amp;"'"&amp;"!A:A"),"总价",INDIRECT("'"&amp;A7&amp;"'"&amp;"!B:B"))</f>
        <v>#REF!</v>
      </c>
      <c r="C7" s="3082" t="s">
        <v>2943</v>
      </c>
      <c r="D7" s="1881"/>
      <c r="E7" s="3087" t="e">
        <f ca="1">SUMIF(INDIRECT("'"&amp;A7&amp;"'"&amp;"!C:C"),"建筑面积",INDIRECT("'"&amp;A7&amp;"'"&amp;"!D:D"))</f>
        <v>#REF!</v>
      </c>
      <c r="F7" s="3087" t="e">
        <f ca="1">SUMIF(INDIRECT("'"&amp;A7&amp;"'"&amp;"!E:E"),"土地面积",INDIRECT("'"&amp;A7&amp;"'"&amp;"!F:F"))</f>
        <v>#REF!</v>
      </c>
    </row>
    <row r="8" spans="1:6" ht="14.25">
      <c r="A8" s="260"/>
      <c r="B8" s="3086" t="e">
        <f t="shared" ref="B8:B14" ca="1" si="0">SUMIF(INDIRECT("'"&amp;A8&amp;"'"&amp;"!A:A"),"总价",INDIRECT("'"&amp;A8&amp;"'"&amp;"!B:B"))</f>
        <v>#REF!</v>
      </c>
      <c r="C8" s="3082" t="s">
        <v>2943</v>
      </c>
      <c r="D8" s="1881"/>
      <c r="E8" s="3087" t="e">
        <f t="shared" ref="E8:E14" ca="1" si="1">SUMIF(INDIRECT("'"&amp;A8&amp;"'"&amp;"!C:C"),"建筑面积",INDIRECT("'"&amp;A8&amp;"'"&amp;"!D:D"))</f>
        <v>#REF!</v>
      </c>
      <c r="F8" s="3087" t="e">
        <f t="shared" ref="F8:F14" ca="1" si="2">SUMIF(INDIRECT("'"&amp;A8&amp;"'"&amp;"!E:E"),"土地面积",INDIRECT("'"&amp;A8&amp;"'"&amp;"!F:F"))</f>
        <v>#REF!</v>
      </c>
    </row>
    <row r="9" spans="1:6" ht="14.25">
      <c r="A9" s="260"/>
      <c r="B9" s="3086" t="e">
        <f t="shared" ca="1" si="0"/>
        <v>#REF!</v>
      </c>
      <c r="C9" s="3082" t="s">
        <v>2943</v>
      </c>
      <c r="D9" s="1881"/>
      <c r="E9" s="3087" t="e">
        <f t="shared" ca="1" si="1"/>
        <v>#REF!</v>
      </c>
      <c r="F9" s="3087" t="e">
        <f t="shared" ca="1" si="2"/>
        <v>#REF!</v>
      </c>
    </row>
    <row r="10" spans="1:6" ht="14.25">
      <c r="A10" s="260"/>
      <c r="B10" s="3086" t="e">
        <f t="shared" ca="1" si="0"/>
        <v>#REF!</v>
      </c>
      <c r="C10" s="3082" t="s">
        <v>2943</v>
      </c>
      <c r="D10" s="1881"/>
      <c r="E10" s="3087" t="e">
        <f t="shared" ca="1" si="1"/>
        <v>#REF!</v>
      </c>
      <c r="F10" s="3087" t="e">
        <f t="shared" ca="1" si="2"/>
        <v>#REF!</v>
      </c>
    </row>
    <row r="11" spans="1:6" ht="14.25">
      <c r="A11" s="260"/>
      <c r="B11" s="3086" t="e">
        <f t="shared" ca="1" si="0"/>
        <v>#REF!</v>
      </c>
      <c r="C11" s="3082" t="s">
        <v>2943</v>
      </c>
      <c r="D11" s="1881"/>
      <c r="E11" s="3087" t="e">
        <f t="shared" ca="1" si="1"/>
        <v>#REF!</v>
      </c>
      <c r="F11" s="3087" t="e">
        <f t="shared" ca="1" si="2"/>
        <v>#REF!</v>
      </c>
    </row>
    <row r="12" spans="1:6" ht="14.25">
      <c r="A12" s="260"/>
      <c r="B12" s="3086" t="e">
        <f t="shared" ca="1" si="0"/>
        <v>#REF!</v>
      </c>
      <c r="C12" s="3082" t="s">
        <v>2943</v>
      </c>
      <c r="D12" s="1881"/>
      <c r="E12" s="3087" t="e">
        <f t="shared" ca="1" si="1"/>
        <v>#REF!</v>
      </c>
      <c r="F12" s="3087" t="e">
        <f t="shared" ca="1" si="2"/>
        <v>#REF!</v>
      </c>
    </row>
    <row r="13" spans="1:6" ht="14.25">
      <c r="A13" s="260"/>
      <c r="B13" s="3086" t="e">
        <f t="shared" ca="1" si="0"/>
        <v>#REF!</v>
      </c>
      <c r="C13" s="3082" t="s">
        <v>2943</v>
      </c>
      <c r="D13" s="1881"/>
      <c r="E13" s="3087" t="e">
        <f t="shared" ca="1" si="1"/>
        <v>#REF!</v>
      </c>
      <c r="F13" s="3087" t="e">
        <f t="shared" ca="1" si="2"/>
        <v>#REF!</v>
      </c>
    </row>
    <row r="14" spans="1:6" ht="14.25">
      <c r="A14" s="3080"/>
      <c r="B14" s="3086" t="e">
        <f t="shared" ca="1" si="0"/>
        <v>#REF!</v>
      </c>
      <c r="C14" s="3082" t="s">
        <v>2943</v>
      </c>
      <c r="D14" s="1881"/>
      <c r="E14" s="3087" t="e">
        <f t="shared" ca="1" si="1"/>
        <v>#REF!</v>
      </c>
      <c r="F14" s="308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受贵公司委托，我公司对北京市国有建设用地使用权市场价格进行了预评估。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国有建设用地使用权。根据《国有土地使用证》[]，估价对象（分摊）国有建设用地使用权面积为78298.68平方米。根据《建设工程规划许可证》[]、《出让合同》[]，估价对象规划建筑面积为400500平方米。</v>
      </c>
    </row>
    <row r="7" spans="1:4" ht="56.25">
      <c r="A7" s="1795" t="s">
        <v>2748</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本次评估为委托估价方了解标的物之市场价格提供参考依据而评估国有建设用地使用权市场价格。</v>
      </c>
    </row>
    <row r="10" spans="1:4" ht="18.75">
      <c r="A10" s="1797" t="s">
        <v>2027</v>
      </c>
    </row>
    <row r="11" spans="1:4" ht="18.75">
      <c r="A11" s="1780" t="str">
        <f>TEXT(项目基本情况!D3,"yyyy年m月d日;;")&amp;IF(项目基本情况!B3=项目基本情况!D3,"（评估专业人员勘察现场之日）","")</f>
        <v>2018年10月15日</v>
      </c>
    </row>
    <row r="12" spans="1:4" ht="18.75">
      <c r="A12" s="1797" t="s">
        <v>2026</v>
      </c>
    </row>
    <row r="13" spans="1:4" ht="18.75">
      <c r="A13" s="1791" t="s">
        <v>2939</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根据《国有土地使用证》[]，估价对象（分摊）出让国有建设用地使用权面积为78298.68平方米。根据《建设工程规划许可证》[]、《出让合同》[]，估价对象规划建筑面积为400500平方米。</v>
      </c>
    </row>
    <row r="21" spans="1:1" ht="18.75">
      <c r="A21" s="1791" t="s">
        <v>2075</v>
      </c>
    </row>
    <row r="22" spans="1:1" ht="18.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91" t="str">
        <f>IF(项目基本情况!B16="出让","本次评估设定估价对象剩余土地使用年限为"&amp;项目基本情况!D20&amp;"。","")</f>
        <v/>
      </c>
    </row>
    <row r="24" spans="1:1" ht="18.75">
      <c r="A24" s="1791" t="s">
        <v>2076</v>
      </c>
    </row>
    <row r="25" spans="1:1" ht="150">
      <c r="A25" s="1791"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2018年10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18.75">
      <c r="A26" s="1791" t="str">
        <f>IF(项目基本情况!B9="市场价格","——",IF(项目基本情况!E8="抵押价格",定义!C54,IF(项目基本情况!E8="已注销",定义!C55,定义!C56)))</f>
        <v>——</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1" t="str">
        <f>IF(项目基本情况!B9="市场价格","——",IF(项目基本情况!E9="——","",定义!C57))</f>
        <v>——</v>
      </c>
    </row>
    <row r="29" spans="1:1" ht="18.75">
      <c r="A29" s="1797" t="s">
        <v>2028</v>
      </c>
    </row>
    <row r="30" spans="1:1" ht="75">
      <c r="A30" s="1791" t="str">
        <f>"评估专业人员根据估价的目的，按照估价的程序，采用科学的估价方法（"&amp;'结果表-办公'!L4&amp;"、"&amp;'结果表-办公'!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66" t="s">
        <v>2375</v>
      </c>
      <c r="F1" s="2367">
        <f ca="1">J54</f>
        <v>-2</v>
      </c>
      <c r="G1" s="774">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4" t="s">
        <v>629</v>
      </c>
      <c r="B2" s="775">
        <f ca="1">IF(ISERROR(C45+J31),0,C45+J31)</f>
        <v>0</v>
      </c>
      <c r="C2" s="1350"/>
      <c r="D2" s="2055"/>
      <c r="E2" s="2056"/>
      <c r="F2" s="2056"/>
      <c r="G2" s="1590"/>
      <c r="H2" s="1362"/>
      <c r="I2" s="2057"/>
      <c r="J2" s="2057"/>
      <c r="K2" s="2058"/>
      <c r="L2" s="2057"/>
      <c r="M2" s="2057"/>
    </row>
    <row r="3" spans="1:25" ht="18" customHeight="1">
      <c r="A3" s="1645" t="s">
        <v>1687</v>
      </c>
      <c r="B3" s="1391">
        <f ca="1">ROUND(B2*10000/'数据-汇总表'!E3,0)</f>
        <v>0</v>
      </c>
      <c r="C3" s="1350"/>
      <c r="D3" s="2055"/>
      <c r="E3" s="2056"/>
      <c r="F3" s="2056"/>
      <c r="G3" s="1590"/>
      <c r="H3" s="776" t="s">
        <v>695</v>
      </c>
      <c r="I3" s="2057"/>
      <c r="J3" s="2057"/>
      <c r="K3" s="2058"/>
      <c r="L3" s="2057"/>
      <c r="M3" s="2057"/>
    </row>
    <row r="4" spans="1:25" ht="18" customHeight="1">
      <c r="A4" s="1646" t="s">
        <v>696</v>
      </c>
      <c r="B4" s="1351">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697</v>
      </c>
      <c r="D5" s="2055"/>
      <c r="E5" s="2056"/>
      <c r="F5" s="2056"/>
      <c r="G5" s="1590"/>
      <c r="H5" s="776"/>
      <c r="I5" s="2057"/>
      <c r="J5" s="2057"/>
      <c r="K5" s="2058"/>
      <c r="L5" s="2057"/>
      <c r="M5" s="2057"/>
    </row>
    <row r="6" spans="1:25" ht="18" customHeight="1">
      <c r="A6" s="1828" t="s">
        <v>698</v>
      </c>
      <c r="B6" s="1820" t="s">
        <v>699</v>
      </c>
      <c r="C6" s="1820" t="s">
        <v>632</v>
      </c>
      <c r="D6" s="1820" t="s">
        <v>633</v>
      </c>
      <c r="E6" s="779" t="s">
        <v>634</v>
      </c>
      <c r="F6" s="780"/>
      <c r="G6" s="1592"/>
      <c r="H6" s="1828" t="s">
        <v>630</v>
      </c>
      <c r="I6" s="1820" t="s">
        <v>631</v>
      </c>
      <c r="J6" s="1820" t="s">
        <v>632</v>
      </c>
      <c r="K6" s="1820" t="s">
        <v>633</v>
      </c>
      <c r="L6" s="779" t="s">
        <v>634</v>
      </c>
      <c r="M6" s="780"/>
    </row>
    <row r="7" spans="1:25" ht="18" customHeight="1">
      <c r="A7" s="781">
        <v>1</v>
      </c>
      <c r="B7" s="782" t="s">
        <v>2459</v>
      </c>
      <c r="C7" s="53">
        <f ca="1">C8+C12+C14</f>
        <v>0</v>
      </c>
      <c r="D7" s="2475" t="s">
        <v>2462</v>
      </c>
      <c r="E7" s="2469"/>
      <c r="F7" s="2470"/>
      <c r="G7" s="1592"/>
      <c r="H7" s="781">
        <v>1</v>
      </c>
      <c r="I7" s="782" t="s">
        <v>2459</v>
      </c>
      <c r="J7" s="53">
        <f ca="1">J8+J12+J14</f>
        <v>0</v>
      </c>
      <c r="K7" s="2475" t="s">
        <v>2462</v>
      </c>
      <c r="L7" s="2469"/>
      <c r="M7" s="2470"/>
    </row>
    <row r="8" spans="1:25" ht="18" customHeight="1">
      <c r="A8" s="1830" t="s">
        <v>1825</v>
      </c>
      <c r="B8" s="3469" t="s">
        <v>2464</v>
      </c>
      <c r="C8" s="1825">
        <f ca="1">ROUND(F8*F10*F9*(1-F11)/10000,0)</f>
        <v>0</v>
      </c>
      <c r="D8" s="1822" t="s">
        <v>2535</v>
      </c>
      <c r="E8" s="61" t="s">
        <v>637</v>
      </c>
      <c r="F8" s="785">
        <f ca="1">INDIRECT("'数据-取费表'!u"&amp;$G$1)</f>
        <v>0</v>
      </c>
      <c r="G8" s="1592"/>
      <c r="H8" s="2483" t="s">
        <v>1825</v>
      </c>
      <c r="I8" s="3469" t="s">
        <v>2464</v>
      </c>
      <c r="J8" s="783">
        <f ca="1">ROUND(M8*M10*M9*(1-M11)/10000,0)</f>
        <v>0</v>
      </c>
      <c r="K8" s="341" t="s">
        <v>2535</v>
      </c>
      <c r="L8" s="784" t="s">
        <v>1739</v>
      </c>
      <c r="M8" s="785">
        <f ca="1">INDIRECT("'数据-取费表'!z"&amp;$G$1)</f>
        <v>0</v>
      </c>
    </row>
    <row r="9" spans="1:25" ht="18" customHeight="1">
      <c r="A9" s="2479"/>
      <c r="B9" s="3470"/>
      <c r="C9" s="1826"/>
      <c r="D9" s="1823"/>
      <c r="E9" s="61" t="s">
        <v>638</v>
      </c>
      <c r="F9" s="785">
        <f ca="1">IF(INDIRECT("'数据-取费表'!ah"&amp;$G$1)="",INDIRECT("'数据-取费表'!k"&amp;$G$1),INDIRECT("'数据-取费表'!ah"&amp;$G$1))</f>
        <v>0</v>
      </c>
      <c r="G9" s="1592"/>
      <c r="H9" s="2468"/>
      <c r="I9" s="3470"/>
      <c r="J9" s="788"/>
      <c r="K9" s="789"/>
      <c r="L9" s="784" t="s">
        <v>1740</v>
      </c>
      <c r="M9" s="785">
        <f ca="1">F9</f>
        <v>0</v>
      </c>
    </row>
    <row r="10" spans="1:25" ht="18" customHeight="1">
      <c r="A10" s="2472"/>
      <c r="B10" s="3471"/>
      <c r="C10" s="1826"/>
      <c r="D10" s="1823"/>
      <c r="E10" s="61" t="s">
        <v>639</v>
      </c>
      <c r="F10" s="785">
        <f ca="1">INDIRECT("'数据-取费表'!ai"&amp;$G$1)</f>
        <v>0</v>
      </c>
      <c r="G10" s="1592"/>
      <c r="H10" s="2468"/>
      <c r="I10" s="3471"/>
      <c r="J10" s="788"/>
      <c r="K10" s="789"/>
      <c r="L10" s="784" t="s">
        <v>1741</v>
      </c>
      <c r="M10" s="785">
        <f ca="1">INDIRECT("'数据-取费表'!ai"&amp;$G$1)</f>
        <v>0</v>
      </c>
    </row>
    <row r="11" spans="1:25" ht="18" customHeight="1">
      <c r="A11" s="786"/>
      <c r="B11" s="3472"/>
      <c r="C11" s="1826"/>
      <c r="D11" s="1823"/>
      <c r="E11" s="61" t="s">
        <v>640</v>
      </c>
      <c r="F11" s="794">
        <f ca="1">INDIRECT("'数据-取费表'!w"&amp;$G$1)</f>
        <v>0</v>
      </c>
      <c r="G11" s="1592"/>
      <c r="H11" s="2484"/>
      <c r="I11" s="3471"/>
      <c r="J11" s="788"/>
      <c r="K11" s="789"/>
      <c r="L11" s="795" t="s">
        <v>1742</v>
      </c>
      <c r="M11" s="796">
        <f ca="1">INDIRECT("'数据-取费表'!ab"&amp;$G$1)</f>
        <v>0</v>
      </c>
    </row>
    <row r="12" spans="1:25" ht="18" customHeight="1">
      <c r="A12" s="1830" t="s">
        <v>1826</v>
      </c>
      <c r="B12" s="2473" t="s">
        <v>2460</v>
      </c>
      <c r="C12" s="799">
        <f ca="1">ROUND(IF(F12="押一",C8/12*F13,IF(F12="押二",C8/12*2*F13,IF(F12="押三",C8/12*3*F13,C13*F13))),0)</f>
        <v>0</v>
      </c>
      <c r="D12" s="2480" t="s">
        <v>2972</v>
      </c>
      <c r="E12" s="2477" t="s">
        <v>2465</v>
      </c>
      <c r="F12" s="2600"/>
      <c r="G12" s="1592"/>
      <c r="H12" s="2540" t="s">
        <v>1826</v>
      </c>
      <c r="I12" s="2545" t="s">
        <v>2460</v>
      </c>
      <c r="J12" s="783">
        <f ca="1">ROUND(IF(M12="押一",J8/12*M13,IF(M12="押二",J8/12*2*M13,IF(M12="押三",J8/12*3*M13,J13*M13))),0)</f>
        <v>0</v>
      </c>
      <c r="K12" s="2480" t="s">
        <v>2972</v>
      </c>
      <c r="L12" s="2477" t="s">
        <v>2465</v>
      </c>
      <c r="M12" s="2600"/>
    </row>
    <row r="13" spans="1:25" ht="18" customHeight="1">
      <c r="A13" s="790"/>
      <c r="B13" s="2474" t="s">
        <v>2574</v>
      </c>
      <c r="C13" s="2478"/>
      <c r="D13" s="789"/>
      <c r="E13" s="2477" t="s">
        <v>2457</v>
      </c>
      <c r="F13" s="796">
        <f ca="1">'数据-取费表'!B39</f>
        <v>1.4999999999999999E-2</v>
      </c>
      <c r="G13" s="1592"/>
      <c r="H13" s="2541"/>
      <c r="I13" s="2474" t="s">
        <v>2574</v>
      </c>
      <c r="J13" s="2478"/>
      <c r="K13" s="2542"/>
      <c r="L13" s="2477" t="s">
        <v>2457</v>
      </c>
      <c r="M13" s="2471">
        <f ca="1">'数据-取费表'!B39</f>
        <v>1.4999999999999999E-2</v>
      </c>
    </row>
    <row r="14" spans="1:25" ht="18" customHeight="1" thickBot="1">
      <c r="A14" s="2516" t="s">
        <v>2468</v>
      </c>
      <c r="B14" s="2517" t="s">
        <v>2461</v>
      </c>
      <c r="C14" s="2518"/>
      <c r="D14" s="2519"/>
      <c r="E14" s="2520"/>
      <c r="F14" s="2521"/>
      <c r="G14" s="1592"/>
      <c r="H14" s="2530" t="s">
        <v>2468</v>
      </c>
      <c r="I14" s="2543" t="s">
        <v>2461</v>
      </c>
      <c r="J14" s="2544"/>
      <c r="K14" s="2519"/>
      <c r="L14" s="2520"/>
      <c r="M14" s="2533"/>
    </row>
    <row r="15" spans="1:25" ht="18" customHeight="1" thickTop="1">
      <c r="A15" s="1829" t="s">
        <v>1875</v>
      </c>
      <c r="B15" s="1827" t="s">
        <v>641</v>
      </c>
      <c r="C15" s="792">
        <f ca="1">ROUND(C31*F15,0)</f>
        <v>0</v>
      </c>
      <c r="D15" s="1834" t="s">
        <v>642</v>
      </c>
      <c r="E15" s="795" t="s">
        <v>643</v>
      </c>
      <c r="F15" s="800">
        <f ca="1">INDIRECT("'数据-取费表'!y"&amp;$G$1)</f>
        <v>0</v>
      </c>
      <c r="G15" s="1592"/>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2"/>
      <c r="H16" s="803" t="s">
        <v>2070</v>
      </c>
      <c r="I16" s="2231" t="s">
        <v>2825</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3"/>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2"/>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0.03</v>
      </c>
      <c r="G22" s="1593"/>
      <c r="H22" s="1832" t="s">
        <v>1851</v>
      </c>
      <c r="I22" s="1822" t="s">
        <v>668</v>
      </c>
      <c r="J22" s="54">
        <f ca="1">ROUND(M22*M23/10000,0)</f>
        <v>0</v>
      </c>
      <c r="K22" s="814" t="s">
        <v>669</v>
      </c>
      <c r="L22" s="784" t="s">
        <v>670</v>
      </c>
      <c r="M22" s="640">
        <f>'数据-取费表'!B52</f>
        <v>12</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0.03</v>
      </c>
      <c r="G23" s="1593"/>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51" t="str">
        <f>IF(F25&lt;=1,"单利计息。","复利计息。")&amp;"建造成本、管理费用、销售费用产生的利息。"</f>
        <v>复利计息。建造成本、管理费用、销售费用产生的利息。</v>
      </c>
      <c r="E24" s="1982"/>
      <c r="F24" s="56"/>
      <c r="G24" s="1592"/>
      <c r="H24" s="1831" t="s">
        <v>2071</v>
      </c>
      <c r="I24" s="784" t="s">
        <v>676</v>
      </c>
      <c r="J24" s="53">
        <f ca="1">ROUND(J16*M24,0)</f>
        <v>0</v>
      </c>
      <c r="K24" s="1977" t="s">
        <v>677</v>
      </c>
      <c r="L24" s="784" t="s">
        <v>649</v>
      </c>
      <c r="M24" s="817">
        <f ca="1">INDIRECT("'数据-取费表'!Ak"&amp;$G$1)</f>
        <v>0</v>
      </c>
    </row>
    <row r="25" spans="1:25" s="2064" customFormat="1" ht="18" customHeight="1">
      <c r="A25" s="803" t="s">
        <v>1876</v>
      </c>
      <c r="B25" s="784" t="s">
        <v>2438</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1.4E-3</v>
      </c>
      <c r="D26" s="2550"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2"/>
      <c r="H27" s="797" t="s">
        <v>1829</v>
      </c>
      <c r="I27" s="2987" t="s">
        <v>2822</v>
      </c>
      <c r="J27" s="799">
        <f ca="1">J7-J18</f>
        <v>0</v>
      </c>
      <c r="K27" s="1979" t="s">
        <v>700</v>
      </c>
      <c r="L27" s="1981"/>
      <c r="M27" s="820"/>
    </row>
    <row r="28" spans="1:25" ht="18" customHeight="1">
      <c r="A28" s="803" t="s">
        <v>1876</v>
      </c>
      <c r="B28" s="784" t="s">
        <v>2439</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1884</v>
      </c>
      <c r="B31" s="2520" t="s">
        <v>2823</v>
      </c>
      <c r="C31" s="2523">
        <f ca="1">ROUND((C21+C22+C25+C28)/(1-F23-C26-C29-C30),0)</f>
        <v>0</v>
      </c>
      <c r="D31" s="2524"/>
      <c r="E31" s="2525"/>
      <c r="F31" s="2526"/>
      <c r="G31" s="1593"/>
      <c r="H31" s="823" t="s">
        <v>1873</v>
      </c>
      <c r="I31" s="2988" t="s">
        <v>2824</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66"/>
      <c r="F32" s="2470"/>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12</v>
      </c>
      <c r="G36" s="2062"/>
      <c r="H36" s="2065"/>
      <c r="I36" s="3535"/>
      <c r="J36" s="2079"/>
      <c r="K36" s="2080"/>
      <c r="L36" s="2079"/>
      <c r="M36" s="2079"/>
    </row>
    <row r="37" spans="1:18" ht="18" customHeight="1">
      <c r="A37" s="815"/>
      <c r="B37" s="793"/>
      <c r="C37" s="69"/>
      <c r="D37" s="816"/>
      <c r="E37" s="784" t="s">
        <v>674</v>
      </c>
      <c r="F37" s="785">
        <f ca="1">INDIRECT("'数据-取费表'!r"&amp;$G$1)</f>
        <v>0</v>
      </c>
      <c r="G37" s="2062"/>
      <c r="H37" s="2065"/>
      <c r="I37" s="3535"/>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39" t="s">
        <v>1880</v>
      </c>
      <c r="B40" s="2525" t="s">
        <v>666</v>
      </c>
      <c r="C40" s="2523">
        <f ca="1">ROUND(C7*F40,1)</f>
        <v>0</v>
      </c>
      <c r="D40" s="2524" t="s">
        <v>683</v>
      </c>
      <c r="E40" s="2525" t="s">
        <v>649</v>
      </c>
      <c r="F40" s="2521">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5" t="s">
        <v>712</v>
      </c>
      <c r="E43" s="3098" t="s">
        <v>2960</v>
      </c>
      <c r="F43" s="3099">
        <f ca="1">INDIRECT("'数据-取费表'!j"&amp;$G$1)</f>
        <v>0</v>
      </c>
      <c r="G43" s="2062"/>
      <c r="H43" s="2062"/>
      <c r="I43" s="2062"/>
      <c r="J43" s="2062"/>
      <c r="K43" s="2083"/>
      <c r="L43" s="2062"/>
      <c r="M43" s="2062"/>
    </row>
    <row r="44" spans="1:18" ht="18" customHeight="1">
      <c r="A44" s="803" t="s">
        <v>1879</v>
      </c>
      <c r="B44" s="835" t="s">
        <v>713</v>
      </c>
      <c r="C44" s="1356">
        <f ca="1">C42-C43</f>
        <v>0</v>
      </c>
      <c r="D44" s="463" t="s">
        <v>714</v>
      </c>
      <c r="E44" s="464"/>
      <c r="F44" s="465"/>
      <c r="G44" s="2062"/>
      <c r="H44" s="2062"/>
      <c r="I44" s="2062"/>
      <c r="J44" s="2062"/>
      <c r="K44" s="2083"/>
      <c r="L44" s="2062"/>
      <c r="M44" s="2062"/>
    </row>
    <row r="45" spans="1:18" ht="18" customHeight="1">
      <c r="A45" s="803" t="s">
        <v>1880</v>
      </c>
      <c r="B45" s="1355" t="s">
        <v>715</v>
      </c>
      <c r="C45" s="3014">
        <f ca="1">ROUND(-PV(F45,F46,C44,0),0)</f>
        <v>0</v>
      </c>
      <c r="D45" s="1357" t="s">
        <v>716</v>
      </c>
      <c r="E45" s="806" t="s">
        <v>717</v>
      </c>
      <c r="F45" s="830">
        <f ca="1">INDIRECT("'数据-取费表'!h"&amp;$G$1)</f>
        <v>0</v>
      </c>
      <c r="G45" s="2062"/>
      <c r="H45" s="2062"/>
      <c r="I45" s="2062"/>
      <c r="J45" s="2062"/>
      <c r="K45" s="2083"/>
      <c r="L45" s="2062"/>
      <c r="M45" s="2062"/>
    </row>
    <row r="46" spans="1:18" ht="18" customHeight="1" thickBot="1">
      <c r="A46" s="831"/>
      <c r="B46" s="1358"/>
      <c r="C46" s="1359"/>
      <c r="D46" s="1360"/>
      <c r="E46" s="3100" t="s">
        <v>2963</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2344</v>
      </c>
      <c r="J47" s="2358"/>
      <c r="K47" s="2359"/>
      <c r="L47" s="3136" t="str">
        <f ca="1">IF(M48="住宅",0,IF(L49&gt;J52,L61,J61))</f>
        <v>0</v>
      </c>
      <c r="O47" s="2373" t="s">
        <v>2411</v>
      </c>
      <c r="P47" s="1592"/>
      <c r="Q47" s="1604"/>
      <c r="R47" s="1592"/>
    </row>
    <row r="48" spans="1:18" s="2059" customFormat="1" ht="18" customHeight="1" thickBot="1">
      <c r="A48" s="2084"/>
      <c r="C48" s="2087"/>
      <c r="D48" s="2088"/>
      <c r="E48" s="2088"/>
      <c r="F48" s="2089"/>
      <c r="G48" s="2090"/>
      <c r="I48" s="3126" t="s">
        <v>2345</v>
      </c>
      <c r="J48" s="2360"/>
      <c r="K48" s="3133" t="s">
        <v>2350</v>
      </c>
      <c r="L48" s="3137">
        <f ca="1">INDIRECT("'数据-取费表'!d"&amp;$G$1)</f>
        <v>0</v>
      </c>
      <c r="M48" s="3097" t="str">
        <f>IF(ISNUMBER(FIND("住宅",C1)),"住宅","非住宅")</f>
        <v>非住宅</v>
      </c>
      <c r="O48" s="2374" t="s">
        <v>2376</v>
      </c>
      <c r="P48" s="2375" t="s">
        <v>2377</v>
      </c>
      <c r="Q48" s="2376" t="s">
        <v>2378</v>
      </c>
      <c r="R48" s="2375" t="s">
        <v>2379</v>
      </c>
    </row>
    <row r="49" spans="1:18" s="2059" customFormat="1" ht="18" customHeight="1" thickBot="1">
      <c r="A49" s="2084"/>
      <c r="D49" s="2091"/>
      <c r="E49" s="2092"/>
      <c r="F49" s="2089"/>
      <c r="G49" s="2090"/>
      <c r="H49" s="2093"/>
      <c r="I49" s="3102" t="s">
        <v>2346</v>
      </c>
      <c r="J49" s="2361"/>
      <c r="K49" s="3134" t="s">
        <v>2352</v>
      </c>
      <c r="L49" s="1908">
        <f ca="1">INDIRECT("'数据-取费表'!f"&amp;$G$1)</f>
        <v>0</v>
      </c>
      <c r="O49" s="2377" t="s">
        <v>2380</v>
      </c>
      <c r="P49" s="2378" t="s">
        <v>2406</v>
      </c>
      <c r="Q49" s="2379">
        <f ca="1">C41+J31</f>
        <v>0</v>
      </c>
      <c r="R49" s="2378" t="s">
        <v>2381</v>
      </c>
    </row>
    <row r="50" spans="1:18" s="2059" customFormat="1" ht="18" customHeight="1" thickBot="1">
      <c r="A50" s="2084"/>
      <c r="D50" s="2094"/>
      <c r="E50" s="2094"/>
      <c r="F50" s="2088"/>
      <c r="G50" s="2095"/>
      <c r="H50" s="2093"/>
      <c r="I50" s="3102" t="s">
        <v>2347</v>
      </c>
      <c r="J50" s="2362"/>
      <c r="K50" s="3135" t="s">
        <v>2353</v>
      </c>
      <c r="L50" s="2363"/>
      <c r="O50" s="2377" t="s">
        <v>2382</v>
      </c>
      <c r="P50" s="2378" t="s">
        <v>2407</v>
      </c>
      <c r="Q50" s="2379" t="str">
        <f ca="1">J61</f>
        <v>0</v>
      </c>
      <c r="R50" s="2378" t="s">
        <v>2383</v>
      </c>
    </row>
    <row r="51" spans="1:18" s="2059" customFormat="1" ht="18" customHeight="1" thickBot="1">
      <c r="A51" s="2096"/>
      <c r="D51" s="2094"/>
      <c r="E51" s="2094"/>
      <c r="F51" s="2085"/>
      <c r="H51" s="2093"/>
      <c r="I51" s="3102" t="s">
        <v>2348</v>
      </c>
      <c r="J51" s="3130">
        <f>SUMPRODUCT((I64:I66=J48)*(J63:L63=J49)*(J64:L66))</f>
        <v>0</v>
      </c>
      <c r="K51" s="3135" t="s">
        <v>2354</v>
      </c>
      <c r="L51" s="2363"/>
      <c r="O51" s="2380" t="s">
        <v>2384</v>
      </c>
      <c r="P51" s="2378" t="s">
        <v>2408</v>
      </c>
      <c r="Q51" s="2379">
        <f ca="1">C31</f>
        <v>0</v>
      </c>
      <c r="R51" s="2378" t="s">
        <v>2381</v>
      </c>
    </row>
    <row r="52" spans="1:18" s="2059" customFormat="1" ht="18" customHeight="1" thickBot="1">
      <c r="A52" s="2096"/>
      <c r="F52" s="2085"/>
      <c r="I52" s="3127" t="s">
        <v>2349</v>
      </c>
      <c r="J52" s="3131">
        <f>IF(J50="",J51,J50+J51-YEAR('数据-取费表'!B3))</f>
        <v>0</v>
      </c>
      <c r="K52" s="3102" t="s">
        <v>2355</v>
      </c>
      <c r="L52" s="3138">
        <f ca="1">ROUND(-PV(INDIRECT("'数据-取费表'!h"&amp;$G$1),L49,(C40-C14*J36),0),0)</f>
        <v>0</v>
      </c>
      <c r="O52" s="2380" t="s">
        <v>2385</v>
      </c>
      <c r="P52" s="2378" t="s">
        <v>2386</v>
      </c>
      <c r="Q52" s="2381" t="e">
        <f ca="1">J59</f>
        <v>#VALUE!</v>
      </c>
      <c r="R52" s="2382"/>
    </row>
    <row r="53" spans="1:18" s="2059" customFormat="1" ht="18" customHeight="1" thickBot="1">
      <c r="A53" s="2096"/>
      <c r="F53" s="2085"/>
      <c r="I53" s="3128" t="s">
        <v>2422</v>
      </c>
      <c r="J53" s="2364"/>
      <c r="K53" s="3128" t="s">
        <v>2421</v>
      </c>
      <c r="L53" s="2364"/>
      <c r="O53" s="2380" t="s">
        <v>2387</v>
      </c>
      <c r="P53" s="2378" t="s">
        <v>2388</v>
      </c>
      <c r="Q53" s="2381">
        <f>J53</f>
        <v>0</v>
      </c>
      <c r="R53" s="2382"/>
    </row>
    <row r="54" spans="1:18" s="2059" customFormat="1" ht="29.25" thickBot="1">
      <c r="A54" s="2096"/>
      <c r="I54" s="3129" t="s">
        <v>2976</v>
      </c>
      <c r="J54" s="3132">
        <f ca="1">IF(M48="住宅",MAX(J52,L49-'数据-取费表'!B20),MIN(J52,L49-'数据-取费表'!B20))</f>
        <v>-2</v>
      </c>
      <c r="K54" s="3536"/>
      <c r="L54" s="3537"/>
      <c r="O54" s="2380" t="s">
        <v>2389</v>
      </c>
      <c r="P54" s="2378" t="s">
        <v>2390</v>
      </c>
      <c r="Q54" s="2379">
        <f ca="1">J54</f>
        <v>-2</v>
      </c>
      <c r="R54" s="2378" t="s">
        <v>2391</v>
      </c>
    </row>
    <row r="55" spans="1:18" s="2059" customFormat="1" ht="18" customHeight="1" thickBot="1">
      <c r="A55" s="2096"/>
      <c r="I55" s="313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9"/>
      <c r="K55" s="3140"/>
      <c r="O55" s="2377" t="s">
        <v>2392</v>
      </c>
      <c r="P55" s="2378" t="s">
        <v>2409</v>
      </c>
      <c r="Q55" s="2379">
        <f ca="1">Q49+Q50</f>
        <v>0</v>
      </c>
      <c r="R55" s="2382" t="s">
        <v>2393</v>
      </c>
    </row>
    <row r="56" spans="1:18" s="2059" customFormat="1" ht="16.5" thickBot="1">
      <c r="A56" s="2096"/>
      <c r="B56" s="2097"/>
      <c r="C56" s="2097"/>
      <c r="I56" s="3141" t="s">
        <v>2356</v>
      </c>
      <c r="J56" s="3077" t="e">
        <f ca="1">ROUND(IF(J48="钢混",J58/J51,1-(1-2%)*(J51-J58)/J51),3)</f>
        <v>#VALUE!</v>
      </c>
      <c r="K56" s="3142" t="s">
        <v>2357</v>
      </c>
      <c r="L56" s="2365"/>
      <c r="O56" s="2383" t="s">
        <v>2412</v>
      </c>
      <c r="P56" s="1592"/>
      <c r="Q56" s="1604"/>
      <c r="R56" s="1592"/>
    </row>
    <row r="57" spans="1:18" s="2059" customFormat="1" ht="43.5" thickBot="1">
      <c r="A57" s="2096"/>
      <c r="B57" s="2097"/>
      <c r="C57" s="2097"/>
      <c r="I57" s="3143" t="s">
        <v>2358</v>
      </c>
      <c r="J57" s="3153" t="s">
        <v>1679</v>
      </c>
      <c r="K57" s="3102" t="s">
        <v>2363</v>
      </c>
      <c r="L57" s="1908">
        <f ca="1">IF(L49&lt;J52,"——",L49-J52)</f>
        <v>0</v>
      </c>
      <c r="O57" s="2374" t="s">
        <v>2376</v>
      </c>
      <c r="P57" s="2375" t="s">
        <v>2377</v>
      </c>
      <c r="Q57" s="2376" t="s">
        <v>2378</v>
      </c>
      <c r="R57" s="2375" t="s">
        <v>2379</v>
      </c>
    </row>
    <row r="58" spans="1:18" s="2059" customFormat="1" ht="29.25" thickBot="1">
      <c r="A58" s="2096"/>
      <c r="B58" s="2097"/>
      <c r="C58" s="2097"/>
      <c r="I58" s="3144" t="s">
        <v>2359</v>
      </c>
      <c r="J58" s="3145" t="str">
        <f ca="1">IF(OR(M48="住宅",J52&lt;L49,J57="是"),"——",J52-L49)</f>
        <v>——</v>
      </c>
      <c r="K58" s="3102" t="s">
        <v>2364</v>
      </c>
      <c r="L58" s="1908">
        <f ca="1">IF(L49&lt;J52,"——",IF(L56="比较法",L50,IF(L56="基准地价",L51,L52)))</f>
        <v>0</v>
      </c>
      <c r="O58" s="2377" t="s">
        <v>2380</v>
      </c>
      <c r="P58" s="2378" t="s">
        <v>2406</v>
      </c>
      <c r="Q58" s="2379">
        <f ca="1">C41+J31</f>
        <v>0</v>
      </c>
      <c r="R58" s="2378" t="s">
        <v>2381</v>
      </c>
    </row>
    <row r="59" spans="1:18" s="2059" customFormat="1" ht="29.25" thickBot="1">
      <c r="A59" s="2096"/>
      <c r="B59" s="2097"/>
      <c r="C59" s="2097"/>
      <c r="I59" s="3144" t="s">
        <v>2360</v>
      </c>
      <c r="J59" s="3078" t="e">
        <f ca="1">IF(J56&lt;0.4,0.4,J56)</f>
        <v>#VALUE!</v>
      </c>
      <c r="K59" s="3102" t="s">
        <v>2365</v>
      </c>
      <c r="L59" s="1908">
        <f ca="1">IF(ISERROR(POWER(1+L53,L48-L49)*(POWER(1+L53,L49)-1)/(POWER(1+L53,L48)-1)),0,POWER(1+L53,L48-L49)*(POWER(1+L53,L49)-1)/(POWER(1+L53,L48)-1))</f>
        <v>0</v>
      </c>
      <c r="O59" s="2377" t="s">
        <v>2382</v>
      </c>
      <c r="P59" s="2378" t="s">
        <v>2413</v>
      </c>
      <c r="Q59" s="2379" t="e">
        <f ca="1">L61</f>
        <v>#DIV/0!</v>
      </c>
      <c r="R59" s="2382" t="s">
        <v>2415</v>
      </c>
    </row>
    <row r="60" spans="1:18" s="2059" customFormat="1" ht="29.25" thickBot="1">
      <c r="A60" s="2096"/>
      <c r="B60" s="2097"/>
      <c r="C60" s="2097"/>
      <c r="I60" s="3144" t="s">
        <v>2361</v>
      </c>
      <c r="J60" s="3145" t="str">
        <f ca="1">IF(OR(M48="住宅",J52&lt;L49,J57="是"),"——",ROUND(C30*J59,0))</f>
        <v>——</v>
      </c>
      <c r="K60" s="3102" t="s">
        <v>2366</v>
      </c>
      <c r="L60" s="1908">
        <f ca="1">IF(ISERROR(POWER(1+L53,L48-J52)*(POWER(1+L53,J52)-1)/(POWER(1+L53,L48)-1)),0,POWER(1+L53,L48-J52)*(POWER(1+L53,J52)-1)/(POWER(1+L53,L48)-1))</f>
        <v>0</v>
      </c>
      <c r="O60" s="2380" t="s">
        <v>2384</v>
      </c>
      <c r="P60" s="2378" t="s">
        <v>2414</v>
      </c>
      <c r="Q60" s="2379">
        <f>IF(L56="比较法",L50,IF(L56="基准地价",L51,0))</f>
        <v>0</v>
      </c>
      <c r="R60" s="2378" t="s">
        <v>2381</v>
      </c>
    </row>
    <row r="61" spans="1:18" s="2059" customFormat="1" ht="15.75" thickBot="1">
      <c r="A61" s="2096"/>
      <c r="B61" s="2097"/>
      <c r="C61" s="2097"/>
      <c r="I61" s="3146" t="s">
        <v>2362</v>
      </c>
      <c r="J61" s="3147" t="str">
        <f ca="1">IF(OR(M48="住宅",J52&lt;L49,J57="是"),"0",ROUND(J60/(1+J53)^J54,0))</f>
        <v>0</v>
      </c>
      <c r="K61" s="3148" t="s">
        <v>2367</v>
      </c>
      <c r="L61" s="3147" t="e">
        <f ca="1">IF(OR(M48="住宅",L49&lt;J52),0,ROUND(L58*(L59/L60-1),0))</f>
        <v>#DIV/0!</v>
      </c>
      <c r="O61" s="2380" t="s">
        <v>2385</v>
      </c>
      <c r="P61" s="2378" t="s">
        <v>2394</v>
      </c>
      <c r="Q61" s="2381">
        <f>L53</f>
        <v>0</v>
      </c>
      <c r="R61" s="2382"/>
    </row>
    <row r="62" spans="1:18" s="2059" customFormat="1" ht="20.25" thickBot="1">
      <c r="A62" s="2096"/>
      <c r="B62" s="2097"/>
      <c r="C62" s="2097"/>
      <c r="K62" s="2086"/>
      <c r="O62" s="2380" t="s">
        <v>2387</v>
      </c>
      <c r="P62" s="2378" t="s">
        <v>2395</v>
      </c>
      <c r="Q62" s="2379">
        <f ca="1">L59</f>
        <v>0</v>
      </c>
      <c r="R62" s="2382" t="s">
        <v>2396</v>
      </c>
    </row>
    <row r="63" spans="1:18" s="2059" customFormat="1" ht="20.25" thickBot="1">
      <c r="A63" s="2096"/>
      <c r="B63" s="2097"/>
      <c r="C63" s="2097"/>
      <c r="I63" s="3149" t="s">
        <v>2368</v>
      </c>
      <c r="J63" s="3150" t="s">
        <v>2369</v>
      </c>
      <c r="K63" s="3150" t="s">
        <v>2370</v>
      </c>
      <c r="L63" s="3150" t="s">
        <v>2351</v>
      </c>
      <c r="M63" s="3151" t="s">
        <v>2940</v>
      </c>
      <c r="O63" s="2380" t="s">
        <v>2389</v>
      </c>
      <c r="P63" s="2378" t="s">
        <v>2397</v>
      </c>
      <c r="Q63" s="2379">
        <f ca="1">L60</f>
        <v>0</v>
      </c>
      <c r="R63" s="2382" t="s">
        <v>2398</v>
      </c>
    </row>
    <row r="64" spans="1:18" s="2059" customFormat="1" ht="15.75" thickBot="1">
      <c r="A64" s="2096"/>
      <c r="B64" s="2097"/>
      <c r="C64" s="2097"/>
      <c r="I64" s="3149" t="s">
        <v>2371</v>
      </c>
      <c r="J64" s="3150">
        <v>70</v>
      </c>
      <c r="K64" s="3150">
        <v>50</v>
      </c>
      <c r="L64" s="3150">
        <v>80</v>
      </c>
      <c r="M64" s="3152">
        <v>0.02</v>
      </c>
      <c r="O64" s="2377" t="s">
        <v>2392</v>
      </c>
      <c r="P64" s="2378" t="s">
        <v>2409</v>
      </c>
      <c r="Q64" s="2379" t="e">
        <f ca="1">Q58+Q59</f>
        <v>#DIV/0!</v>
      </c>
      <c r="R64" s="2382" t="s">
        <v>2393</v>
      </c>
    </row>
    <row r="65" spans="1:18" s="2059" customFormat="1" ht="16.5" thickBot="1">
      <c r="A65" s="2096"/>
      <c r="B65" s="2097"/>
      <c r="C65" s="2097"/>
      <c r="I65" s="3149" t="s">
        <v>2372</v>
      </c>
      <c r="J65" s="3150">
        <v>50</v>
      </c>
      <c r="K65" s="3150">
        <v>35</v>
      </c>
      <c r="L65" s="3150">
        <v>60</v>
      </c>
      <c r="M65" s="846">
        <v>0</v>
      </c>
      <c r="O65" s="2383" t="s">
        <v>2416</v>
      </c>
      <c r="P65" s="1592"/>
      <c r="Q65" s="1604"/>
      <c r="R65" s="1592"/>
    </row>
    <row r="66" spans="1:18" s="2059" customFormat="1" ht="15.75" thickBot="1">
      <c r="A66" s="2096"/>
      <c r="B66" s="2097"/>
      <c r="C66" s="2097"/>
      <c r="I66" s="3149" t="s">
        <v>2373</v>
      </c>
      <c r="J66" s="3150">
        <v>40</v>
      </c>
      <c r="K66" s="3150">
        <v>30</v>
      </c>
      <c r="L66" s="3150">
        <v>50</v>
      </c>
      <c r="M66" s="3152">
        <v>0.02</v>
      </c>
      <c r="O66" s="2374" t="s">
        <v>2376</v>
      </c>
      <c r="P66" s="2375" t="s">
        <v>2377</v>
      </c>
      <c r="Q66" s="2376" t="s">
        <v>2378</v>
      </c>
      <c r="R66" s="2375" t="s">
        <v>2379</v>
      </c>
    </row>
    <row r="67" spans="1:18" s="2059" customFormat="1" ht="15.75" thickBot="1">
      <c r="A67" s="2096"/>
      <c r="B67" s="2097"/>
      <c r="C67" s="2097"/>
      <c r="K67" s="2086"/>
      <c r="O67" s="2377" t="s">
        <v>2380</v>
      </c>
      <c r="P67" s="2378" t="s">
        <v>2406</v>
      </c>
      <c r="Q67" s="2379">
        <f ca="1">C41+J31</f>
        <v>0</v>
      </c>
      <c r="R67" s="2378" t="s">
        <v>2381</v>
      </c>
    </row>
    <row r="68" spans="1:18" s="2059" customFormat="1" ht="20.25" thickBot="1">
      <c r="A68" s="2096"/>
      <c r="B68" s="2097"/>
      <c r="C68" s="2097"/>
      <c r="K68" s="2086"/>
      <c r="O68" s="2377" t="s">
        <v>2382</v>
      </c>
      <c r="P68" s="2378" t="s">
        <v>2413</v>
      </c>
      <c r="Q68" s="2379" t="e">
        <f ca="1">L61</f>
        <v>#DIV/0!</v>
      </c>
      <c r="R68" s="2382" t="s">
        <v>2415</v>
      </c>
    </row>
    <row r="69" spans="1:18" s="2059" customFormat="1" ht="21.75" thickBot="1">
      <c r="A69" s="2096"/>
      <c r="B69" s="2097"/>
      <c r="C69" s="2097"/>
      <c r="K69" s="2086"/>
      <c r="O69" s="2380" t="s">
        <v>2384</v>
      </c>
      <c r="P69" s="2378" t="s">
        <v>2414</v>
      </c>
      <c r="Q69" s="2384">
        <f ca="1">L52</f>
        <v>0</v>
      </c>
      <c r="R69" s="2385" t="s">
        <v>2417</v>
      </c>
    </row>
    <row r="70" spans="1:18" s="2059" customFormat="1" ht="20.25" thickBot="1">
      <c r="A70" s="2096"/>
      <c r="B70" s="2097"/>
      <c r="C70" s="2097"/>
      <c r="K70" s="2086"/>
      <c r="O70" s="2380" t="s">
        <v>2385</v>
      </c>
      <c r="P70" s="2386" t="s">
        <v>2399</v>
      </c>
      <c r="Q70" s="2379">
        <f ca="1">ROUND(Q71-Q72*Q73,0)</f>
        <v>0</v>
      </c>
      <c r="R70" s="2382"/>
    </row>
    <row r="71" spans="1:18" s="2059" customFormat="1" ht="15.75" thickBot="1">
      <c r="A71" s="2096"/>
      <c r="B71" s="2097"/>
      <c r="C71" s="2097"/>
      <c r="K71" s="2086"/>
      <c r="O71" s="2380" t="s">
        <v>2400</v>
      </c>
      <c r="P71" s="2386" t="s">
        <v>2401</v>
      </c>
      <c r="Q71" s="2379">
        <f ca="1">C42</f>
        <v>0</v>
      </c>
      <c r="R71" s="2378" t="s">
        <v>2381</v>
      </c>
    </row>
    <row r="72" spans="1:18" s="2059" customFormat="1" ht="15.75" thickBot="1">
      <c r="A72" s="2096"/>
      <c r="B72" s="2097"/>
      <c r="C72" s="2097"/>
      <c r="K72" s="2086"/>
      <c r="O72" s="2380" t="s">
        <v>2402</v>
      </c>
      <c r="P72" s="2386" t="s">
        <v>2403</v>
      </c>
      <c r="Q72" s="2379">
        <f ca="1">C15</f>
        <v>0</v>
      </c>
      <c r="R72" s="2378" t="s">
        <v>2381</v>
      </c>
    </row>
    <row r="73" spans="1:18" s="2059" customFormat="1" ht="15.75" thickBot="1">
      <c r="A73" s="2096"/>
      <c r="B73" s="2097"/>
      <c r="C73" s="2097"/>
      <c r="K73" s="2086"/>
      <c r="O73" s="2380" t="s">
        <v>2404</v>
      </c>
      <c r="P73" s="2386" t="s">
        <v>2405</v>
      </c>
      <c r="Q73" s="2381">
        <f ca="1">F43</f>
        <v>0</v>
      </c>
      <c r="R73" s="2382"/>
    </row>
    <row r="74" spans="1:18" s="2059" customFormat="1" ht="15.75" thickBot="1">
      <c r="A74" s="2096"/>
      <c r="B74" s="2097"/>
      <c r="C74" s="2097"/>
      <c r="K74" s="2086"/>
      <c r="O74" s="2380" t="s">
        <v>2387</v>
      </c>
      <c r="P74" s="2378" t="s">
        <v>2394</v>
      </c>
      <c r="Q74" s="2381">
        <f>L53</f>
        <v>0</v>
      </c>
      <c r="R74" s="2382"/>
    </row>
    <row r="75" spans="1:18" s="2059" customFormat="1" ht="20.25" thickBot="1">
      <c r="A75" s="2096"/>
      <c r="B75" s="2097"/>
      <c r="C75" s="2097"/>
      <c r="K75" s="2086"/>
      <c r="O75" s="2380" t="s">
        <v>2389</v>
      </c>
      <c r="P75" s="2378" t="s">
        <v>2395</v>
      </c>
      <c r="Q75" s="2379">
        <f ca="1">L59</f>
        <v>0</v>
      </c>
      <c r="R75" s="2382" t="s">
        <v>2396</v>
      </c>
    </row>
    <row r="76" spans="1:18" s="2059" customFormat="1" ht="20.25" thickBot="1">
      <c r="A76" s="2096"/>
      <c r="B76" s="2097"/>
      <c r="C76" s="2097"/>
      <c r="K76" s="2086"/>
      <c r="O76" s="2380" t="s">
        <v>2418</v>
      </c>
      <c r="P76" s="2378" t="s">
        <v>2397</v>
      </c>
      <c r="Q76" s="2379">
        <f ca="1">L60</f>
        <v>0</v>
      </c>
      <c r="R76" s="2382" t="s">
        <v>2398</v>
      </c>
    </row>
    <row r="77" spans="1:18" s="2059" customFormat="1" ht="15.75" thickBot="1">
      <c r="A77" s="2096"/>
      <c r="B77" s="2097"/>
      <c r="C77" s="2097"/>
      <c r="K77" s="2086"/>
      <c r="O77" s="2377" t="s">
        <v>2392</v>
      </c>
      <c r="P77" s="2378" t="s">
        <v>2409</v>
      </c>
      <c r="Q77" s="2379" t="e">
        <f ca="1">Q67+Q68</f>
        <v>#DIV/0!</v>
      </c>
      <c r="R77" s="2382"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38" t="s">
        <v>2472</v>
      </c>
      <c r="B1" s="3539"/>
      <c r="C1" s="3540"/>
      <c r="D1" s="3541">
        <f>SUM(I10,I15,I20,I21,I23)</f>
        <v>0</v>
      </c>
      <c r="E1" s="3541"/>
      <c r="F1" s="3541"/>
      <c r="G1" s="3541"/>
      <c r="H1" s="3541"/>
      <c r="I1" s="3542"/>
    </row>
    <row r="2" spans="1:9">
      <c r="A2" s="3543" t="s">
        <v>2473</v>
      </c>
      <c r="B2" s="3544" t="s">
        <v>2474</v>
      </c>
      <c r="C2" s="3544"/>
      <c r="D2" s="2486" t="s">
        <v>2475</v>
      </c>
      <c r="E2" s="2486" t="s">
        <v>2476</v>
      </c>
      <c r="F2" s="2486" t="s">
        <v>2477</v>
      </c>
      <c r="G2" s="2486" t="s">
        <v>2478</v>
      </c>
      <c r="H2" s="2486" t="s">
        <v>2479</v>
      </c>
      <c r="I2" s="2487" t="s">
        <v>2480</v>
      </c>
    </row>
    <row r="3" spans="1:9">
      <c r="A3" s="3543"/>
      <c r="B3" s="3544" t="s">
        <v>2481</v>
      </c>
      <c r="C3" s="3544"/>
      <c r="D3" s="2488"/>
      <c r="E3" s="2486"/>
      <c r="F3" s="2489"/>
      <c r="G3" s="2489"/>
      <c r="H3" s="2490"/>
      <c r="I3" s="2491">
        <f>ROUND(D3*E3*F3*G3*H3/10000,0)</f>
        <v>0</v>
      </c>
    </row>
    <row r="4" spans="1:9">
      <c r="A4" s="3543"/>
      <c r="B4" s="3544" t="s">
        <v>2482</v>
      </c>
      <c r="C4" s="3544"/>
      <c r="D4" s="2488"/>
      <c r="E4" s="2486"/>
      <c r="F4" s="2489"/>
      <c r="G4" s="2489"/>
      <c r="H4" s="2490"/>
      <c r="I4" s="2491">
        <f t="shared" ref="I4:I9" si="0">ROUND(D4*E4*F4*G4*H4/10000,0)</f>
        <v>0</v>
      </c>
    </row>
    <row r="5" spans="1:9">
      <c r="A5" s="3543"/>
      <c r="B5" s="3544" t="s">
        <v>2483</v>
      </c>
      <c r="C5" s="3544"/>
      <c r="D5" s="2488"/>
      <c r="E5" s="2486"/>
      <c r="F5" s="2489"/>
      <c r="G5" s="2489"/>
      <c r="H5" s="2490"/>
      <c r="I5" s="2491">
        <f t="shared" si="0"/>
        <v>0</v>
      </c>
    </row>
    <row r="6" spans="1:9">
      <c r="A6" s="3543"/>
      <c r="B6" s="3544" t="s">
        <v>2484</v>
      </c>
      <c r="C6" s="3544"/>
      <c r="D6" s="2488"/>
      <c r="E6" s="2486"/>
      <c r="F6" s="2489"/>
      <c r="G6" s="2489"/>
      <c r="H6" s="2490"/>
      <c r="I6" s="2491">
        <f t="shared" si="0"/>
        <v>0</v>
      </c>
    </row>
    <row r="7" spans="1:9">
      <c r="A7" s="3543"/>
      <c r="B7" s="3544" t="s">
        <v>2485</v>
      </c>
      <c r="C7" s="3544"/>
      <c r="D7" s="2488"/>
      <c r="E7" s="2486"/>
      <c r="F7" s="2489"/>
      <c r="G7" s="2489"/>
      <c r="H7" s="2490"/>
      <c r="I7" s="2491">
        <f t="shared" si="0"/>
        <v>0</v>
      </c>
    </row>
    <row r="8" spans="1:9">
      <c r="A8" s="3543"/>
      <c r="B8" s="3544" t="s">
        <v>2486</v>
      </c>
      <c r="C8" s="3544"/>
      <c r="D8" s="2488"/>
      <c r="E8" s="2486"/>
      <c r="F8" s="2489"/>
      <c r="G8" s="2489"/>
      <c r="H8" s="2490"/>
      <c r="I8" s="2491">
        <f t="shared" si="0"/>
        <v>0</v>
      </c>
    </row>
    <row r="9" spans="1:9">
      <c r="A9" s="3543"/>
      <c r="B9" s="3544" t="s">
        <v>2487</v>
      </c>
      <c r="C9" s="3544"/>
      <c r="D9" s="2488"/>
      <c r="E9" s="2486"/>
      <c r="F9" s="2489"/>
      <c r="G9" s="2489"/>
      <c r="H9" s="2490"/>
      <c r="I9" s="2491">
        <f t="shared" si="0"/>
        <v>0</v>
      </c>
    </row>
    <row r="10" spans="1:9">
      <c r="A10" s="3543"/>
      <c r="B10" s="3545" t="s">
        <v>2488</v>
      </c>
      <c r="C10" s="3545"/>
      <c r="D10" s="2492">
        <v>527</v>
      </c>
      <c r="E10" s="2492" t="e">
        <f>ROUND(D1*10000/D10/H9,0)</f>
        <v>#DIV/0!</v>
      </c>
      <c r="F10" s="2493"/>
      <c r="G10" s="2493"/>
      <c r="H10" s="2494"/>
      <c r="I10" s="2495">
        <f>SUM(I3:I9)</f>
        <v>0</v>
      </c>
    </row>
    <row r="11" spans="1:9" ht="14.25">
      <c r="A11" s="3543" t="s">
        <v>2489</v>
      </c>
      <c r="B11" s="3544" t="s">
        <v>2490</v>
      </c>
      <c r="C11" s="3544"/>
      <c r="D11" s="2488" t="s">
        <v>2491</v>
      </c>
      <c r="E11" s="2488" t="s">
        <v>2492</v>
      </c>
      <c r="F11" s="2489" t="s">
        <v>2493</v>
      </c>
      <c r="G11" s="2489" t="s">
        <v>2494</v>
      </c>
      <c r="H11" s="2496" t="s">
        <v>2495</v>
      </c>
      <c r="I11" s="2487" t="s">
        <v>2496</v>
      </c>
    </row>
    <row r="12" spans="1:9">
      <c r="A12" s="3543"/>
      <c r="B12" s="3544" t="s">
        <v>2497</v>
      </c>
      <c r="C12" s="3544"/>
      <c r="D12" s="2488"/>
      <c r="E12" s="2488"/>
      <c r="F12" s="2489"/>
      <c r="G12" s="2490"/>
      <c r="H12" s="2497"/>
      <c r="I12" s="2487">
        <f>ROUND(D12*E12*F12*G12/10000,0)</f>
        <v>0</v>
      </c>
    </row>
    <row r="13" spans="1:9">
      <c r="A13" s="3543"/>
      <c r="B13" s="3544" t="s">
        <v>2498</v>
      </c>
      <c r="C13" s="3544"/>
      <c r="D13" s="2488"/>
      <c r="E13" s="2488"/>
      <c r="F13" s="2489"/>
      <c r="G13" s="2490"/>
      <c r="H13" s="2497"/>
      <c r="I13" s="2487">
        <f>ROUND(D13*E13*F13*G13/10000,0)</f>
        <v>0</v>
      </c>
    </row>
    <row r="14" spans="1:9">
      <c r="A14" s="3543"/>
      <c r="B14" s="3544" t="s">
        <v>2499</v>
      </c>
      <c r="C14" s="3544"/>
      <c r="D14" s="2488"/>
      <c r="E14" s="2488"/>
      <c r="F14" s="2489"/>
      <c r="G14" s="2490"/>
      <c r="H14" s="2497"/>
      <c r="I14" s="2487">
        <f>ROUND(D14*E14*F14*G14/10000,0)</f>
        <v>0</v>
      </c>
    </row>
    <row r="15" spans="1:9">
      <c r="A15" s="3543"/>
      <c r="B15" s="3545" t="s">
        <v>2488</v>
      </c>
      <c r="C15" s="3545"/>
      <c r="D15" s="2492"/>
      <c r="E15" s="2492">
        <f>SUM(E12:E14)</f>
        <v>0</v>
      </c>
      <c r="F15" s="2493"/>
      <c r="G15" s="2490"/>
      <c r="H15" s="2497"/>
      <c r="I15" s="2498">
        <f>SUM(I12:I14)</f>
        <v>0</v>
      </c>
    </row>
    <row r="16" spans="1:9" ht="24">
      <c r="A16" s="3543" t="s">
        <v>2500</v>
      </c>
      <c r="B16" s="3544" t="s">
        <v>2501</v>
      </c>
      <c r="C16" s="3544"/>
      <c r="D16" s="2488" t="s">
        <v>2502</v>
      </c>
      <c r="E16" s="2499" t="s">
        <v>2503</v>
      </c>
      <c r="F16" s="2489" t="s">
        <v>2504</v>
      </c>
      <c r="G16" s="2490" t="s">
        <v>2494</v>
      </c>
      <c r="H16" s="2496" t="s">
        <v>2495</v>
      </c>
      <c r="I16" s="2487" t="s">
        <v>2496</v>
      </c>
    </row>
    <row r="17" spans="1:9" ht="14.25">
      <c r="A17" s="3543"/>
      <c r="B17" s="3544" t="s">
        <v>2505</v>
      </c>
      <c r="C17" s="3544"/>
      <c r="D17" s="2488"/>
      <c r="E17" s="2488"/>
      <c r="F17" s="2489"/>
      <c r="G17" s="2490"/>
      <c r="H17" s="2500"/>
      <c r="I17" s="2501">
        <f>ROUND(D17*E17*F17*G17/10000,0)</f>
        <v>0</v>
      </c>
    </row>
    <row r="18" spans="1:9" ht="14.25">
      <c r="A18" s="3543"/>
      <c r="B18" s="3544" t="s">
        <v>2506</v>
      </c>
      <c r="C18" s="3544"/>
      <c r="D18" s="2488"/>
      <c r="E18" s="2488"/>
      <c r="F18" s="2489"/>
      <c r="G18" s="2490"/>
      <c r="H18" s="2500"/>
      <c r="I18" s="2501">
        <f>ROUND(D18*E18*F18*G18/10000,0)</f>
        <v>0</v>
      </c>
    </row>
    <row r="19" spans="1:9" ht="14.25">
      <c r="A19" s="3543"/>
      <c r="B19" s="3544" t="s">
        <v>2507</v>
      </c>
      <c r="C19" s="3544"/>
      <c r="D19" s="2488"/>
      <c r="E19" s="2488"/>
      <c r="F19" s="2489"/>
      <c r="G19" s="2490"/>
      <c r="H19" s="2500"/>
      <c r="I19" s="2501">
        <f>ROUND(D19*E19*F19*G19/10000,0)</f>
        <v>0</v>
      </c>
    </row>
    <row r="20" spans="1:9">
      <c r="A20" s="3543"/>
      <c r="B20" s="3545" t="s">
        <v>2488</v>
      </c>
      <c r="C20" s="3545"/>
      <c r="D20" s="2492">
        <f>SUM(D17:D19)</f>
        <v>0</v>
      </c>
      <c r="E20" s="2492"/>
      <c r="F20" s="2493"/>
      <c r="G20" s="2490"/>
      <c r="H20" s="2497"/>
      <c r="I20" s="2498">
        <f>SUM(I17:I19)</f>
        <v>0</v>
      </c>
    </row>
    <row r="21" spans="1:9">
      <c r="A21" s="3543" t="s">
        <v>2508</v>
      </c>
      <c r="B21" s="3547"/>
      <c r="C21" s="3547"/>
      <c r="D21" s="3547"/>
      <c r="E21" s="3547"/>
      <c r="F21" s="3547"/>
      <c r="G21" s="3547"/>
      <c r="H21" s="2502">
        <v>0.1</v>
      </c>
      <c r="I21" s="2495">
        <f>ROUND(I10*H21,0)</f>
        <v>0</v>
      </c>
    </row>
    <row r="22" spans="1:9" ht="14.25">
      <c r="A22" s="3548" t="s">
        <v>2509</v>
      </c>
      <c r="B22" s="3549"/>
      <c r="C22" s="3550"/>
      <c r="D22" s="2503" t="s">
        <v>2510</v>
      </c>
      <c r="E22" s="2503" t="s">
        <v>2511</v>
      </c>
      <c r="F22" s="2504" t="s">
        <v>2512</v>
      </c>
      <c r="G22" s="2504" t="s">
        <v>2513</v>
      </c>
      <c r="H22" s="2496" t="s">
        <v>2514</v>
      </c>
      <c r="I22" s="2487" t="s">
        <v>2515</v>
      </c>
    </row>
    <row r="23" spans="1:9" ht="14.25" thickBot="1">
      <c r="A23" s="3551"/>
      <c r="B23" s="3552"/>
      <c r="C23" s="3553"/>
      <c r="D23" s="2505"/>
      <c r="E23" s="2505"/>
      <c r="F23" s="2505"/>
      <c r="G23" s="2506"/>
      <c r="H23" s="2507"/>
      <c r="I23" s="2508">
        <f>ROUND(E23*D23*F23*(1-G23)/10000,0)</f>
        <v>0</v>
      </c>
    </row>
    <row r="26" spans="1:9">
      <c r="A26" s="2509" t="s">
        <v>2516</v>
      </c>
      <c r="B26" s="2509"/>
      <c r="C26" s="2509"/>
      <c r="D26" s="2509"/>
      <c r="E26" s="3554">
        <f>C27-C30-C31-C32</f>
        <v>0</v>
      </c>
      <c r="F26" s="3554"/>
      <c r="G26" s="3554"/>
      <c r="H26" s="3020" t="s">
        <v>2842</v>
      </c>
    </row>
    <row r="27" spans="1:9">
      <c r="A27" s="2510">
        <v>1</v>
      </c>
      <c r="B27" s="2511" t="s">
        <v>2517</v>
      </c>
      <c r="C27" s="2511"/>
      <c r="D27" s="2511"/>
      <c r="E27" s="3555"/>
      <c r="F27" s="3555"/>
      <c r="G27" s="3555"/>
    </row>
    <row r="28" spans="1:9">
      <c r="A28" s="2512" t="s">
        <v>2518</v>
      </c>
      <c r="B28" s="2511" t="s">
        <v>2519</v>
      </c>
      <c r="C28" s="2511"/>
      <c r="D28" s="2511"/>
      <c r="E28" s="3555"/>
      <c r="F28" s="3555"/>
      <c r="G28" s="3555"/>
    </row>
    <row r="29" spans="1:9">
      <c r="A29" s="2512" t="s">
        <v>2520</v>
      </c>
      <c r="B29" s="2511" t="s">
        <v>2461</v>
      </c>
      <c r="C29" s="2511"/>
      <c r="D29" s="2511"/>
      <c r="E29" s="2511" t="s">
        <v>2521</v>
      </c>
      <c r="F29" s="2511"/>
      <c r="G29" s="2511"/>
    </row>
    <row r="30" spans="1:9">
      <c r="A30" s="2510">
        <v>2</v>
      </c>
      <c r="B30" s="2511" t="s">
        <v>2522</v>
      </c>
      <c r="C30" s="2511">
        <f>C27*D30</f>
        <v>0</v>
      </c>
      <c r="D30" s="2513">
        <v>0.2</v>
      </c>
      <c r="E30" s="2511" t="s">
        <v>2523</v>
      </c>
      <c r="F30" s="2511"/>
      <c r="G30" s="2511"/>
    </row>
    <row r="31" spans="1:9">
      <c r="A31" s="2510">
        <v>3</v>
      </c>
      <c r="B31" s="2511" t="s">
        <v>2524</v>
      </c>
      <c r="C31" s="2511">
        <f>C25*D31</f>
        <v>0</v>
      </c>
      <c r="D31" s="2513">
        <v>0.15</v>
      </c>
      <c r="E31" s="2511" t="s">
        <v>2525</v>
      </c>
      <c r="F31" s="2511"/>
      <c r="G31" s="2511"/>
    </row>
    <row r="32" spans="1:9">
      <c r="A32" s="2510">
        <v>4</v>
      </c>
      <c r="B32" s="2511" t="s">
        <v>2526</v>
      </c>
      <c r="C32" s="2511">
        <f>C27*D32</f>
        <v>0</v>
      </c>
      <c r="D32" s="2513">
        <v>0.05</v>
      </c>
      <c r="E32" s="3546"/>
      <c r="F32" s="3546"/>
      <c r="G32" s="3546"/>
    </row>
    <row r="33" spans="1:7" hidden="1">
      <c r="A33" s="3556" t="s">
        <v>2527</v>
      </c>
      <c r="B33" s="3557"/>
      <c r="C33" s="3557"/>
      <c r="D33" s="3558"/>
      <c r="E33" s="3554"/>
      <c r="F33" s="3554"/>
      <c r="G33" s="3554"/>
    </row>
    <row r="34" spans="1:7" hidden="1">
      <c r="A34" s="2514">
        <v>1</v>
      </c>
      <c r="B34" s="2511" t="s">
        <v>2528</v>
      </c>
      <c r="C34" s="2511"/>
      <c r="D34" s="2511"/>
      <c r="E34" s="3555"/>
      <c r="F34" s="3555"/>
      <c r="G34" s="3555"/>
    </row>
    <row r="35" spans="1:7" hidden="1">
      <c r="A35" s="2514">
        <v>2</v>
      </c>
      <c r="B35" s="2511" t="s">
        <v>2529</v>
      </c>
      <c r="C35" s="2511"/>
      <c r="D35" s="2511"/>
      <c r="E35" s="3555"/>
      <c r="F35" s="3555"/>
      <c r="G35" s="3555"/>
    </row>
    <row r="36" spans="1:7" hidden="1">
      <c r="A36" s="2514">
        <v>3</v>
      </c>
      <c r="B36" s="2511" t="s">
        <v>2530</v>
      </c>
      <c r="C36" s="2511"/>
      <c r="D36" s="2511"/>
      <c r="E36" s="3555"/>
      <c r="F36" s="3555"/>
      <c r="G36" s="3555"/>
    </row>
    <row r="37" spans="1:7" hidden="1">
      <c r="A37" s="2514">
        <v>4</v>
      </c>
      <c r="B37" s="2511" t="s">
        <v>2531</v>
      </c>
      <c r="C37" s="2511"/>
      <c r="D37" s="2511"/>
      <c r="E37" s="3555"/>
      <c r="F37" s="3555"/>
      <c r="G37" s="3555"/>
    </row>
    <row r="38" spans="1:7" hidden="1">
      <c r="A38" s="3556" t="s">
        <v>2532</v>
      </c>
      <c r="B38" s="3557"/>
      <c r="C38" s="3557"/>
      <c r="D38" s="3558"/>
      <c r="E38" s="3554"/>
      <c r="F38" s="3554"/>
      <c r="G38" s="35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9"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48">
        <v>1</v>
      </c>
      <c r="B7" s="748" t="s">
        <v>609</v>
      </c>
      <c r="C7" s="749">
        <f>C8+C9</f>
        <v>0</v>
      </c>
      <c r="D7" s="749"/>
      <c r="E7" s="750"/>
      <c r="F7" s="750"/>
      <c r="G7" s="2458"/>
    </row>
    <row r="8" spans="1:25" s="2183" customFormat="1" ht="13.5" customHeight="1">
      <c r="A8" s="2448" t="s">
        <v>2441</v>
      </c>
      <c r="B8" s="2451" t="s">
        <v>2443</v>
      </c>
      <c r="C8" s="2452"/>
      <c r="D8" s="749"/>
      <c r="E8" s="750"/>
      <c r="F8" s="750"/>
      <c r="G8" s="751"/>
    </row>
    <row r="9" spans="1:25" s="2183" customFormat="1" ht="13.5" customHeight="1">
      <c r="A9" s="2448" t="s">
        <v>2442</v>
      </c>
      <c r="B9" s="2451" t="s">
        <v>2444</v>
      </c>
      <c r="C9" s="2452"/>
      <c r="D9" s="749"/>
      <c r="E9" s="750"/>
      <c r="F9" s="750"/>
      <c r="G9" s="751"/>
    </row>
    <row r="10" spans="1:25" s="2183" customFormat="1" ht="36">
      <c r="A10" s="2448">
        <v>2</v>
      </c>
      <c r="B10" s="748" t="s">
        <v>613</v>
      </c>
      <c r="C10" s="749">
        <f>C11+C14+C15</f>
        <v>0</v>
      </c>
      <c r="D10" s="760">
        <f>'数据-汇总表'!E3</f>
        <v>400500</v>
      </c>
      <c r="E10" s="749">
        <f>'数据-取费表'!B31</f>
        <v>140</v>
      </c>
      <c r="F10" s="761"/>
      <c r="G10" s="759" t="s">
        <v>614</v>
      </c>
    </row>
    <row r="11" spans="1:25" s="2183" customFormat="1" ht="13.5" customHeight="1">
      <c r="A11" s="2448" t="s">
        <v>2441</v>
      </c>
      <c r="B11" s="752" t="s">
        <v>610</v>
      </c>
      <c r="C11" s="753">
        <f>'数据-取费表'!B29</f>
        <v>0</v>
      </c>
      <c r="D11" s="754"/>
      <c r="E11" s="753"/>
      <c r="F11" s="755"/>
      <c r="G11" s="2457" t="s">
        <v>2452</v>
      </c>
    </row>
    <row r="12" spans="1:25" s="2183" customFormat="1" ht="13.5" customHeight="1">
      <c r="A12" s="2455" t="s">
        <v>2449</v>
      </c>
      <c r="B12" s="756" t="s">
        <v>611</v>
      </c>
      <c r="C12" s="757">
        <f>ROUND(D12*E12/10000,0)</f>
        <v>0</v>
      </c>
      <c r="D12" s="758">
        <f>'数据-汇总表'!E5</f>
        <v>0</v>
      </c>
      <c r="E12" s="757">
        <f>'数据-取费表'!B27</f>
        <v>160</v>
      </c>
      <c r="F12" s="755"/>
      <c r="G12" s="759"/>
    </row>
    <row r="13" spans="1:25" s="2183" customFormat="1" ht="13.5" customHeight="1">
      <c r="A13" s="2455" t="s">
        <v>2448</v>
      </c>
      <c r="B13" s="756" t="s">
        <v>612</v>
      </c>
      <c r="C13" s="757">
        <f>ROUND(D13*E13/10000,0)</f>
        <v>8010</v>
      </c>
      <c r="D13" s="758">
        <f>'数据-汇总表'!E6</f>
        <v>400500</v>
      </c>
      <c r="E13" s="757">
        <f>'数据-取费表'!B28</f>
        <v>200</v>
      </c>
      <c r="F13" s="755"/>
      <c r="G13" s="759"/>
    </row>
    <row r="14" spans="1:25" s="2183" customFormat="1" ht="13.5" customHeight="1">
      <c r="A14" s="2448" t="s">
        <v>2442</v>
      </c>
      <c r="B14" s="2454" t="s">
        <v>2445</v>
      </c>
      <c r="C14" s="2452"/>
      <c r="D14" s="758"/>
      <c r="E14" s="757"/>
      <c r="F14" s="2453"/>
      <c r="G14" s="2456" t="s">
        <v>2450</v>
      </c>
    </row>
    <row r="15" spans="1:25" s="2183" customFormat="1" ht="13.5" customHeight="1">
      <c r="A15" s="2448" t="s">
        <v>2447</v>
      </c>
      <c r="B15" s="2454" t="s">
        <v>2446</v>
      </c>
      <c r="C15" s="2452"/>
      <c r="D15" s="758"/>
      <c r="E15" s="757"/>
      <c r="F15" s="2453"/>
      <c r="G15" s="2456" t="s">
        <v>2451</v>
      </c>
    </row>
    <row r="16" spans="1:25" s="2184" customFormat="1" ht="48">
      <c r="A16" s="2448">
        <v>3</v>
      </c>
      <c r="B16" s="748" t="s">
        <v>615</v>
      </c>
      <c r="C16" s="2452"/>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8" t="s">
        <v>617</v>
      </c>
      <c r="C18" s="749">
        <f>ROUND((C7+C10+C16)*F18,0)</f>
        <v>0</v>
      </c>
      <c r="D18" s="762"/>
      <c r="E18" s="763"/>
      <c r="F18" s="761">
        <f>'数据-取费表'!Q16</f>
        <v>0.21</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8" t="s">
        <v>621</v>
      </c>
      <c r="C20" s="749">
        <f ca="1">ROUND(C19*F20,0)</f>
        <v>0</v>
      </c>
      <c r="D20" s="760"/>
      <c r="E20" s="749"/>
      <c r="F20" s="1348"/>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8" t="s">
        <v>625</v>
      </c>
      <c r="C22" s="749">
        <f ca="1">ROUND(C21*F22,0)</f>
        <v>0</v>
      </c>
      <c r="D22" s="760"/>
      <c r="E22" s="749"/>
      <c r="F22" s="766">
        <f>'数据-取费表'!AP16</f>
        <v>0.84499999999999997</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02" t="s">
        <v>719</v>
      </c>
      <c r="C1" s="2603" t="s">
        <v>720</v>
      </c>
      <c r="D1" s="2604"/>
      <c r="E1" s="2605"/>
      <c r="F1" s="2786"/>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01" t="e">
        <f>ROUND(B3*D3/10000,0)</f>
        <v>#DIV/0!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9" t="s">
        <v>519</v>
      </c>
      <c r="B3" s="851" t="e">
        <f>C49</f>
        <v>#DIV/0!</v>
      </c>
      <c r="C3" s="852" t="s">
        <v>722</v>
      </c>
      <c r="D3" s="851">
        <f>SUMIF('数据-汇总表'!$C19:$C33,D1,'数据-汇总表'!$E19:$E33)</f>
        <v>0</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521</v>
      </c>
      <c r="B4" s="513"/>
      <c r="C4" s="3486" t="s">
        <v>522</v>
      </c>
      <c r="D4" s="3487"/>
      <c r="E4" s="3488" t="s">
        <v>523</v>
      </c>
      <c r="F4" s="3489"/>
      <c r="G4" s="3486" t="s">
        <v>524</v>
      </c>
      <c r="H4" s="3487"/>
      <c r="I4" s="3486" t="s">
        <v>525</v>
      </c>
      <c r="J4" s="3487"/>
      <c r="K4" s="853" t="s">
        <v>526</v>
      </c>
      <c r="L4" s="2133"/>
      <c r="M4" s="2134"/>
      <c r="N4" s="2134"/>
      <c r="O4" s="2134"/>
      <c r="P4" s="3490" t="s">
        <v>527</v>
      </c>
      <c r="Q4" s="3491"/>
      <c r="R4" s="3496" t="s">
        <v>523</v>
      </c>
      <c r="S4" s="3497"/>
      <c r="T4" s="3496" t="s">
        <v>524</v>
      </c>
      <c r="U4" s="3497"/>
      <c r="V4" s="3502" t="s">
        <v>525</v>
      </c>
      <c r="W4" s="3502"/>
      <c r="X4" s="1567"/>
      <c r="Y4" s="3496" t="s">
        <v>527</v>
      </c>
      <c r="Z4" s="3497"/>
      <c r="AA4" s="3483" t="s">
        <v>523</v>
      </c>
      <c r="AB4" s="3483" t="s">
        <v>524</v>
      </c>
      <c r="AC4" s="3483" t="s">
        <v>525</v>
      </c>
    </row>
    <row r="5" spans="1:29" ht="15">
      <c r="A5" s="515"/>
      <c r="B5" s="516"/>
      <c r="C5" s="3510" t="s">
        <v>2926</v>
      </c>
      <c r="D5" s="3506"/>
      <c r="E5" s="3524" t="s">
        <v>2927</v>
      </c>
      <c r="F5" s="3514"/>
      <c r="G5" s="3510" t="s">
        <v>2928</v>
      </c>
      <c r="H5" s="3506"/>
      <c r="I5" s="3510" t="s">
        <v>2929</v>
      </c>
      <c r="J5" s="3506"/>
      <c r="K5" s="854"/>
      <c r="L5" s="2133"/>
      <c r="M5" s="2134"/>
      <c r="N5" s="2134"/>
      <c r="O5" s="2134"/>
      <c r="P5" s="3492"/>
      <c r="Q5" s="3493"/>
      <c r="R5" s="3498"/>
      <c r="S5" s="3499"/>
      <c r="T5" s="3498"/>
      <c r="U5" s="3499"/>
      <c r="V5" s="3502"/>
      <c r="W5" s="3502"/>
      <c r="X5" s="1567"/>
      <c r="Y5" s="3498"/>
      <c r="Z5" s="3499"/>
      <c r="AA5" s="3484"/>
      <c r="AB5" s="3484"/>
      <c r="AC5" s="3484"/>
    </row>
    <row r="6" spans="1:29" ht="15.75" thickBot="1">
      <c r="A6" s="517"/>
      <c r="B6" s="518"/>
      <c r="C6" s="3503" t="s">
        <v>2930</v>
      </c>
      <c r="D6" s="3504"/>
      <c r="E6" s="3511" t="s">
        <v>2930</v>
      </c>
      <c r="F6" s="3512"/>
      <c r="G6" s="3503" t="s">
        <v>2930</v>
      </c>
      <c r="H6" s="3504"/>
      <c r="I6" s="3503" t="s">
        <v>2930</v>
      </c>
      <c r="J6" s="3504"/>
      <c r="K6" s="854" t="s">
        <v>528</v>
      </c>
      <c r="L6" s="2133"/>
      <c r="M6" s="2134"/>
      <c r="N6" s="2134"/>
      <c r="O6" s="2134"/>
      <c r="P6" s="3494"/>
      <c r="Q6" s="3495"/>
      <c r="R6" s="3498"/>
      <c r="S6" s="3499"/>
      <c r="T6" s="3500"/>
      <c r="U6" s="3501"/>
      <c r="V6" s="3502"/>
      <c r="W6" s="3502"/>
      <c r="X6" s="1567"/>
      <c r="Y6" s="3500"/>
      <c r="Z6" s="3501"/>
      <c r="AA6" s="3485"/>
      <c r="AB6" s="3485"/>
      <c r="AC6" s="3485"/>
    </row>
    <row r="7" spans="1:29" s="1219" customFormat="1" ht="15.75" thickBot="1">
      <c r="A7" s="2891"/>
      <c r="B7" s="2898" t="s">
        <v>529</v>
      </c>
      <c r="C7" s="519">
        <f>'数据-取费表'!B2</f>
        <v>43388</v>
      </c>
      <c r="D7" s="520">
        <v>100</v>
      </c>
      <c r="E7" s="521"/>
      <c r="F7" s="522">
        <f>SUMIF(58:58,YEAR(E7)&amp;"-"&amp;MONTH(E7),59:59)</f>
        <v>0</v>
      </c>
      <c r="G7" s="523"/>
      <c r="H7" s="520">
        <f>SUMIF(58:58,YEAR(G7)&amp;"-"&amp;MONTH(G7),59:59)</f>
        <v>0</v>
      </c>
      <c r="I7" s="523"/>
      <c r="J7" s="520">
        <f>SUMIF(58:58,YEAR(I7)&amp;"-"&amp;MONTH(I7),59:59)</f>
        <v>0</v>
      </c>
      <c r="K7" s="855"/>
      <c r="L7" s="2135"/>
      <c r="M7" s="2136"/>
      <c r="N7" s="2136"/>
      <c r="O7" s="2136"/>
      <c r="P7" s="3507" t="s">
        <v>530</v>
      </c>
      <c r="Q7" s="3509"/>
      <c r="R7" s="1568" t="s">
        <v>13</v>
      </c>
      <c r="S7" s="1569">
        <f t="shared" ref="S7:S15" si="0">F7</f>
        <v>0</v>
      </c>
      <c r="T7" s="1568" t="s">
        <v>13</v>
      </c>
      <c r="U7" s="1569">
        <f t="shared" ref="U7:U15" si="1">H7</f>
        <v>0</v>
      </c>
      <c r="V7" s="1568" t="s">
        <v>13</v>
      </c>
      <c r="W7" s="1569">
        <f t="shared" ref="W7:W15" si="2">J7</f>
        <v>0</v>
      </c>
      <c r="X7" s="1570"/>
      <c r="Y7" s="3507" t="s">
        <v>530</v>
      </c>
      <c r="Z7" s="3508"/>
      <c r="AA7" s="1571" t="e">
        <f>D7/F7</f>
        <v>#DIV/0!</v>
      </c>
      <c r="AB7" s="1571" t="e">
        <f>D7/H7</f>
        <v>#DIV/0!</v>
      </c>
      <c r="AC7" s="1571" t="e">
        <f>D7/J7</f>
        <v>#DIV/0!</v>
      </c>
    </row>
    <row r="8" spans="1:29" s="1219"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507" t="s">
        <v>533</v>
      </c>
      <c r="Q8" s="3508"/>
      <c r="R8" s="1568" t="s">
        <v>13</v>
      </c>
      <c r="S8" s="1569">
        <f t="shared" si="0"/>
        <v>0</v>
      </c>
      <c r="T8" s="1568" t="s">
        <v>13</v>
      </c>
      <c r="U8" s="1569">
        <f t="shared" si="1"/>
        <v>0</v>
      </c>
      <c r="V8" s="1568" t="s">
        <v>13</v>
      </c>
      <c r="W8" s="1569">
        <f t="shared" si="2"/>
        <v>0</v>
      </c>
      <c r="X8" s="1570"/>
      <c r="Y8" s="3507" t="s">
        <v>533</v>
      </c>
      <c r="Z8" s="3508"/>
      <c r="AA8" s="1571" t="e">
        <f t="shared" ref="AA8:AA46" si="3">D8/F8</f>
        <v>#DIV/0!</v>
      </c>
      <c r="AB8" s="1571" t="e">
        <f t="shared" ref="AB8:AB46" si="4">D8/H8</f>
        <v>#DIV/0!</v>
      </c>
      <c r="AC8" s="1571" t="e">
        <f t="shared" ref="AC8:AC46" si="5">D8/J8</f>
        <v>#DIV/0!</v>
      </c>
    </row>
    <row r="9" spans="1:29" s="1219"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473" t="s">
        <v>535</v>
      </c>
      <c r="Q9" s="1151" t="str">
        <f t="shared" ref="Q9:Q15" si="6">B9</f>
        <v>用途</v>
      </c>
      <c r="R9" s="1568" t="s">
        <v>8</v>
      </c>
      <c r="S9" s="1569">
        <f t="shared" si="0"/>
        <v>100</v>
      </c>
      <c r="T9" s="1568" t="s">
        <v>8</v>
      </c>
      <c r="U9" s="1569">
        <f t="shared" si="1"/>
        <v>100</v>
      </c>
      <c r="V9" s="1568" t="s">
        <v>8</v>
      </c>
      <c r="W9" s="1569">
        <f t="shared" si="2"/>
        <v>100</v>
      </c>
      <c r="X9" s="1570"/>
      <c r="Y9" s="3434" t="s">
        <v>536</v>
      </c>
      <c r="Z9" s="1150" t="str">
        <f t="shared" ref="Z9:Z15" si="7">Q9</f>
        <v>用途</v>
      </c>
      <c r="AA9" s="1571">
        <f t="shared" si="3"/>
        <v>1</v>
      </c>
      <c r="AB9" s="1571">
        <f t="shared" si="4"/>
        <v>1</v>
      </c>
      <c r="AC9" s="1571">
        <f t="shared" si="5"/>
        <v>1</v>
      </c>
    </row>
    <row r="10" spans="1:29" s="1337"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473"/>
      <c r="Q10" s="1151" t="str">
        <f t="shared" si="6"/>
        <v>土地使用年限（年）</v>
      </c>
      <c r="R10" s="1568" t="s">
        <v>8</v>
      </c>
      <c r="S10" s="1569">
        <f t="shared" si="0"/>
        <v>100</v>
      </c>
      <c r="T10" s="1568" t="s">
        <v>8</v>
      </c>
      <c r="U10" s="1569">
        <f t="shared" si="1"/>
        <v>100</v>
      </c>
      <c r="V10" s="1568" t="s">
        <v>8</v>
      </c>
      <c r="W10" s="1569">
        <f t="shared" si="2"/>
        <v>100</v>
      </c>
      <c r="X10" s="1570"/>
      <c r="Y10" s="3434"/>
      <c r="Z10" s="1150" t="str">
        <f t="shared" si="7"/>
        <v>土地使用年限（年）</v>
      </c>
      <c r="AA10" s="1571">
        <f t="shared" si="3"/>
        <v>1</v>
      </c>
      <c r="AB10" s="1571">
        <f t="shared" si="4"/>
        <v>1</v>
      </c>
      <c r="AC10" s="1571">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473"/>
      <c r="Q11" s="1151" t="str">
        <f t="shared" si="6"/>
        <v>容积率</v>
      </c>
      <c r="R11" s="1568" t="s">
        <v>11</v>
      </c>
      <c r="S11" s="1569" t="e">
        <f t="shared" si="0"/>
        <v>#N/A</v>
      </c>
      <c r="T11" s="1568" t="s">
        <v>11</v>
      </c>
      <c r="U11" s="1569" t="e">
        <f t="shared" si="1"/>
        <v>#N/A</v>
      </c>
      <c r="V11" s="1568" t="s">
        <v>11</v>
      </c>
      <c r="W11" s="1569" t="e">
        <f t="shared" si="2"/>
        <v>#N/A</v>
      </c>
      <c r="X11" s="1570"/>
      <c r="Y11" s="3434"/>
      <c r="Z11" s="1150" t="str">
        <f t="shared" si="7"/>
        <v>容积率</v>
      </c>
      <c r="AA11" s="1571" t="e">
        <f t="shared" si="3"/>
        <v>#N/A</v>
      </c>
      <c r="AB11" s="1571" t="e">
        <f t="shared" si="4"/>
        <v>#N/A</v>
      </c>
      <c r="AC11" s="1571" t="e">
        <f t="shared" si="5"/>
        <v>#N/A</v>
      </c>
    </row>
    <row r="12" spans="1:29" s="1219"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73"/>
      <c r="Q12" s="1151">
        <f t="shared" si="6"/>
        <v>111</v>
      </c>
      <c r="R12" s="1568" t="s">
        <v>11</v>
      </c>
      <c r="S12" s="1569">
        <f t="shared" si="0"/>
        <v>100</v>
      </c>
      <c r="T12" s="1568" t="s">
        <v>11</v>
      </c>
      <c r="U12" s="1569">
        <f t="shared" si="1"/>
        <v>100</v>
      </c>
      <c r="V12" s="1568" t="s">
        <v>11</v>
      </c>
      <c r="W12" s="1569">
        <f t="shared" si="2"/>
        <v>100</v>
      </c>
      <c r="X12" s="1570"/>
      <c r="Y12" s="3434"/>
      <c r="Z12" s="1150">
        <f t="shared" si="7"/>
        <v>111</v>
      </c>
      <c r="AA12" s="1571">
        <f>D12/F12</f>
        <v>1</v>
      </c>
      <c r="AB12" s="1571">
        <f>D12/H12</f>
        <v>1</v>
      </c>
      <c r="AC12" s="1571">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73"/>
      <c r="Q13" s="1151">
        <f t="shared" si="6"/>
        <v>111</v>
      </c>
      <c r="R13" s="1568" t="s">
        <v>11</v>
      </c>
      <c r="S13" s="1569">
        <f t="shared" si="0"/>
        <v>100</v>
      </c>
      <c r="T13" s="1568" t="s">
        <v>11</v>
      </c>
      <c r="U13" s="1569">
        <f t="shared" si="1"/>
        <v>100</v>
      </c>
      <c r="V13" s="1568" t="s">
        <v>11</v>
      </c>
      <c r="W13" s="1569">
        <f t="shared" si="2"/>
        <v>100</v>
      </c>
      <c r="X13" s="1570"/>
      <c r="Y13" s="3434"/>
      <c r="Z13" s="1150">
        <f t="shared" si="7"/>
        <v>111</v>
      </c>
      <c r="AA13" s="1571">
        <f t="shared" si="3"/>
        <v>1</v>
      </c>
      <c r="AB13" s="1571">
        <f t="shared" si="4"/>
        <v>1</v>
      </c>
      <c r="AC13" s="1571">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73"/>
      <c r="Q14" s="1151">
        <f t="shared" si="6"/>
        <v>111</v>
      </c>
      <c r="R14" s="1568" t="s">
        <v>11</v>
      </c>
      <c r="S14" s="1569">
        <f t="shared" si="0"/>
        <v>100</v>
      </c>
      <c r="T14" s="1568" t="s">
        <v>11</v>
      </c>
      <c r="U14" s="1569">
        <f t="shared" si="1"/>
        <v>100</v>
      </c>
      <c r="V14" s="1568" t="s">
        <v>11</v>
      </c>
      <c r="W14" s="1569">
        <f t="shared" si="2"/>
        <v>100</v>
      </c>
      <c r="X14" s="1570"/>
      <c r="Y14" s="3434"/>
      <c r="Z14" s="1150">
        <f t="shared" si="7"/>
        <v>111</v>
      </c>
      <c r="AA14" s="1571">
        <f t="shared" si="3"/>
        <v>1</v>
      </c>
      <c r="AB14" s="1571">
        <f t="shared" si="4"/>
        <v>1</v>
      </c>
      <c r="AC14" s="1571">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478" t="s">
        <v>540</v>
      </c>
      <c r="Q15" s="1572" t="str">
        <f t="shared" si="6"/>
        <v>居住社区成熟度</v>
      </c>
      <c r="R15" s="1573" t="s">
        <v>11</v>
      </c>
      <c r="S15" s="1574">
        <f t="shared" si="0"/>
        <v>100</v>
      </c>
      <c r="T15" s="1573" t="s">
        <v>11</v>
      </c>
      <c r="U15" s="1574">
        <f t="shared" si="1"/>
        <v>100</v>
      </c>
      <c r="V15" s="1573" t="s">
        <v>11</v>
      </c>
      <c r="W15" s="1574">
        <f t="shared" si="2"/>
        <v>100</v>
      </c>
      <c r="X15" s="1567"/>
      <c r="Y15" s="3478"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2"/>
      <c r="M16" s="2134"/>
      <c r="N16" s="2134"/>
      <c r="O16" s="2141"/>
      <c r="P16" s="3479"/>
      <c r="Q16" s="1572"/>
      <c r="R16" s="1573"/>
      <c r="S16" s="1574"/>
      <c r="T16" s="1573"/>
      <c r="U16" s="1574"/>
      <c r="V16" s="1573"/>
      <c r="W16" s="1574"/>
      <c r="X16" s="1567"/>
      <c r="Y16" s="3479"/>
      <c r="Z16" s="1575"/>
      <c r="AA16" s="1576">
        <v>1</v>
      </c>
      <c r="AB16" s="1576">
        <v>1</v>
      </c>
      <c r="AC16" s="1576">
        <v>1</v>
      </c>
    </row>
    <row r="17" spans="1:29" ht="156.75">
      <c r="A17" s="532"/>
      <c r="B17" s="871" t="s">
        <v>296</v>
      </c>
      <c r="C17" s="872" t="str">
        <f>估价对象房地状况!C6</f>
        <v>估价对象周边有445路、516路、659路、983路等多条公交线路经过，距14号线地铁（将台站）约300米，道路状况较好、公共交通通达情况较好、综合评价交通便捷度较好。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479"/>
      <c r="Q17" s="1572" t="str">
        <f>B17</f>
        <v>交通便捷度</v>
      </c>
      <c r="R17" s="1573" t="s">
        <v>11</v>
      </c>
      <c r="S17" s="1574">
        <f>F17</f>
        <v>100</v>
      </c>
      <c r="T17" s="1573" t="s">
        <v>11</v>
      </c>
      <c r="U17" s="1574">
        <f>H17</f>
        <v>100</v>
      </c>
      <c r="V17" s="1573" t="s">
        <v>11</v>
      </c>
      <c r="W17" s="1574">
        <f>J17</f>
        <v>100</v>
      </c>
      <c r="X17" s="1567"/>
      <c r="Y17" s="347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2"/>
      <c r="M18" s="2134"/>
      <c r="N18" s="2134"/>
      <c r="O18" s="2141"/>
      <c r="P18" s="3479"/>
      <c r="Q18" s="1572"/>
      <c r="R18" s="1573"/>
      <c r="S18" s="1574"/>
      <c r="T18" s="1573"/>
      <c r="U18" s="1574"/>
      <c r="V18" s="1573"/>
      <c r="W18" s="1574"/>
      <c r="X18" s="1567"/>
      <c r="Y18" s="3479"/>
      <c r="Z18" s="1575"/>
      <c r="AA18" s="1576">
        <v>1</v>
      </c>
      <c r="AB18" s="1576">
        <v>1</v>
      </c>
      <c r="AC18" s="1576">
        <v>1</v>
      </c>
    </row>
    <row r="19" spans="1:29" ht="42.75">
      <c r="A19" s="532"/>
      <c r="B19" s="2579" t="s">
        <v>2547</v>
      </c>
      <c r="C19" s="872" t="str">
        <f>估价对象房地状况!C7</f>
        <v>估价对象所在区域公共配套设施齐备度较好</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479"/>
      <c r="Q19" s="1572" t="str">
        <f>B19</f>
        <v>公共配套设施</v>
      </c>
      <c r="R19" s="1573" t="s">
        <v>11</v>
      </c>
      <c r="S19" s="1574">
        <f>F19</f>
        <v>100</v>
      </c>
      <c r="T19" s="1573" t="s">
        <v>11</v>
      </c>
      <c r="U19" s="1574">
        <f>H19</f>
        <v>100</v>
      </c>
      <c r="V19" s="1573" t="s">
        <v>11</v>
      </c>
      <c r="W19" s="1574">
        <f>J19</f>
        <v>100</v>
      </c>
      <c r="X19" s="1567"/>
      <c r="Y19" s="3479"/>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2"/>
      <c r="M20" s="2134"/>
      <c r="N20" s="2134"/>
      <c r="O20" s="2141"/>
      <c r="P20" s="3479"/>
      <c r="Q20" s="1572"/>
      <c r="R20" s="1573"/>
      <c r="S20" s="1574"/>
      <c r="T20" s="1573"/>
      <c r="U20" s="1574"/>
      <c r="V20" s="1573"/>
      <c r="W20" s="1574"/>
      <c r="X20" s="1567"/>
      <c r="Y20" s="3479"/>
      <c r="Z20" s="1575"/>
      <c r="AA20" s="1576">
        <v>1</v>
      </c>
      <c r="AB20" s="1576">
        <v>1</v>
      </c>
      <c r="AC20" s="1576">
        <v>1</v>
      </c>
    </row>
    <row r="21" spans="1:29" ht="42.75">
      <c r="A21" s="532"/>
      <c r="B21" s="2572" t="s">
        <v>2559</v>
      </c>
      <c r="C21" s="872" t="str">
        <f>估价对象房地状况!C8</f>
        <v>估价对象所在区域基础设施水平达到七通一平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479"/>
      <c r="Q21" s="2558" t="str">
        <f>B21</f>
        <v>基础设施水平</v>
      </c>
      <c r="R21" s="1573" t="s">
        <v>11</v>
      </c>
      <c r="S21" s="1574">
        <f>F21</f>
        <v>100</v>
      </c>
      <c r="T21" s="1573" t="s">
        <v>11</v>
      </c>
      <c r="U21" s="1574">
        <f>H21</f>
        <v>100</v>
      </c>
      <c r="V21" s="1573" t="s">
        <v>11</v>
      </c>
      <c r="W21" s="1574">
        <f>J21</f>
        <v>100</v>
      </c>
      <c r="X21" s="2560"/>
      <c r="Y21" s="3479"/>
      <c r="Z21" s="2559"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578"/>
      <c r="L22" s="2142"/>
      <c r="M22" s="2134"/>
      <c r="N22" s="2134"/>
      <c r="O22" s="2141"/>
      <c r="P22" s="3479"/>
      <c r="Q22" s="2558"/>
      <c r="R22" s="1573"/>
      <c r="S22" s="1574"/>
      <c r="T22" s="1573"/>
      <c r="U22" s="1574"/>
      <c r="V22" s="1573"/>
      <c r="W22" s="1574"/>
      <c r="X22" s="2560"/>
      <c r="Y22" s="3479"/>
      <c r="Z22" s="2559"/>
      <c r="AA22" s="1576">
        <v>1</v>
      </c>
      <c r="AB22" s="1576">
        <v>1</v>
      </c>
      <c r="AC22" s="1576">
        <v>1</v>
      </c>
    </row>
    <row r="23" spans="1:29" ht="57">
      <c r="A23" s="532"/>
      <c r="B23" s="871" t="s">
        <v>297</v>
      </c>
      <c r="C23" s="872" t="str">
        <f>估价对象房地状况!C9</f>
        <v>区域自然环境：；人文环境；综合评价环境状况较好</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479"/>
      <c r="Q23" s="1572" t="str">
        <f>B23</f>
        <v>自然及人文环境</v>
      </c>
      <c r="R23" s="1573" t="s">
        <v>11</v>
      </c>
      <c r="S23" s="1574">
        <f>F23</f>
        <v>100</v>
      </c>
      <c r="T23" s="1573" t="s">
        <v>11</v>
      </c>
      <c r="U23" s="1574">
        <f>H23</f>
        <v>100</v>
      </c>
      <c r="V23" s="1573" t="s">
        <v>11</v>
      </c>
      <c r="W23" s="1574">
        <f>J23</f>
        <v>100</v>
      </c>
      <c r="X23" s="1567"/>
      <c r="Y23" s="3479"/>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2"/>
      <c r="M24" s="2134"/>
      <c r="N24" s="2134"/>
      <c r="O24" s="2141"/>
      <c r="P24" s="3479"/>
      <c r="Q24" s="1572"/>
      <c r="R24" s="1573"/>
      <c r="S24" s="1574"/>
      <c r="T24" s="1573"/>
      <c r="U24" s="1574"/>
      <c r="V24" s="1573"/>
      <c r="W24" s="1574"/>
      <c r="X24" s="1567"/>
      <c r="Y24" s="3479"/>
      <c r="Z24" s="1575"/>
      <c r="AA24" s="1576">
        <v>1</v>
      </c>
      <c r="AB24" s="1576">
        <v>1</v>
      </c>
      <c r="AC24" s="1576">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79"/>
      <c r="Q25" s="1572" t="str">
        <f t="shared" ref="Q25:Q46" si="11">B25</f>
        <v>楼层-1</v>
      </c>
      <c r="R25" s="1573" t="s">
        <v>11</v>
      </c>
      <c r="S25" s="1574">
        <f>F25</f>
        <v>100</v>
      </c>
      <c r="T25" s="1573" t="s">
        <v>11</v>
      </c>
      <c r="U25" s="1574">
        <f>H25</f>
        <v>100</v>
      </c>
      <c r="V25" s="1573" t="s">
        <v>11</v>
      </c>
      <c r="W25" s="1574">
        <f>J25</f>
        <v>100</v>
      </c>
      <c r="X25" s="1567"/>
      <c r="Y25" s="3479"/>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79"/>
      <c r="Q26" s="1572" t="str">
        <f t="shared" si="11"/>
        <v>朝向</v>
      </c>
      <c r="R26" s="1573" t="s">
        <v>11</v>
      </c>
      <c r="S26" s="1574">
        <f>F26</f>
        <v>100</v>
      </c>
      <c r="T26" s="1573" t="s">
        <v>11</v>
      </c>
      <c r="U26" s="1574">
        <f>H26</f>
        <v>100</v>
      </c>
      <c r="V26" s="1573" t="s">
        <v>11</v>
      </c>
      <c r="W26" s="1574">
        <f>J26</f>
        <v>100</v>
      </c>
      <c r="X26" s="1567"/>
      <c r="Y26" s="3479"/>
      <c r="Z26" s="1575" t="str">
        <f>Q26</f>
        <v>朝向</v>
      </c>
      <c r="AA26" s="1576">
        <f t="shared" si="3"/>
        <v>1</v>
      </c>
      <c r="AB26" s="1576">
        <f t="shared" si="4"/>
        <v>1</v>
      </c>
      <c r="AC26" s="1576">
        <f t="shared" si="5"/>
        <v>1</v>
      </c>
    </row>
    <row r="27" spans="1:29" s="1219"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79"/>
      <c r="Q27" s="1151" t="str">
        <f t="shared" si="11"/>
        <v>道路级别</v>
      </c>
      <c r="R27" s="1568" t="s">
        <v>11</v>
      </c>
      <c r="S27" s="1569">
        <f>F27</f>
        <v>100</v>
      </c>
      <c r="T27" s="1568" t="s">
        <v>11</v>
      </c>
      <c r="U27" s="1569">
        <f>H27</f>
        <v>100</v>
      </c>
      <c r="V27" s="1568" t="s">
        <v>11</v>
      </c>
      <c r="W27" s="1569">
        <f>J27</f>
        <v>100</v>
      </c>
      <c r="X27" s="1570"/>
      <c r="Y27" s="3479"/>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79"/>
      <c r="Q28" s="1572">
        <f t="shared" si="11"/>
        <v>111</v>
      </c>
      <c r="R28" s="1573" t="s">
        <v>11</v>
      </c>
      <c r="S28" s="1574">
        <f t="shared" ref="S28:S46" si="12">F28</f>
        <v>100</v>
      </c>
      <c r="T28" s="1573" t="s">
        <v>11</v>
      </c>
      <c r="U28" s="1574">
        <f t="shared" ref="U28:U46" si="13">H28</f>
        <v>100</v>
      </c>
      <c r="V28" s="1573" t="s">
        <v>11</v>
      </c>
      <c r="W28" s="1574">
        <f t="shared" ref="W28:W46" si="14">J28</f>
        <v>100</v>
      </c>
      <c r="X28" s="1567"/>
      <c r="Y28" s="3479"/>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79"/>
      <c r="Q29" s="1572">
        <f t="shared" si="11"/>
        <v>111</v>
      </c>
      <c r="R29" s="1573" t="s">
        <v>11</v>
      </c>
      <c r="S29" s="1574">
        <f t="shared" si="12"/>
        <v>100</v>
      </c>
      <c r="T29" s="1573" t="s">
        <v>11</v>
      </c>
      <c r="U29" s="1574">
        <f t="shared" si="13"/>
        <v>100</v>
      </c>
      <c r="V29" s="1573" t="s">
        <v>11</v>
      </c>
      <c r="W29" s="1574">
        <f t="shared" si="14"/>
        <v>100</v>
      </c>
      <c r="X29" s="1567"/>
      <c r="Y29" s="3479"/>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79"/>
      <c r="Q30" s="1572">
        <f t="shared" si="11"/>
        <v>111</v>
      </c>
      <c r="R30" s="1573" t="s">
        <v>11</v>
      </c>
      <c r="S30" s="1574">
        <f t="shared" si="12"/>
        <v>100</v>
      </c>
      <c r="T30" s="1573" t="s">
        <v>11</v>
      </c>
      <c r="U30" s="1574">
        <f t="shared" si="13"/>
        <v>100</v>
      </c>
      <c r="V30" s="1573" t="s">
        <v>11</v>
      </c>
      <c r="W30" s="1574">
        <f t="shared" si="14"/>
        <v>100</v>
      </c>
      <c r="X30" s="1567"/>
      <c r="Y30" s="3479"/>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79"/>
      <c r="Q31" s="1572">
        <f t="shared" si="11"/>
        <v>111</v>
      </c>
      <c r="R31" s="1573" t="s">
        <v>11</v>
      </c>
      <c r="S31" s="1574">
        <f t="shared" si="12"/>
        <v>100</v>
      </c>
      <c r="T31" s="1573" t="s">
        <v>11</v>
      </c>
      <c r="U31" s="1574">
        <f t="shared" si="13"/>
        <v>100</v>
      </c>
      <c r="V31" s="1573" t="s">
        <v>11</v>
      </c>
      <c r="W31" s="1574">
        <f t="shared" si="14"/>
        <v>100</v>
      </c>
      <c r="X31" s="1567"/>
      <c r="Y31" s="3479"/>
      <c r="Z31" s="1575">
        <f t="shared" si="15"/>
        <v>111</v>
      </c>
      <c r="AA31" s="1576">
        <f t="shared" si="3"/>
        <v>1</v>
      </c>
      <c r="AB31" s="1576">
        <f t="shared" si="4"/>
        <v>1</v>
      </c>
      <c r="AC31" s="1576">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480" t="s">
        <v>550</v>
      </c>
      <c r="Q32" s="1572" t="str">
        <f t="shared" si="11"/>
        <v>建筑类型</v>
      </c>
      <c r="R32" s="1573" t="s">
        <v>11</v>
      </c>
      <c r="S32" s="1574">
        <f t="shared" si="12"/>
        <v>100</v>
      </c>
      <c r="T32" s="1573" t="s">
        <v>11</v>
      </c>
      <c r="U32" s="1574">
        <f t="shared" si="13"/>
        <v>100</v>
      </c>
      <c r="V32" s="1573" t="s">
        <v>11</v>
      </c>
      <c r="W32" s="1574">
        <f t="shared" si="14"/>
        <v>100</v>
      </c>
      <c r="X32" s="1567"/>
      <c r="Y32" s="3481" t="s">
        <v>550</v>
      </c>
      <c r="Z32" s="1575" t="str">
        <f t="shared" si="15"/>
        <v>建筑类型</v>
      </c>
      <c r="AA32" s="1576">
        <f t="shared" si="3"/>
        <v>1</v>
      </c>
      <c r="AB32" s="1576">
        <f t="shared" si="4"/>
        <v>1</v>
      </c>
      <c r="AC32" s="1576">
        <f t="shared" si="5"/>
        <v>1</v>
      </c>
    </row>
    <row r="33" spans="1:29" s="1338"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481"/>
      <c r="Q33" s="1605" t="str">
        <f t="shared" si="11"/>
        <v>项目建筑规模</v>
      </c>
      <c r="R33" s="1577" t="s">
        <v>11</v>
      </c>
      <c r="S33" s="1578" t="e">
        <f t="shared" si="12"/>
        <v>#N/A</v>
      </c>
      <c r="T33" s="1577" t="s">
        <v>11</v>
      </c>
      <c r="U33" s="1578" t="e">
        <f t="shared" si="13"/>
        <v>#N/A</v>
      </c>
      <c r="V33" s="1577" t="s">
        <v>11</v>
      </c>
      <c r="W33" s="1578" t="e">
        <f t="shared" si="14"/>
        <v>#N/A</v>
      </c>
      <c r="X33" s="1579"/>
      <c r="Y33" s="3481"/>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481"/>
      <c r="Q34" s="1572" t="str">
        <f t="shared" si="11"/>
        <v>建筑结构</v>
      </c>
      <c r="R34" s="1573" t="s">
        <v>11</v>
      </c>
      <c r="S34" s="1574">
        <f t="shared" si="12"/>
        <v>100</v>
      </c>
      <c r="T34" s="1573" t="s">
        <v>11</v>
      </c>
      <c r="U34" s="1574">
        <f t="shared" si="13"/>
        <v>100</v>
      </c>
      <c r="V34" s="1573" t="s">
        <v>11</v>
      </c>
      <c r="W34" s="1574">
        <f t="shared" si="14"/>
        <v>100</v>
      </c>
      <c r="X34" s="1567"/>
      <c r="Y34" s="3481"/>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481"/>
      <c r="Q35" s="1572" t="str">
        <f t="shared" si="11"/>
        <v>建筑品质</v>
      </c>
      <c r="R35" s="1573" t="s">
        <v>11</v>
      </c>
      <c r="S35" s="1574">
        <f t="shared" si="12"/>
        <v>100</v>
      </c>
      <c r="T35" s="1573" t="s">
        <v>11</v>
      </c>
      <c r="U35" s="1574">
        <f t="shared" si="13"/>
        <v>100</v>
      </c>
      <c r="V35" s="1573" t="s">
        <v>11</v>
      </c>
      <c r="W35" s="1574">
        <f t="shared" si="14"/>
        <v>100</v>
      </c>
      <c r="X35" s="1567"/>
      <c r="Y35" s="3481"/>
      <c r="Z35" s="1575" t="str">
        <f t="shared" si="15"/>
        <v>建筑品质</v>
      </c>
      <c r="AA35" s="1576">
        <f t="shared" si="3"/>
        <v>1</v>
      </c>
      <c r="AB35" s="1576">
        <f t="shared" si="4"/>
        <v>1</v>
      </c>
      <c r="AC35" s="1576">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481"/>
      <c r="Q36" s="1572" t="str">
        <f t="shared" si="11"/>
        <v>公共部分装修</v>
      </c>
      <c r="R36" s="1573" t="s">
        <v>11</v>
      </c>
      <c r="S36" s="1574">
        <f t="shared" si="12"/>
        <v>100</v>
      </c>
      <c r="T36" s="1573" t="s">
        <v>11</v>
      </c>
      <c r="U36" s="1574">
        <f t="shared" si="13"/>
        <v>100</v>
      </c>
      <c r="V36" s="1573" t="s">
        <v>11</v>
      </c>
      <c r="W36" s="1574">
        <f t="shared" si="14"/>
        <v>100</v>
      </c>
      <c r="X36" s="1567"/>
      <c r="Y36" s="3481"/>
      <c r="Z36" s="1575" t="str">
        <f t="shared" si="15"/>
        <v>公共部分装修</v>
      </c>
      <c r="AA36" s="1576">
        <f t="shared" si="3"/>
        <v>1</v>
      </c>
      <c r="AB36" s="1576">
        <f t="shared" si="4"/>
        <v>1</v>
      </c>
      <c r="AC36" s="1576">
        <f t="shared" si="5"/>
        <v>1</v>
      </c>
    </row>
    <row r="37" spans="1:29" s="1219"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481"/>
      <c r="Q37" s="1151" t="str">
        <f t="shared" si="11"/>
        <v>成新度</v>
      </c>
      <c r="R37" s="1568" t="s">
        <v>11</v>
      </c>
      <c r="S37" s="1569" t="e">
        <f t="shared" si="12"/>
        <v>#N/A</v>
      </c>
      <c r="T37" s="1568" t="s">
        <v>11</v>
      </c>
      <c r="U37" s="1569" t="e">
        <f t="shared" si="13"/>
        <v>#N/A</v>
      </c>
      <c r="V37" s="1568" t="s">
        <v>11</v>
      </c>
      <c r="W37" s="1569" t="e">
        <f t="shared" si="14"/>
        <v>#N/A</v>
      </c>
      <c r="X37" s="1570"/>
      <c r="Y37" s="3481"/>
      <c r="Z37" s="1150" t="str">
        <f t="shared" si="15"/>
        <v>成新度</v>
      </c>
      <c r="AA37" s="1571" t="e">
        <f t="shared" si="3"/>
        <v>#N/A</v>
      </c>
      <c r="AB37" s="1571" t="e">
        <f t="shared" si="4"/>
        <v>#N/A</v>
      </c>
      <c r="AC37" s="1571"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81" t="s">
        <v>550</v>
      </c>
      <c r="Q38" s="1572" t="str">
        <f t="shared" si="11"/>
        <v>物业管理</v>
      </c>
      <c r="R38" s="1573" t="s">
        <v>11</v>
      </c>
      <c r="S38" s="1574">
        <f t="shared" si="12"/>
        <v>100</v>
      </c>
      <c r="T38" s="1573" t="s">
        <v>11</v>
      </c>
      <c r="U38" s="1574">
        <f t="shared" si="13"/>
        <v>100</v>
      </c>
      <c r="V38" s="1573" t="s">
        <v>11</v>
      </c>
      <c r="W38" s="1574">
        <f t="shared" si="14"/>
        <v>100</v>
      </c>
      <c r="X38" s="1567"/>
      <c r="Y38" s="3481" t="s">
        <v>550</v>
      </c>
      <c r="Z38" s="1575" t="str">
        <f t="shared" si="15"/>
        <v>物业管理</v>
      </c>
      <c r="AA38" s="1576">
        <f t="shared" si="3"/>
        <v>1</v>
      </c>
      <c r="AB38" s="1576">
        <f t="shared" si="4"/>
        <v>1</v>
      </c>
      <c r="AC38" s="1576">
        <f t="shared" si="5"/>
        <v>1</v>
      </c>
    </row>
    <row r="39" spans="1:29" ht="15">
      <c r="A39" s="594"/>
      <c r="B39" s="1895"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81"/>
      <c r="Q39" s="1572" t="str">
        <f t="shared" si="11"/>
        <v>市政基础设施</v>
      </c>
      <c r="R39" s="1573" t="s">
        <v>11</v>
      </c>
      <c r="S39" s="1574">
        <f t="shared" si="12"/>
        <v>100</v>
      </c>
      <c r="T39" s="1573" t="s">
        <v>11</v>
      </c>
      <c r="U39" s="1574">
        <f t="shared" si="13"/>
        <v>100</v>
      </c>
      <c r="V39" s="1573" t="s">
        <v>11</v>
      </c>
      <c r="W39" s="1574">
        <f t="shared" si="14"/>
        <v>100</v>
      </c>
      <c r="X39" s="1567"/>
      <c r="Y39" s="3481"/>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81"/>
      <c r="Q40" s="1572" t="str">
        <f t="shared" si="11"/>
        <v>房型</v>
      </c>
      <c r="R40" s="1573" t="s">
        <v>11</v>
      </c>
      <c r="S40" s="1574">
        <f t="shared" si="12"/>
        <v>100</v>
      </c>
      <c r="T40" s="1573" t="s">
        <v>11</v>
      </c>
      <c r="U40" s="1574">
        <f t="shared" si="13"/>
        <v>100</v>
      </c>
      <c r="V40" s="1573" t="s">
        <v>11</v>
      </c>
      <c r="W40" s="1574">
        <f t="shared" si="14"/>
        <v>100</v>
      </c>
      <c r="X40" s="1567"/>
      <c r="Y40" s="3481"/>
      <c r="Z40" s="1575" t="str">
        <f t="shared" si="15"/>
        <v>房型</v>
      </c>
      <c r="AA40" s="1576">
        <f t="shared" si="3"/>
        <v>1</v>
      </c>
      <c r="AB40" s="1576">
        <f t="shared" si="4"/>
        <v>1</v>
      </c>
      <c r="AC40" s="1576">
        <f t="shared" si="5"/>
        <v>1</v>
      </c>
    </row>
    <row r="41" spans="1:29" s="1338"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81"/>
      <c r="Q41" s="1605" t="str">
        <f t="shared" si="11"/>
        <v>单套/主力户型建筑面积</v>
      </c>
      <c r="R41" s="1577" t="s">
        <v>11</v>
      </c>
      <c r="S41" s="1578">
        <f t="shared" si="12"/>
        <v>100</v>
      </c>
      <c r="T41" s="1577" t="s">
        <v>11</v>
      </c>
      <c r="U41" s="1578">
        <f t="shared" si="13"/>
        <v>100</v>
      </c>
      <c r="V41" s="1577" t="s">
        <v>11</v>
      </c>
      <c r="W41" s="1578">
        <f t="shared" si="14"/>
        <v>100</v>
      </c>
      <c r="X41" s="1579"/>
      <c r="Y41" s="3481"/>
      <c r="Z41" s="1580" t="str">
        <f t="shared" si="15"/>
        <v>单套/主力户型建筑面积</v>
      </c>
      <c r="AA41" s="1576">
        <f t="shared" si="3"/>
        <v>1</v>
      </c>
      <c r="AB41" s="1576">
        <f t="shared" si="4"/>
        <v>1</v>
      </c>
      <c r="AC41" s="1576">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481"/>
      <c r="Q42" s="1572" t="str">
        <f t="shared" si="11"/>
        <v>内部装修</v>
      </c>
      <c r="R42" s="1573" t="s">
        <v>11</v>
      </c>
      <c r="S42" s="1574">
        <f t="shared" si="12"/>
        <v>100</v>
      </c>
      <c r="T42" s="1573" t="s">
        <v>11</v>
      </c>
      <c r="U42" s="1574">
        <f t="shared" si="13"/>
        <v>100</v>
      </c>
      <c r="V42" s="1573" t="s">
        <v>11</v>
      </c>
      <c r="W42" s="1574">
        <f t="shared" si="14"/>
        <v>100</v>
      </c>
      <c r="X42" s="1567"/>
      <c r="Y42" s="3481"/>
      <c r="Z42" s="1575" t="str">
        <f t="shared" si="15"/>
        <v>内部装修</v>
      </c>
      <c r="AA42" s="1576">
        <f t="shared" si="3"/>
        <v>1</v>
      </c>
      <c r="AB42" s="1576">
        <f t="shared" si="4"/>
        <v>1</v>
      </c>
      <c r="AC42" s="1576">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81"/>
      <c r="Q43" s="1572" t="str">
        <f t="shared" si="11"/>
        <v>内部装修维护情况</v>
      </c>
      <c r="R43" s="1573" t="s">
        <v>11</v>
      </c>
      <c r="S43" s="1574">
        <f t="shared" si="12"/>
        <v>100</v>
      </c>
      <c r="T43" s="1573" t="s">
        <v>11</v>
      </c>
      <c r="U43" s="1574">
        <f t="shared" si="13"/>
        <v>100</v>
      </c>
      <c r="V43" s="1573" t="s">
        <v>11</v>
      </c>
      <c r="W43" s="1574">
        <f t="shared" si="14"/>
        <v>100</v>
      </c>
      <c r="X43" s="1567"/>
      <c r="Y43" s="3481"/>
      <c r="Z43" s="1575" t="str">
        <f t="shared" si="15"/>
        <v>内部装修维护情况</v>
      </c>
      <c r="AA43" s="1576">
        <f t="shared" si="3"/>
        <v>1</v>
      </c>
      <c r="AB43" s="1576">
        <f t="shared" si="4"/>
        <v>1</v>
      </c>
      <c r="AC43" s="1576">
        <f t="shared" si="5"/>
        <v>1</v>
      </c>
    </row>
    <row r="44" spans="1:29" s="1219"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81"/>
      <c r="Q44" s="1151">
        <f t="shared" si="11"/>
        <v>111</v>
      </c>
      <c r="R44" s="1568" t="s">
        <v>11</v>
      </c>
      <c r="S44" s="1569">
        <f t="shared" si="12"/>
        <v>100</v>
      </c>
      <c r="T44" s="1568" t="s">
        <v>11</v>
      </c>
      <c r="U44" s="1569">
        <f t="shared" si="13"/>
        <v>100</v>
      </c>
      <c r="V44" s="1568" t="s">
        <v>11</v>
      </c>
      <c r="W44" s="1569">
        <f t="shared" si="14"/>
        <v>100</v>
      </c>
      <c r="X44" s="1570"/>
      <c r="Y44" s="3481"/>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81"/>
      <c r="Q45" s="1572">
        <f t="shared" si="11"/>
        <v>111</v>
      </c>
      <c r="R45" s="1573" t="s">
        <v>11</v>
      </c>
      <c r="S45" s="1574">
        <f t="shared" si="12"/>
        <v>100</v>
      </c>
      <c r="T45" s="1573" t="s">
        <v>11</v>
      </c>
      <c r="U45" s="1574">
        <f t="shared" si="13"/>
        <v>100</v>
      </c>
      <c r="V45" s="1573" t="s">
        <v>11</v>
      </c>
      <c r="W45" s="1574">
        <f t="shared" si="14"/>
        <v>100</v>
      </c>
      <c r="X45" s="1567"/>
      <c r="Y45" s="3481"/>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82"/>
      <c r="Q46" s="1572">
        <f t="shared" si="11"/>
        <v>111</v>
      </c>
      <c r="R46" s="1573" t="s">
        <v>10</v>
      </c>
      <c r="S46" s="1574">
        <f t="shared" si="12"/>
        <v>100</v>
      </c>
      <c r="T46" s="1573" t="s">
        <v>10</v>
      </c>
      <c r="U46" s="1574">
        <f t="shared" si="13"/>
        <v>100</v>
      </c>
      <c r="V46" s="1573" t="s">
        <v>10</v>
      </c>
      <c r="W46" s="1574">
        <f t="shared" si="14"/>
        <v>100</v>
      </c>
      <c r="X46" s="1567"/>
      <c r="Y46" s="3482"/>
      <c r="Z46" s="1575">
        <f t="shared" si="15"/>
        <v>111</v>
      </c>
      <c r="AA46" s="1576">
        <f t="shared" si="3"/>
        <v>1</v>
      </c>
      <c r="AB46" s="1576">
        <f t="shared" si="4"/>
        <v>1</v>
      </c>
      <c r="AC46" s="1576">
        <f t="shared" si="5"/>
        <v>1</v>
      </c>
    </row>
    <row r="47" spans="1:29" ht="15">
      <c r="A47" s="607" t="s">
        <v>736</v>
      </c>
      <c r="B47" s="887"/>
      <c r="C47" s="2606" t="s">
        <v>9</v>
      </c>
      <c r="D47" s="2607"/>
      <c r="E47" s="2608"/>
      <c r="F47" s="2609"/>
      <c r="G47" s="2610"/>
      <c r="H47" s="2611"/>
      <c r="I47" s="2608"/>
      <c r="J47" s="2611"/>
      <c r="K47" s="1606"/>
      <c r="L47" s="2144"/>
      <c r="M47" s="2145"/>
      <c r="N47" s="2134"/>
      <c r="O47" s="2145"/>
      <c r="P47" s="3473" t="str">
        <f>A47</f>
        <v>成交单价（元/平方米）</v>
      </c>
      <c r="Q47" s="3473"/>
      <c r="R47" s="3474">
        <f>E47</f>
        <v>0</v>
      </c>
      <c r="S47" s="3474"/>
      <c r="T47" s="3474">
        <f>G47</f>
        <v>0</v>
      </c>
      <c r="U47" s="3474"/>
      <c r="V47" s="3474">
        <f>I47</f>
        <v>0</v>
      </c>
      <c r="W47" s="3474"/>
      <c r="X47" s="1559"/>
      <c r="Y47" s="1581"/>
      <c r="Z47" s="1559"/>
      <c r="AA47" s="1559"/>
      <c r="AB47" s="1559"/>
      <c r="AC47" s="1559"/>
    </row>
    <row r="48" spans="1:29" ht="15.75" thickBot="1">
      <c r="A48" s="615" t="s">
        <v>2761</v>
      </c>
      <c r="B48" s="888"/>
      <c r="C48" s="2612" t="e">
        <f>R49</f>
        <v>#DIV/0!</v>
      </c>
      <c r="D48" s="2613"/>
      <c r="E48" s="2614" t="e">
        <f>R48</f>
        <v>#DIV/0!</v>
      </c>
      <c r="F48" s="2614"/>
      <c r="G48" s="2612" t="e">
        <f>T48</f>
        <v>#DIV/0!</v>
      </c>
      <c r="H48" s="2613"/>
      <c r="I48" s="2614" t="e">
        <f>V48</f>
        <v>#DIV/0!</v>
      </c>
      <c r="J48" s="2613"/>
      <c r="K48" s="1607"/>
      <c r="L48" s="2144"/>
      <c r="M48" s="2145"/>
      <c r="N48" s="2145"/>
      <c r="O48" s="2145"/>
      <c r="P48" s="3473" t="str">
        <f>A48</f>
        <v>比较价格（元/平方米）</v>
      </c>
      <c r="Q48" s="3473"/>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59"/>
      <c r="Y48" s="1559"/>
      <c r="Z48" s="1559"/>
      <c r="AA48" s="1559"/>
      <c r="AB48" s="1559"/>
      <c r="AC48" s="1559"/>
    </row>
    <row r="49" spans="1:29" ht="15.75" thickBot="1">
      <c r="A49" s="621" t="s">
        <v>2932</v>
      </c>
      <c r="B49" s="622"/>
      <c r="C49" s="2615" t="e">
        <f>R49</f>
        <v>#DIV/0!</v>
      </c>
      <c r="D49" s="2615"/>
      <c r="E49" s="2615"/>
      <c r="F49" s="2615"/>
      <c r="G49" s="2615"/>
      <c r="H49" s="2615"/>
      <c r="I49" s="2615"/>
      <c r="J49" s="2615"/>
      <c r="K49" s="1608"/>
      <c r="L49" s="2144"/>
      <c r="M49" s="2145"/>
      <c r="N49" s="2145"/>
      <c r="O49" s="2145"/>
      <c r="P49" s="3475" t="str">
        <f>A49</f>
        <v>估价对象XX用房的比较价格（楼面单价，元/平方米）</v>
      </c>
      <c r="Q49" s="3476"/>
      <c r="R49" s="3477" t="e">
        <f>IF(F1="售价",ROUND(AVERAGE(R48:V48),0),ROUND(AVERAGE(R48:V48),1))</f>
        <v>#DIV/0!</v>
      </c>
      <c r="S49" s="3477"/>
      <c r="T49" s="3477"/>
      <c r="U49" s="3477"/>
      <c r="V49" s="3477"/>
      <c r="W49" s="3477"/>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5" t="s">
        <v>529</v>
      </c>
      <c r="B58" s="646"/>
      <c r="C58" s="2783" t="str">
        <f>YEAR(C7)&amp;"-"&amp;MONTH(C7)</f>
        <v>2018-10</v>
      </c>
      <c r="D58" s="2783">
        <f>EDATE(C58,-1)</f>
        <v>43344</v>
      </c>
      <c r="E58" s="2783">
        <f t="shared" ref="E58:O58" si="16">EDATE(D58,-1)</f>
        <v>43313</v>
      </c>
      <c r="F58" s="2783">
        <f t="shared" si="16"/>
        <v>43282</v>
      </c>
      <c r="G58" s="2783">
        <f t="shared" si="16"/>
        <v>43252</v>
      </c>
      <c r="H58" s="2783">
        <f t="shared" si="16"/>
        <v>43221</v>
      </c>
      <c r="I58" s="2783">
        <f t="shared" si="16"/>
        <v>43191</v>
      </c>
      <c r="J58" s="2783">
        <f t="shared" si="16"/>
        <v>43160</v>
      </c>
      <c r="K58" s="2783">
        <f t="shared" si="16"/>
        <v>43132</v>
      </c>
      <c r="L58" s="2783">
        <f t="shared" si="16"/>
        <v>43101</v>
      </c>
      <c r="M58" s="2783">
        <f t="shared" si="16"/>
        <v>43070</v>
      </c>
      <c r="N58" s="2783">
        <f t="shared" si="16"/>
        <v>43040</v>
      </c>
      <c r="O58" s="2783">
        <f t="shared" si="16"/>
        <v>43009</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zoomScaleNormal="100" zoomScaleSheetLayoutView="100" zoomScalePageLayoutView="80" workbookViewId="0">
      <selection activeCell="C8" sqref="C8:C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2056</v>
      </c>
      <c r="B1" s="1776"/>
      <c r="C1" s="1804" t="s">
        <v>2057</v>
      </c>
      <c r="D1" s="1805" t="s">
        <v>3008</v>
      </c>
      <c r="E1" s="1804" t="s">
        <v>2058</v>
      </c>
      <c r="F1" s="1806" t="s">
        <v>3009</v>
      </c>
      <c r="G1" s="311"/>
      <c r="H1" s="311"/>
      <c r="I1" s="311"/>
      <c r="J1" s="2028"/>
      <c r="K1" s="2028"/>
      <c r="L1" s="2028"/>
      <c r="M1" s="2028"/>
      <c r="N1" s="2028"/>
      <c r="O1" s="2028"/>
      <c r="P1" s="2028"/>
      <c r="Q1" s="2028"/>
      <c r="R1" s="2028"/>
      <c r="S1" s="2028"/>
      <c r="T1" s="2028"/>
      <c r="U1" s="2028"/>
      <c r="V1" s="2028"/>
    </row>
    <row r="2" spans="1:22" ht="21.75" customHeight="1" thickBot="1">
      <c r="A2" s="3443" t="str">
        <f>项目基本情况!K2</f>
        <v>北京市国有建设用地使用权</v>
      </c>
      <c r="B2" s="3444"/>
      <c r="C2" s="3445"/>
      <c r="D2" s="3445"/>
      <c r="E2" s="3445"/>
      <c r="F2" s="3445"/>
      <c r="G2" s="3444"/>
      <c r="H2" s="3444"/>
      <c r="I2" s="3446"/>
      <c r="J2" s="2029"/>
      <c r="K2" s="2028"/>
      <c r="L2" s="2028"/>
      <c r="M2" s="2028"/>
      <c r="N2" s="2028"/>
      <c r="O2" s="2028"/>
      <c r="P2" s="2028"/>
      <c r="Q2" s="2028"/>
      <c r="R2" s="2028"/>
      <c r="S2" s="2028"/>
      <c r="T2" s="2028"/>
      <c r="U2" s="2028"/>
      <c r="V2" s="2028"/>
    </row>
    <row r="3" spans="1:22" ht="14.25">
      <c r="A3" s="3447" t="s">
        <v>298</v>
      </c>
      <c r="B3" s="3448"/>
      <c r="C3" s="3448"/>
      <c r="D3" s="3448"/>
      <c r="E3" s="3448"/>
      <c r="F3" s="3448"/>
      <c r="G3" s="3448"/>
      <c r="H3" s="3448"/>
      <c r="I3" s="3448"/>
      <c r="J3" s="2029"/>
      <c r="K3" s="2028"/>
      <c r="L3" s="2028"/>
      <c r="M3" s="2028"/>
      <c r="N3" s="2028"/>
      <c r="O3" s="2028"/>
      <c r="P3" s="2028"/>
      <c r="Q3" s="2028"/>
      <c r="R3" s="2028"/>
      <c r="S3" s="2028"/>
      <c r="T3" s="2028"/>
      <c r="U3" s="2028"/>
      <c r="V3" s="2028"/>
    </row>
    <row r="4" spans="1:22" ht="14.25">
      <c r="A4" s="258" t="s">
        <v>299</v>
      </c>
      <c r="B4" s="259" t="s">
        <v>300</v>
      </c>
      <c r="C4" s="260" t="s">
        <v>3012</v>
      </c>
      <c r="D4" s="260" t="s">
        <v>3013</v>
      </c>
      <c r="E4" s="3397" t="s">
        <v>301</v>
      </c>
      <c r="F4" s="3399"/>
      <c r="G4" s="3399"/>
      <c r="H4" s="3399"/>
      <c r="I4" s="3398"/>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基准地价系数修正法</v>
      </c>
      <c r="N4" s="2028"/>
      <c r="O4" s="2028"/>
      <c r="P4" s="2028"/>
      <c r="Q4" s="2028"/>
      <c r="R4" s="2028"/>
      <c r="S4" s="2028"/>
      <c r="T4" s="2028"/>
      <c r="U4" s="2028"/>
      <c r="V4" s="2028"/>
    </row>
    <row r="5" spans="1:22" ht="14.25">
      <c r="A5" s="3433" t="s">
        <v>302</v>
      </c>
      <c r="B5" s="3434">
        <v>25</v>
      </c>
      <c r="C5" s="3435">
        <f>'结果表-商业'!C5:C7</f>
        <v>6</v>
      </c>
      <c r="D5" s="3437">
        <f>10-C5</f>
        <v>4</v>
      </c>
      <c r="E5" s="261" t="s">
        <v>303</v>
      </c>
      <c r="F5" s="262"/>
      <c r="G5" s="262"/>
      <c r="H5" s="262"/>
      <c r="I5" s="263"/>
      <c r="J5" s="2029"/>
      <c r="K5" s="2028"/>
      <c r="L5" s="2028"/>
      <c r="M5" s="2028"/>
      <c r="N5" s="2028"/>
      <c r="O5" s="2028"/>
      <c r="P5" s="2028"/>
      <c r="Q5" s="2028"/>
      <c r="R5" s="2028"/>
      <c r="S5" s="2028"/>
      <c r="T5" s="2028"/>
      <c r="U5" s="2028"/>
      <c r="V5" s="2028"/>
    </row>
    <row r="6" spans="1:22" ht="14.25">
      <c r="A6" s="3433"/>
      <c r="B6" s="3434"/>
      <c r="C6" s="3438"/>
      <c r="D6" s="3437"/>
      <c r="E6" s="261" t="s">
        <v>304</v>
      </c>
      <c r="F6" s="262"/>
      <c r="G6" s="262"/>
      <c r="H6" s="262"/>
      <c r="I6" s="263"/>
      <c r="J6" s="2029"/>
      <c r="K6" s="2028"/>
      <c r="L6" s="2028"/>
      <c r="M6" s="2028"/>
      <c r="N6" s="2028"/>
      <c r="O6" s="2028"/>
      <c r="P6" s="2028"/>
      <c r="Q6" s="2028"/>
      <c r="R6" s="2028"/>
      <c r="S6" s="2028"/>
      <c r="T6" s="2028"/>
      <c r="U6" s="2028"/>
      <c r="V6" s="2028"/>
    </row>
    <row r="7" spans="1:22" ht="14.25">
      <c r="A7" s="3433"/>
      <c r="B7" s="3434"/>
      <c r="C7" s="3436"/>
      <c r="D7" s="3437"/>
      <c r="E7" s="261" t="s">
        <v>305</v>
      </c>
      <c r="F7" s="262"/>
      <c r="G7" s="262"/>
      <c r="H7" s="262"/>
      <c r="I7" s="263"/>
      <c r="J7" s="2029"/>
      <c r="K7" s="2028"/>
      <c r="L7" s="2028"/>
      <c r="M7" s="2028"/>
      <c r="N7" s="2028"/>
      <c r="O7" s="2028"/>
      <c r="P7" s="2028"/>
      <c r="Q7" s="2028"/>
      <c r="R7" s="2028"/>
      <c r="S7" s="2028"/>
      <c r="T7" s="2028"/>
      <c r="U7" s="2028"/>
      <c r="V7" s="2028"/>
    </row>
    <row r="8" spans="1:22" ht="14.25">
      <c r="A8" s="3433" t="s">
        <v>306</v>
      </c>
      <c r="B8" s="3434">
        <v>15</v>
      </c>
      <c r="C8" s="3435"/>
      <c r="D8" s="3437"/>
      <c r="E8" s="261" t="s">
        <v>307</v>
      </c>
      <c r="F8" s="262"/>
      <c r="G8" s="262"/>
      <c r="H8" s="262"/>
      <c r="I8" s="263"/>
      <c r="J8" s="2029"/>
      <c r="K8" s="2028"/>
      <c r="L8" s="2028"/>
      <c r="M8" s="2028"/>
      <c r="N8" s="2028"/>
      <c r="O8" s="2028"/>
      <c r="P8" s="2028"/>
      <c r="Q8" s="2028"/>
      <c r="R8" s="2028"/>
      <c r="S8" s="2028"/>
      <c r="T8" s="2028"/>
      <c r="U8" s="2028"/>
      <c r="V8" s="2028"/>
    </row>
    <row r="9" spans="1:22" ht="14.25">
      <c r="A9" s="3433"/>
      <c r="B9" s="3434"/>
      <c r="C9" s="3436"/>
      <c r="D9" s="3437"/>
      <c r="E9" s="261" t="s">
        <v>308</v>
      </c>
      <c r="F9" s="262"/>
      <c r="G9" s="262"/>
      <c r="H9" s="262"/>
      <c r="I9" s="263"/>
      <c r="J9" s="2029"/>
      <c r="K9" s="2028"/>
      <c r="L9" s="2028"/>
      <c r="M9" s="2028"/>
      <c r="N9" s="2028"/>
      <c r="O9" s="2028"/>
      <c r="P9" s="2028"/>
      <c r="Q9" s="2028"/>
      <c r="R9" s="2028"/>
      <c r="S9" s="2028"/>
      <c r="T9" s="2028"/>
      <c r="U9" s="2028"/>
      <c r="V9" s="2028"/>
    </row>
    <row r="10" spans="1:22" ht="14.25">
      <c r="A10" s="3433" t="s">
        <v>309</v>
      </c>
      <c r="B10" s="3434">
        <v>15</v>
      </c>
      <c r="C10" s="3435"/>
      <c r="D10" s="3437"/>
      <c r="E10" s="261" t="s">
        <v>310</v>
      </c>
      <c r="F10" s="262"/>
      <c r="G10" s="262"/>
      <c r="H10" s="262"/>
      <c r="I10" s="263"/>
      <c r="J10" s="2029"/>
      <c r="K10" s="2028"/>
      <c r="L10" s="2028"/>
      <c r="M10" s="2028"/>
      <c r="N10" s="2028"/>
      <c r="O10" s="2028"/>
      <c r="P10" s="2028"/>
      <c r="Q10" s="2028"/>
      <c r="R10" s="2028"/>
      <c r="S10" s="2028"/>
      <c r="T10" s="2028"/>
      <c r="U10" s="2028"/>
      <c r="V10" s="2028"/>
    </row>
    <row r="11" spans="1:22" ht="14.25">
      <c r="A11" s="3433"/>
      <c r="B11" s="3434"/>
      <c r="C11" s="3436"/>
      <c r="D11" s="3437"/>
      <c r="E11" s="261" t="s">
        <v>311</v>
      </c>
      <c r="F11" s="262"/>
      <c r="G11" s="262"/>
      <c r="H11" s="262"/>
      <c r="I11" s="263"/>
      <c r="J11" s="2029"/>
      <c r="K11" s="2028"/>
      <c r="L11" s="2028"/>
      <c r="M11" s="2028"/>
      <c r="N11" s="2028"/>
      <c r="O11" s="2028"/>
      <c r="P11" s="2028"/>
      <c r="Q11" s="2028"/>
      <c r="R11" s="2028"/>
      <c r="S11" s="2028"/>
      <c r="T11" s="2028"/>
      <c r="U11" s="2028"/>
      <c r="V11" s="2028"/>
    </row>
    <row r="12" spans="1:22" ht="14.25">
      <c r="A12" s="3433" t="s">
        <v>312</v>
      </c>
      <c r="B12" s="3434">
        <v>15</v>
      </c>
      <c r="C12" s="3435"/>
      <c r="D12" s="3437"/>
      <c r="E12" s="261" t="s">
        <v>313</v>
      </c>
      <c r="F12" s="262"/>
      <c r="G12" s="262"/>
      <c r="H12" s="262"/>
      <c r="I12" s="263"/>
      <c r="J12" s="2029"/>
      <c r="K12" s="2028"/>
      <c r="L12" s="2028"/>
      <c r="M12" s="2028"/>
      <c r="N12" s="2028"/>
      <c r="O12" s="2028"/>
      <c r="P12" s="2028"/>
      <c r="Q12" s="2028"/>
      <c r="R12" s="2028"/>
      <c r="S12" s="2028"/>
      <c r="T12" s="2028"/>
      <c r="U12" s="2028"/>
      <c r="V12" s="2028"/>
    </row>
    <row r="13" spans="1:22" ht="14.25">
      <c r="A13" s="3433"/>
      <c r="B13" s="3434"/>
      <c r="C13" s="3436"/>
      <c r="D13" s="3437"/>
      <c r="E13" s="261" t="s">
        <v>314</v>
      </c>
      <c r="F13" s="262"/>
      <c r="G13" s="262"/>
      <c r="H13" s="262"/>
      <c r="I13" s="263"/>
      <c r="J13" s="2029"/>
      <c r="K13" s="2028"/>
      <c r="L13" s="2028"/>
      <c r="M13" s="2028"/>
      <c r="N13" s="2028"/>
      <c r="O13" s="2028"/>
      <c r="P13" s="2028"/>
      <c r="Q13" s="2028"/>
      <c r="R13" s="2028"/>
      <c r="S13" s="2028"/>
      <c r="T13" s="2028"/>
      <c r="U13" s="2028"/>
      <c r="V13" s="2028"/>
    </row>
    <row r="14" spans="1:22" ht="14.25">
      <c r="A14" s="3433" t="s">
        <v>315</v>
      </c>
      <c r="B14" s="3434">
        <v>30</v>
      </c>
      <c r="C14" s="3435"/>
      <c r="D14" s="3437"/>
      <c r="E14" s="261" t="s">
        <v>316</v>
      </c>
      <c r="F14" s="262"/>
      <c r="G14" s="262"/>
      <c r="H14" s="262"/>
      <c r="I14" s="263"/>
      <c r="J14" s="2029"/>
      <c r="K14" s="2028"/>
      <c r="L14" s="2028"/>
      <c r="M14" s="2028"/>
      <c r="N14" s="2028"/>
      <c r="O14" s="2028"/>
      <c r="P14" s="2028"/>
      <c r="Q14" s="2028"/>
      <c r="R14" s="2028"/>
      <c r="S14" s="2028"/>
      <c r="T14" s="2028"/>
      <c r="U14" s="2028"/>
      <c r="V14" s="2028"/>
    </row>
    <row r="15" spans="1:22" ht="14.25">
      <c r="A15" s="3433"/>
      <c r="B15" s="3434"/>
      <c r="C15" s="3438"/>
      <c r="D15" s="3437"/>
      <c r="E15" s="261" t="s">
        <v>317</v>
      </c>
      <c r="F15" s="262"/>
      <c r="G15" s="262"/>
      <c r="H15" s="262"/>
      <c r="I15" s="263"/>
      <c r="J15" s="2029"/>
      <c r="K15" s="2028"/>
      <c r="L15" s="2028"/>
      <c r="M15" s="2028"/>
      <c r="N15" s="2028"/>
      <c r="O15" s="2028"/>
      <c r="P15" s="2028"/>
      <c r="Q15" s="2028"/>
      <c r="R15" s="2028"/>
      <c r="S15" s="2028"/>
      <c r="T15" s="2028"/>
      <c r="U15" s="2028"/>
      <c r="V15" s="2028"/>
    </row>
    <row r="16" spans="1:22" ht="14.25">
      <c r="A16" s="3433"/>
      <c r="B16" s="3434"/>
      <c r="C16" s="3436"/>
      <c r="D16" s="3437"/>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6</v>
      </c>
      <c r="D17" s="265">
        <f>SUM(D5:D16)</f>
        <v>4</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0.6</v>
      </c>
      <c r="D18" s="267">
        <f>1-C18</f>
        <v>0.4</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SUMIF(INDIRECT("'"&amp;C4&amp;"'"&amp;"!A:A"),'结果表-办公'!B19,INDIRECT("'"&amp;C4&amp;"'"&amp;"!B:B"))</f>
        <v>655759</v>
      </c>
      <c r="D19" s="271">
        <f ca="1">SUMIF(INDIRECT("'"&amp;D4&amp;"'"&amp;"!A:A"),'结果表-办公'!B19,INDIRECT("'"&amp;D4&amp;"'"&amp;"!B:B"))</f>
        <v>535640</v>
      </c>
      <c r="E19" s="268" t="s">
        <v>323</v>
      </c>
      <c r="F19" s="269" t="s">
        <v>322</v>
      </c>
      <c r="G19" s="272">
        <f ca="1">ROUND(C19*$C$18+D19*$D$18,0)</f>
        <v>607711</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SUMIF(INDIRECT("'"&amp;C4&amp;"'"&amp;"!A:A"),'结果表-办公'!B20,INDIRECT("'"&amp;C4&amp;"'"&amp;"!B:B"))</f>
        <v>20815</v>
      </c>
      <c r="D20" s="277">
        <f ca="1">SUMIF(INDIRECT("'"&amp;D4&amp;"'"&amp;"!A:A"),'结果表-办公'!B20,INDIRECT("'"&amp;D4&amp;"'"&amp;"!B:B"))</f>
        <v>17002</v>
      </c>
      <c r="E20" s="274"/>
      <c r="F20" s="275" t="s">
        <v>325</v>
      </c>
      <c r="G20" s="278">
        <f ca="1">ROUND(C20*$C$18+D20*$D$18,0)</f>
        <v>19290</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SUMIF(INDIRECT("'"&amp;C4&amp;"'"&amp;"!A:A"),'结果表-办公'!B21,INDIRECT("'"&amp;C4&amp;"'"&amp;"!B:B"))</f>
        <v>106468</v>
      </c>
      <c r="D21" s="151">
        <f ca="1">SUMIF(INDIRECT("'"&amp;D4&amp;"'"&amp;"!A:A"),'结果表-办公'!B21,INDIRECT("'"&amp;D4&amp;"'"&amp;"!B:B"))</f>
        <v>86966</v>
      </c>
      <c r="E21" s="274"/>
      <c r="F21" s="280" t="s">
        <v>327</v>
      </c>
      <c r="G21" s="282">
        <f ca="1">ROUND(C21*$C$18+D21*$D$18,0)</f>
        <v>98667</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0.22425322978119633</v>
      </c>
      <c r="E22" s="284"/>
      <c r="F22" s="285"/>
      <c r="G22" s="286">
        <f ca="1">ROUND(G19/('数据-汇总表'!D3/666.67),0)</f>
        <v>5174</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439"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440"/>
      <c r="B25" s="1320" t="s">
        <v>331</v>
      </c>
      <c r="C25" s="290">
        <f>IF(B30=0,0,C30)</f>
        <v>0</v>
      </c>
      <c r="D25" s="291"/>
      <c r="E25" s="311"/>
      <c r="F25" s="311"/>
      <c r="G25" s="311"/>
      <c r="H25" s="311"/>
      <c r="I25" s="311"/>
      <c r="J25" s="2028"/>
      <c r="K25" s="1254" t="str">
        <f ca="1">项目基本情况!B16&amp;"国有建设用地使用权价格："&amp;O38&amp;"万元"</f>
        <v>国有建设用地使用权价格：607711万元</v>
      </c>
      <c r="L25" s="1255"/>
      <c r="M25" s="1255"/>
      <c r="N25" s="1255"/>
      <c r="O25" s="1256"/>
      <c r="P25" s="2028"/>
      <c r="Q25" s="2028"/>
      <c r="R25" s="2028"/>
      <c r="S25" s="2028"/>
      <c r="T25" s="2028"/>
      <c r="U25" s="2028"/>
      <c r="V25" s="2028"/>
    </row>
    <row r="26" spans="1:26" s="1253" customFormat="1" ht="18">
      <c r="A26" s="293" t="s">
        <v>332</v>
      </c>
      <c r="B26" s="294" t="s">
        <v>333</v>
      </c>
      <c r="C26" s="294" t="s">
        <v>334</v>
      </c>
      <c r="D26" s="295" t="s">
        <v>335</v>
      </c>
      <c r="E26" s="311"/>
      <c r="F26" s="311"/>
      <c r="G26" s="311"/>
      <c r="H26" s="311"/>
      <c r="I26" s="311"/>
      <c r="J26" s="2028"/>
      <c r="K26" s="1257" t="str">
        <f ca="1">"大写金额：人民币"&amp;NUMBERSTRING(INT(O38*10000),2)&amp;"元整"</f>
        <v>大写金额：人民币陆拾亿柒仟柒佰壹拾壹万元整</v>
      </c>
      <c r="L26" s="1251"/>
      <c r="M26" s="1251"/>
      <c r="N26" s="1251"/>
      <c r="O26" s="1250"/>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7" t="str">
        <f ca="1">"单位面积地价："&amp;M38&amp;"元/平方米"</f>
        <v>单位面积地价：77614元/平方米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楼面地价：15174元/平方米</v>
      </c>
      <c r="L28" s="1251"/>
      <c r="M28" s="1251"/>
      <c r="N28" s="1251"/>
      <c r="O28" s="1250"/>
      <c r="P28" s="2028"/>
      <c r="V28" s="2028"/>
    </row>
    <row r="29" spans="1:26" ht="18">
      <c r="A29" s="293"/>
      <c r="B29" s="294"/>
      <c r="C29" s="294"/>
      <c r="D29" s="295"/>
      <c r="E29" s="311"/>
      <c r="F29" s="311"/>
      <c r="G29" s="311"/>
      <c r="H29" s="311"/>
      <c r="I29" s="311"/>
      <c r="J29" s="2028"/>
      <c r="K29" s="1257" t="str">
        <f>IF(OR(项目基本情况!E8="抵押价格",项目基本情况!E8="已注销及未注销"),"抵押价格："&amp;O39&amp;"万元","——")</f>
        <v>——</v>
      </c>
      <c r="L29" s="1251"/>
      <c r="M29" s="1251"/>
      <c r="N29" s="1251"/>
      <c r="O29" s="1250"/>
      <c r="P29" s="2028"/>
      <c r="V29" s="2028"/>
    </row>
    <row r="30" spans="1:26" ht="18.75" thickBot="1">
      <c r="A30" s="3105" t="s">
        <v>336</v>
      </c>
      <c r="B30" s="309"/>
      <c r="C30" s="309"/>
      <c r="D30" s="310"/>
      <c r="E30" s="3106" t="s">
        <v>2966</v>
      </c>
      <c r="F30" s="311"/>
      <c r="G30" s="311"/>
      <c r="H30" s="311"/>
      <c r="I30" s="311"/>
      <c r="J30" s="2028"/>
      <c r="K30" s="1257" t="str">
        <f>IF(K29="——","——","大写金额：人民币"&amp;NUMBERSTRING(INT(O39*10000),2)&amp;"元整")</f>
        <v>——</v>
      </c>
      <c r="L30" s="1251"/>
      <c r="M30" s="1251"/>
      <c r="N30" s="1251"/>
      <c r="O30" s="1250"/>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抵押担保权已注销时的抵押价格：——万元</v>
      </c>
      <c r="L31" s="2443"/>
      <c r="M31" s="2443"/>
      <c r="N31" s="2443"/>
      <c r="O31" s="2444"/>
      <c r="P31" s="2028"/>
      <c r="V31" s="2028"/>
    </row>
    <row r="32" spans="1:26" ht="18.75" thickBot="1">
      <c r="A32" s="268" t="s">
        <v>337</v>
      </c>
      <c r="B32" s="1381" t="s">
        <v>1689</v>
      </c>
      <c r="C32" s="1382">
        <f ca="1">G19-C24</f>
        <v>607711</v>
      </c>
      <c r="D32" s="1383" t="s">
        <v>1690</v>
      </c>
      <c r="E32" s="311"/>
      <c r="F32" s="311"/>
      <c r="G32" s="311"/>
      <c r="H32" s="311"/>
      <c r="I32" s="311"/>
      <c r="J32" s="2028"/>
      <c r="K32" s="2442" t="e">
        <f>IF(K31="——","——","大写金额：人民币"&amp;NUMBERSTRING(INT(O40*10000),2)&amp;"元整")</f>
        <v>#VALUE!</v>
      </c>
      <c r="L32" s="2445"/>
      <c r="M32" s="2445"/>
      <c r="N32" s="2445"/>
      <c r="O32" s="2446"/>
      <c r="P32" s="2028"/>
      <c r="V32" s="2028"/>
    </row>
    <row r="33" spans="1:26" ht="18.75" thickBot="1">
      <c r="A33" s="298" t="s">
        <v>340</v>
      </c>
      <c r="B33" s="1384" t="s">
        <v>1691</v>
      </c>
      <c r="C33" s="264">
        <f ca="1">ROUND(C32*10000/'数据-汇总表'!E3,0)</f>
        <v>15174</v>
      </c>
      <c r="D33" s="1385" t="s">
        <v>1692</v>
      </c>
      <c r="E33" s="3439" t="s">
        <v>338</v>
      </c>
      <c r="F33" s="296" t="s">
        <v>339</v>
      </c>
      <c r="G33" s="297"/>
      <c r="H33" s="980"/>
      <c r="I33" s="1258"/>
      <c r="J33" s="2028"/>
      <c r="K33" s="1257" t="str">
        <f>IF(项目基本情况!E9="——","——","抵押净值："&amp;C46&amp;"万元")</f>
        <v>抵押净值：——万元</v>
      </c>
      <c r="L33" s="1251"/>
      <c r="M33" s="1251"/>
      <c r="N33" s="1251"/>
      <c r="O33" s="1250"/>
      <c r="P33" s="2028"/>
      <c r="V33" s="2028"/>
    </row>
    <row r="34" spans="1:26" s="1253" customFormat="1" ht="18.75" thickBot="1">
      <c r="A34" s="300"/>
      <c r="B34" s="1386" t="s">
        <v>1693</v>
      </c>
      <c r="C34" s="264">
        <f ca="1">ROUND(C32*10000/'数据-汇总表'!D3,0)</f>
        <v>77614</v>
      </c>
      <c r="D34" s="1387" t="s">
        <v>1692</v>
      </c>
      <c r="E34" s="3441"/>
      <c r="F34" s="127" t="s">
        <v>341</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8"/>
      <c r="C35" s="1389">
        <f ca="1">ROUND(C32/('数据-汇总表'!D3/666.67),0)</f>
        <v>5174</v>
      </c>
      <c r="D35" s="1390" t="s">
        <v>1694</v>
      </c>
      <c r="E35" s="3442"/>
      <c r="F35" s="301" t="s">
        <v>342</v>
      </c>
      <c r="G35" s="982"/>
      <c r="H35" s="981" t="s">
        <v>343</v>
      </c>
      <c r="I35" s="311"/>
      <c r="J35" s="2028"/>
      <c r="K35" s="3430" t="s">
        <v>350</v>
      </c>
      <c r="L35" s="3430" t="s">
        <v>351</v>
      </c>
      <c r="M35" s="1263" t="s">
        <v>352</v>
      </c>
      <c r="N35" s="3430" t="s">
        <v>353</v>
      </c>
      <c r="O35" s="3430" t="s">
        <v>354</v>
      </c>
      <c r="P35" s="2028"/>
      <c r="V35" s="2028"/>
    </row>
    <row r="36" spans="1:26" ht="16.5" customHeight="1">
      <c r="A36" s="303" t="s">
        <v>344</v>
      </c>
      <c r="B36" s="304" t="s">
        <v>333</v>
      </c>
      <c r="C36" s="305" t="s">
        <v>345</v>
      </c>
      <c r="D36" s="305" t="s">
        <v>346</v>
      </c>
      <c r="E36" s="306" t="s">
        <v>347</v>
      </c>
      <c r="F36" s="311"/>
      <c r="G36" s="311"/>
      <c r="H36" s="311"/>
      <c r="I36" s="311"/>
      <c r="J36" s="2030"/>
      <c r="K36" s="3431"/>
      <c r="L36" s="3431"/>
      <c r="M36" s="1265" t="s">
        <v>355</v>
      </c>
      <c r="N36" s="3431"/>
      <c r="O36" s="3431"/>
      <c r="P36" s="2028"/>
      <c r="V36" s="2028"/>
    </row>
    <row r="37" spans="1:26" ht="16.5" customHeight="1" thickBot="1">
      <c r="A37" s="1259" t="s">
        <v>348</v>
      </c>
      <c r="B37" s="307"/>
      <c r="C37" s="294"/>
      <c r="D37" s="294"/>
      <c r="E37" s="295"/>
      <c r="F37" s="311"/>
      <c r="G37" s="311"/>
      <c r="H37" s="311"/>
      <c r="I37" s="311"/>
      <c r="J37" s="2030"/>
      <c r="K37" s="3432"/>
      <c r="L37" s="3432"/>
      <c r="M37" s="1266"/>
      <c r="N37" s="3432"/>
      <c r="O37" s="3432"/>
      <c r="P37" s="2028"/>
      <c r="V37" s="2028"/>
    </row>
    <row r="38" spans="1:26" ht="16.5" customHeight="1" thickBot="1">
      <c r="A38" s="1259" t="s">
        <v>349</v>
      </c>
      <c r="B38" s="307"/>
      <c r="C38" s="294"/>
      <c r="D38" s="294"/>
      <c r="E38" s="295"/>
      <c r="F38" s="311"/>
      <c r="G38" s="311"/>
      <c r="H38" s="311"/>
      <c r="I38" s="311"/>
      <c r="J38" s="2030"/>
      <c r="K38" s="1267">
        <f>'数据-汇总表'!D3</f>
        <v>78298.679999999993</v>
      </c>
      <c r="L38" s="1268">
        <f>'数据-汇总表'!E3</f>
        <v>400500</v>
      </c>
      <c r="M38" s="1268">
        <f ca="1">C34</f>
        <v>77614</v>
      </c>
      <c r="N38" s="1268">
        <f ca="1">C33</f>
        <v>15174</v>
      </c>
      <c r="O38" s="1269">
        <f ca="1">C32</f>
        <v>607711</v>
      </c>
      <c r="P38" s="2028"/>
      <c r="V38" s="2028"/>
    </row>
    <row r="39" spans="1:26" ht="16.5" customHeight="1" thickBot="1">
      <c r="A39" s="1264"/>
      <c r="B39" s="308"/>
      <c r="C39" s="309"/>
      <c r="D39" s="309"/>
      <c r="E39" s="310"/>
      <c r="F39" s="311"/>
      <c r="G39" s="311"/>
      <c r="H39" s="311"/>
      <c r="I39" s="311"/>
      <c r="J39" s="2030"/>
      <c r="K39" s="3412" t="str">
        <f>MID(A44,3,LEN(A44)-2)</f>
        <v/>
      </c>
      <c r="L39" s="3413"/>
      <c r="M39" s="3413"/>
      <c r="N39" s="3414"/>
      <c r="O39" s="1392" t="str">
        <f>C44</f>
        <v>——</v>
      </c>
      <c r="P39" s="2028"/>
      <c r="V39" s="2028"/>
    </row>
    <row r="40" spans="1:26" ht="19.5" thickBot="1">
      <c r="A40" s="104" t="s">
        <v>873</v>
      </c>
      <c r="B40" s="311"/>
      <c r="C40" s="311"/>
      <c r="D40" s="311"/>
      <c r="E40" s="311"/>
      <c r="F40" s="311"/>
      <c r="G40" s="311"/>
      <c r="H40" s="311"/>
      <c r="I40" s="311"/>
      <c r="J40" s="2030"/>
      <c r="K40" s="3412" t="str">
        <f t="shared" ref="K40:K41" si="0">MID(A45,3,LEN(A45)-2)</f>
        <v/>
      </c>
      <c r="L40" s="3413"/>
      <c r="M40" s="3413"/>
      <c r="N40" s="3414"/>
      <c r="O40" s="1392" t="str">
        <f>C45</f>
        <v>——</v>
      </c>
      <c r="P40" s="2028"/>
      <c r="V40" s="2028"/>
    </row>
    <row r="41" spans="1:26" ht="16.5" thickBot="1">
      <c r="A41" s="312" t="s">
        <v>356</v>
      </c>
      <c r="B41" s="313"/>
      <c r="C41" s="314" t="s">
        <v>357</v>
      </c>
      <c r="D41" s="315" t="s">
        <v>358</v>
      </c>
      <c r="E41" s="315" t="s">
        <v>359</v>
      </c>
      <c r="F41" s="316" t="s">
        <v>360</v>
      </c>
      <c r="G41" s="311"/>
      <c r="H41" s="311"/>
      <c r="I41" s="311"/>
      <c r="J41" s="2030"/>
      <c r="K41" s="3412" t="str">
        <f t="shared" si="0"/>
        <v/>
      </c>
      <c r="L41" s="3413"/>
      <c r="M41" s="3413"/>
      <c r="N41" s="3414"/>
      <c r="O41" s="1392" t="str">
        <f>C46</f>
        <v>——</v>
      </c>
      <c r="P41" s="2028"/>
      <c r="V41" s="2028"/>
    </row>
    <row r="42" spans="1:26" ht="29.25">
      <c r="A42" s="3415" t="s">
        <v>2068</v>
      </c>
      <c r="B42" s="3416"/>
      <c r="C42" s="264">
        <f ca="1">C32</f>
        <v>607711</v>
      </c>
      <c r="D42" s="317">
        <f ca="1">C33</f>
        <v>15174</v>
      </c>
      <c r="E42" s="317">
        <f ca="1">C34</f>
        <v>77614</v>
      </c>
      <c r="F42" s="318">
        <f ca="1">C35</f>
        <v>5174</v>
      </c>
      <c r="G42" s="311"/>
      <c r="H42" s="311"/>
      <c r="I42" s="319"/>
      <c r="J42" s="2030"/>
      <c r="K42" s="1270" t="s">
        <v>361</v>
      </c>
      <c r="L42" s="2047" t="s">
        <v>362</v>
      </c>
      <c r="M42" s="1271" t="s">
        <v>363</v>
      </c>
      <c r="N42" s="2048" t="s">
        <v>364</v>
      </c>
      <c r="O42" s="2049" t="s">
        <v>365</v>
      </c>
      <c r="P42" s="2028"/>
      <c r="V42" s="2028"/>
    </row>
    <row r="43" spans="1:26" ht="18">
      <c r="A43" s="3417" t="s">
        <v>2731</v>
      </c>
      <c r="B43" s="3418"/>
      <c r="C43" s="264">
        <f>IF(H33="正常操作",G33+G34+G35,G34+G35)</f>
        <v>0</v>
      </c>
      <c r="D43" s="317" t="s">
        <v>43</v>
      </c>
      <c r="E43" s="317" t="s">
        <v>44</v>
      </c>
      <c r="F43" s="318" t="s">
        <v>44</v>
      </c>
      <c r="G43" s="2845" t="s">
        <v>952</v>
      </c>
      <c r="H43" s="311"/>
      <c r="I43" s="319"/>
      <c r="J43" s="2030"/>
      <c r="K43" s="1272" t="str">
        <f>C4</f>
        <v>剩余法-办公</v>
      </c>
      <c r="L43" s="1273">
        <f ca="1">IF(L42="估价结果/万元",C19,C20)</f>
        <v>655759</v>
      </c>
      <c r="M43" s="1274">
        <f>C18</f>
        <v>0.6</v>
      </c>
      <c r="N43" s="1275">
        <f ca="1">IF(N42="测算结果/万元",G19,G20)</f>
        <v>607711</v>
      </c>
      <c r="O43" s="1276">
        <f ca="1">IF(O42="最终结果/万元",C32,C33)</f>
        <v>607711</v>
      </c>
      <c r="P43" s="2028"/>
      <c r="V43" s="2028"/>
    </row>
    <row r="44" spans="1:26" ht="30.75" thickBot="1">
      <c r="A44" s="3415" t="str">
        <f>IF(OR(项目基本情况!E8="抵押价格",项目基本情况!E8="已注销及未注销"),"3.抵押价格","——")</f>
        <v>——</v>
      </c>
      <c r="B44" s="3416"/>
      <c r="C44" s="264" t="str">
        <f>IF(A44="——","——",C42-C43)</f>
        <v>——</v>
      </c>
      <c r="D44" s="317" t="e">
        <f>ROUND(C44*10000/'数据-汇总表'!E3,0)</f>
        <v>#VALUE!</v>
      </c>
      <c r="E44" s="317" t="e">
        <f>ROUND(C44*10000/'数据-汇总表'!D3,0)</f>
        <v>#VALUE!</v>
      </c>
      <c r="F44" s="318" t="e">
        <f>ROUND(C44/('数据-汇总表'!D3/666.67),0)</f>
        <v>#VALUE!</v>
      </c>
      <c r="G44" s="311"/>
      <c r="H44" s="311"/>
      <c r="I44" s="319"/>
      <c r="J44" s="2030"/>
      <c r="K44" s="1277" t="str">
        <f>D4</f>
        <v>基准地价-办公</v>
      </c>
      <c r="L44" s="1278">
        <f ca="1">IF(L42="估价结果/万元",D19,D20)</f>
        <v>535640</v>
      </c>
      <c r="M44" s="1279">
        <f>D18</f>
        <v>0.4</v>
      </c>
      <c r="N44" s="1280"/>
      <c r="O44" s="1281"/>
      <c r="P44" s="2028"/>
      <c r="V44" s="2028"/>
    </row>
    <row r="45" spans="1:26" ht="15">
      <c r="A45" s="3419" t="str">
        <f>IF(项目基本情况!E8="已注销及未注销","4.抵押担保权已注销时的抵押价格",IF(项目基本情况!E8="已注销","3.抵押担保权已注销时的抵押价格","——"))</f>
        <v>——</v>
      </c>
      <c r="B45" s="3420"/>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421" t="str">
        <f>IF(项目基本情况!E9="抵押净值",IF(A45="——","4.抵押净值","5.抵押净值"),"——")</f>
        <v>——</v>
      </c>
      <c r="B46" s="3422"/>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2"/>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423" t="s">
        <v>374</v>
      </c>
      <c r="B63" s="3424"/>
      <c r="C63" s="3425"/>
      <c r="D63" s="341">
        <f ca="1">ROUND(C42*F63,0)</f>
        <v>364627</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426" t="s">
        <v>378</v>
      </c>
      <c r="B64" s="3427"/>
      <c r="C64" s="3427"/>
      <c r="D64" s="3427"/>
      <c r="E64" s="3427"/>
      <c r="F64" s="3427"/>
      <c r="G64" s="3428"/>
      <c r="H64" s="1287"/>
      <c r="I64" s="948"/>
      <c r="J64" s="1990"/>
      <c r="K64" s="1561"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7"/>
      <c r="I65" s="948"/>
      <c r="J65" s="1990"/>
      <c r="K65" s="1288"/>
      <c r="L65" s="1289"/>
      <c r="M65" s="1289"/>
      <c r="N65" s="1321" t="s">
        <v>379</v>
      </c>
      <c r="O65" s="1322"/>
      <c r="P65" s="1323"/>
      <c r="Q65" s="2028"/>
      <c r="R65" s="2028"/>
      <c r="S65" s="2028"/>
      <c r="T65" s="2028"/>
      <c r="U65" s="2028"/>
      <c r="V65" s="2028"/>
    </row>
    <row r="66" spans="1:22" ht="25.5">
      <c r="A66" s="3429" t="s">
        <v>386</v>
      </c>
      <c r="B66" s="3396"/>
      <c r="C66" s="3396"/>
      <c r="D66" s="261">
        <f ca="1">IF(H66="情况1",0,IF(H66="情况2",D70,IF(H66="情况3",D71,IF(H66="情况4",D72))))</f>
        <v>19447</v>
      </c>
      <c r="E66" s="993" t="str">
        <f>IF(H66="情况4","(销售额-原购置价)×税（费）率","销售额×税（费）率")</f>
        <v>销售额×税（费）率</v>
      </c>
      <c r="F66" s="350">
        <f>IF(H66="情况1","免征",'数据-取费表'!B41)</f>
        <v>5.6000000000000001E-2</v>
      </c>
      <c r="G66" s="351" t="s">
        <v>387</v>
      </c>
      <c r="H66" s="191" t="s">
        <v>388</v>
      </c>
      <c r="I66" s="1287"/>
      <c r="J66" s="2034"/>
      <c r="K66" s="1290">
        <v>1</v>
      </c>
      <c r="L66" s="3410" t="s">
        <v>385</v>
      </c>
      <c r="M66" s="3411"/>
      <c r="N66" s="2437"/>
      <c r="O66" s="2438"/>
      <c r="P66" s="2439"/>
      <c r="Q66" s="2028"/>
      <c r="R66" s="2028"/>
      <c r="S66" s="2028"/>
      <c r="T66" s="2028"/>
      <c r="U66" s="2028"/>
      <c r="V66" s="2028"/>
    </row>
    <row r="67" spans="1:22" ht="25.5" customHeight="1">
      <c r="A67" s="352" t="s">
        <v>390</v>
      </c>
      <c r="B67" s="3383" t="s">
        <v>391</v>
      </c>
      <c r="C67" s="3383"/>
      <c r="D67" s="353">
        <v>0</v>
      </c>
      <c r="E67" s="41" t="s">
        <v>392</v>
      </c>
      <c r="F67" s="62" t="s">
        <v>21</v>
      </c>
      <c r="G67" s="3402"/>
      <c r="H67" s="311"/>
      <c r="I67" s="1291"/>
      <c r="J67" s="2035"/>
      <c r="K67" s="1976">
        <v>2</v>
      </c>
      <c r="L67" s="3405" t="s">
        <v>389</v>
      </c>
      <c r="M67" s="3405"/>
      <c r="N67" s="1324">
        <f>'数据-取费表'!B2</f>
        <v>43388</v>
      </c>
      <c r="O67" s="1324"/>
      <c r="P67" s="1324"/>
      <c r="Q67" s="2028"/>
      <c r="R67" s="2028"/>
      <c r="S67" s="2028"/>
      <c r="T67" s="2028"/>
      <c r="U67" s="2028"/>
      <c r="V67" s="2028"/>
    </row>
    <row r="68" spans="1:22" ht="25.5" customHeight="1">
      <c r="A68" s="354"/>
      <c r="B68" s="3383" t="s">
        <v>394</v>
      </c>
      <c r="C68" s="3383"/>
      <c r="D68" s="355"/>
      <c r="E68" s="77"/>
      <c r="F68" s="356"/>
      <c r="G68" s="3403"/>
      <c r="H68" s="311"/>
      <c r="I68" s="1291"/>
      <c r="J68" s="2035"/>
      <c r="K68" s="1976">
        <v>3</v>
      </c>
      <c r="L68" s="3405" t="s">
        <v>393</v>
      </c>
      <c r="M68" s="3405"/>
      <c r="N68" s="1292">
        <f ca="1">C42</f>
        <v>607711</v>
      </c>
      <c r="O68" s="1292"/>
      <c r="P68" s="1292"/>
      <c r="Q68" s="2028"/>
      <c r="R68" s="2028"/>
      <c r="S68" s="2028"/>
      <c r="T68" s="2028"/>
      <c r="U68" s="2028"/>
      <c r="V68" s="2028"/>
    </row>
    <row r="69" spans="1:22" ht="12" customHeight="1">
      <c r="A69" s="357"/>
      <c r="B69" s="3383" t="s">
        <v>395</v>
      </c>
      <c r="C69" s="3383"/>
      <c r="D69" s="358"/>
      <c r="E69" s="73"/>
      <c r="F69" s="356"/>
      <c r="G69" s="3404"/>
      <c r="H69" s="311"/>
      <c r="I69" s="1291"/>
      <c r="J69" s="2035"/>
      <c r="K69" s="1293">
        <v>4</v>
      </c>
      <c r="L69" s="3406" t="s">
        <v>2882</v>
      </c>
      <c r="M69" s="3407"/>
      <c r="N69" s="1294" t="str">
        <f>C44</f>
        <v>——</v>
      </c>
      <c r="O69" s="1294"/>
      <c r="P69" s="1294"/>
      <c r="Q69" s="2028"/>
      <c r="R69" s="2028"/>
      <c r="S69" s="2028"/>
      <c r="T69" s="2028"/>
      <c r="U69" s="2028"/>
      <c r="V69" s="2028"/>
    </row>
    <row r="70" spans="1:22" ht="24" customHeight="1">
      <c r="A70" s="359" t="s">
        <v>396</v>
      </c>
      <c r="B70" s="3383" t="s">
        <v>397</v>
      </c>
      <c r="C70" s="3383"/>
      <c r="D70" s="358">
        <f ca="1">ROUND(D63*'数据-取费表'!B41/(1+'数据-取费表'!C42),0)</f>
        <v>19447</v>
      </c>
      <c r="E70" s="17" t="s">
        <v>398</v>
      </c>
      <c r="F70" s="360">
        <f>'数据-取费表'!B41</f>
        <v>5.6000000000000001E-2</v>
      </c>
      <c r="G70" s="361"/>
      <c r="H70" s="311"/>
      <c r="I70" s="1291"/>
      <c r="J70" s="2035"/>
      <c r="K70" s="3038"/>
      <c r="L70" s="3039"/>
      <c r="M70" s="3039"/>
      <c r="N70" s="3040" t="s">
        <v>2887</v>
      </c>
      <c r="O70" s="3039"/>
      <c r="P70" s="3041"/>
      <c r="Q70" s="2028"/>
      <c r="R70" s="2028"/>
      <c r="S70" s="2028"/>
      <c r="T70" s="2028"/>
      <c r="U70" s="2028"/>
      <c r="V70" s="2028"/>
    </row>
    <row r="71" spans="1:22" ht="12" customHeight="1">
      <c r="A71" s="359" t="s">
        <v>404</v>
      </c>
      <c r="B71" s="3382" t="s">
        <v>405</v>
      </c>
      <c r="C71" s="3408"/>
      <c r="D71" s="358">
        <f ca="1">ROUND(D63*'数据-取费表'!B41/(1+'数据-取费表'!C42),0)</f>
        <v>19447</v>
      </c>
      <c r="E71" s="17" t="s">
        <v>398</v>
      </c>
      <c r="F71" s="360">
        <f>'数据-取费表'!B41</f>
        <v>5.6000000000000001E-2</v>
      </c>
      <c r="G71" s="361"/>
      <c r="H71" s="311"/>
      <c r="I71" s="1291"/>
      <c r="J71" s="2035"/>
      <c r="K71" s="3037" t="s">
        <v>399</v>
      </c>
      <c r="L71" s="3409" t="s">
        <v>400</v>
      </c>
      <c r="M71" s="3409"/>
      <c r="N71" s="3037" t="s">
        <v>401</v>
      </c>
      <c r="O71" s="3037" t="s">
        <v>402</v>
      </c>
      <c r="P71" s="3037" t="s">
        <v>403</v>
      </c>
      <c r="Q71" s="2028"/>
      <c r="R71" s="2028"/>
      <c r="S71" s="2028"/>
      <c r="T71" s="2028"/>
      <c r="U71" s="2028"/>
      <c r="V71" s="2028"/>
    </row>
    <row r="72" spans="1:22" ht="12" customHeight="1">
      <c r="A72" s="359" t="s">
        <v>407</v>
      </c>
      <c r="B72" s="3382" t="s">
        <v>408</v>
      </c>
      <c r="C72" s="3408"/>
      <c r="D72" s="358">
        <f ca="1">C86</f>
        <v>19335</v>
      </c>
      <c r="E72" s="73" t="s">
        <v>409</v>
      </c>
      <c r="F72" s="360">
        <f>'数据-取费表'!B41</f>
        <v>5.6000000000000001E-2</v>
      </c>
      <c r="G72" s="361"/>
      <c r="H72" s="1297"/>
      <c r="I72" s="1291"/>
      <c r="J72" s="2035"/>
      <c r="K72" s="1976">
        <v>1</v>
      </c>
      <c r="L72" s="3391" t="s">
        <v>406</v>
      </c>
      <c r="M72" s="3391"/>
      <c r="N72" s="1295">
        <f ca="1">D66</f>
        <v>19447</v>
      </c>
      <c r="O72" s="1859" t="str">
        <f>E66</f>
        <v>销售额×税（费）率</v>
      </c>
      <c r="P72" s="1296">
        <f>F66</f>
        <v>5.6000000000000001E-2</v>
      </c>
      <c r="Q72" s="2028"/>
      <c r="R72" s="2028"/>
      <c r="S72" s="2028"/>
      <c r="T72" s="2028"/>
      <c r="U72" s="2028"/>
      <c r="V72" s="2028"/>
    </row>
    <row r="73" spans="1:22" ht="24" customHeight="1">
      <c r="A73" s="3395" t="s">
        <v>411</v>
      </c>
      <c r="B73" s="3396"/>
      <c r="C73" s="3396"/>
      <c r="D73" s="362">
        <f>IF(H73="个人住宅",0,ROUND(D63*I73,0))</f>
        <v>0</v>
      </c>
      <c r="E73" s="17" t="s">
        <v>412</v>
      </c>
      <c r="F73" s="360" t="str">
        <f>IF(H73="正常",I73,"免征")</f>
        <v>免征</v>
      </c>
      <c r="G73" s="361"/>
      <c r="H73" s="191" t="s">
        <v>2456</v>
      </c>
      <c r="I73" s="360">
        <f>'数据-取费表'!B49</f>
        <v>5.0000000000000001E-4</v>
      </c>
      <c r="J73" s="2035"/>
      <c r="K73" s="1976">
        <v>2</v>
      </c>
      <c r="L73" s="3391" t="s">
        <v>410</v>
      </c>
      <c r="M73" s="3391"/>
      <c r="N73" s="1295">
        <f t="shared" ref="N73:P74" si="1">D73</f>
        <v>0</v>
      </c>
      <c r="O73" s="1859" t="str">
        <f t="shared" si="1"/>
        <v>销售额×税（费）率</v>
      </c>
      <c r="P73" s="1296" t="str">
        <f t="shared" si="1"/>
        <v>免征</v>
      </c>
      <c r="Q73" s="2028"/>
      <c r="R73" s="2028"/>
      <c r="S73" s="2028"/>
      <c r="T73" s="2028"/>
      <c r="U73" s="2028"/>
      <c r="V73" s="2028"/>
    </row>
    <row r="74" spans="1:22" ht="24.75">
      <c r="A74" s="3395" t="s">
        <v>415</v>
      </c>
      <c r="B74" s="3396"/>
      <c r="C74" s="3396"/>
      <c r="D74" s="362">
        <f ca="1">IF(H74="个人住宅",D75,D76)</f>
        <v>205723</v>
      </c>
      <c r="E74" s="17" t="s">
        <v>416</v>
      </c>
      <c r="F74" s="360" t="str">
        <f>IF(H74="正常",F76,"免征")</f>
        <v>——</v>
      </c>
      <c r="G74" s="983" t="s">
        <v>417</v>
      </c>
      <c r="H74" s="363" t="s">
        <v>413</v>
      </c>
      <c r="I74" s="42"/>
      <c r="J74" s="2035"/>
      <c r="K74" s="1976">
        <v>3</v>
      </c>
      <c r="L74" s="3391" t="s">
        <v>414</v>
      </c>
      <c r="M74" s="3391"/>
      <c r="N74" s="1295">
        <f t="shared" ca="1" si="1"/>
        <v>205723</v>
      </c>
      <c r="O74" s="1859" t="str">
        <f t="shared" si="1"/>
        <v>增值额×税（费）率</v>
      </c>
      <c r="P74" s="1298" t="str">
        <f t="shared" si="1"/>
        <v>——</v>
      </c>
      <c r="Q74" s="2028"/>
      <c r="R74" s="2028"/>
      <c r="S74" s="2028"/>
      <c r="T74" s="2028"/>
      <c r="U74" s="2028"/>
      <c r="V74" s="2028"/>
    </row>
    <row r="75" spans="1:22" ht="24">
      <c r="A75" s="359" t="s">
        <v>418</v>
      </c>
      <c r="B75" s="3397" t="s">
        <v>419</v>
      </c>
      <c r="C75" s="3398"/>
      <c r="D75" s="364">
        <v>0</v>
      </c>
      <c r="E75" s="41" t="s">
        <v>420</v>
      </c>
      <c r="F75" s="365"/>
      <c r="G75" s="361"/>
      <c r="H75" s="42"/>
      <c r="I75" s="42"/>
      <c r="J75" s="2035"/>
      <c r="K75" s="3030">
        <f>IF(H77="非个人房产","",4)</f>
        <v>4</v>
      </c>
      <c r="L75" s="3391" t="str">
        <f>IF(H77="非个人房产","——","个人所得税")</f>
        <v>个人所得税</v>
      </c>
      <c r="M75" s="3391"/>
      <c r="N75" s="1299">
        <f ca="1">D77</f>
        <v>3646</v>
      </c>
      <c r="O75" s="1872" t="str">
        <f>E77</f>
        <v>销售额×税（费）率</v>
      </c>
      <c r="P75" s="1300">
        <f>F77</f>
        <v>0.01</v>
      </c>
      <c r="Q75" s="2028"/>
      <c r="R75" s="2028"/>
      <c r="S75" s="2028"/>
      <c r="T75" s="2028"/>
      <c r="U75" s="2028"/>
      <c r="V75" s="2028"/>
    </row>
    <row r="76" spans="1:22" ht="24.75">
      <c r="A76" s="359" t="s">
        <v>396</v>
      </c>
      <c r="B76" s="3397" t="s">
        <v>422</v>
      </c>
      <c r="C76" s="3399"/>
      <c r="D76" s="362">
        <f ca="1">IF(H76="转让取得",C99,C115)</f>
        <v>205723</v>
      </c>
      <c r="E76" s="17" t="s">
        <v>423</v>
      </c>
      <c r="F76" s="53" t="s">
        <v>21</v>
      </c>
      <c r="G76" s="361"/>
      <c r="H76" s="363" t="s">
        <v>424</v>
      </c>
      <c r="I76" s="42"/>
      <c r="J76" s="2035"/>
      <c r="K76" s="3030" t="str">
        <f>IF(项目基本情况!K6="上海银行",IF(K75="",4,K75+1),"")</f>
        <v/>
      </c>
      <c r="L76" s="3400" t="str">
        <f>IF(项目基本情况!K6="上海银行","其他处置费用","")</f>
        <v/>
      </c>
      <c r="M76" s="3401"/>
      <c r="N76" s="1295" t="str">
        <f>IF(项目基本情况!K6="上海银行",N89,"")</f>
        <v/>
      </c>
      <c r="O76" s="3386" t="str">
        <f>IF(项目基本情况!K6="上海银行","包含处置中涉及的律师、诉讼、拍卖、评估等费用","")</f>
        <v/>
      </c>
      <c r="P76" s="3387"/>
      <c r="Q76" s="2028"/>
      <c r="R76" s="2028"/>
      <c r="S76" s="2028"/>
      <c r="T76" s="2028"/>
      <c r="U76" s="2028"/>
      <c r="V76" s="2028"/>
    </row>
    <row r="77" spans="1:22" ht="26.25" thickBot="1">
      <c r="A77" s="3388" t="s">
        <v>426</v>
      </c>
      <c r="B77" s="3389"/>
      <c r="C77" s="3389"/>
      <c r="D77" s="366">
        <f ca="1">IF(H77="非个人房产","——",IF(H77="个人住宅",0,ROUND(D63*I77,0)))</f>
        <v>3646</v>
      </c>
      <c r="E77" s="367" t="str">
        <f>IF(H77="非个人房产","——","销售额×税（费）率")</f>
        <v>销售额×税（费）率</v>
      </c>
      <c r="F77" s="368">
        <f>IF(H77="非个人房产","——",IF(H77="个人住宅","免征",I77))</f>
        <v>0.01</v>
      </c>
      <c r="G77" s="984" t="s">
        <v>417</v>
      </c>
      <c r="H77" s="363" t="s">
        <v>2883</v>
      </c>
      <c r="I77" s="369">
        <v>0.01</v>
      </c>
      <c r="J77" s="2035"/>
      <c r="K77" s="3390">
        <f>IF(AND(K75="",K76=""),4,IF(项目基本情况!K6="上海银行",K76+1,K75+1))</f>
        <v>5</v>
      </c>
      <c r="L77" s="3391" t="s">
        <v>2884</v>
      </c>
      <c r="M77" s="3036" t="s">
        <v>421</v>
      </c>
      <c r="N77" s="1301"/>
      <c r="O77" s="1302">
        <f ca="1">SUMIF(N72:N76,"&lt;9e307")</f>
        <v>228816</v>
      </c>
      <c r="P77" s="1303"/>
      <c r="Q77" s="3034" t="e">
        <f ca="1">O77/N69</f>
        <v>#VALUE!</v>
      </c>
      <c r="R77" s="2028"/>
      <c r="S77" s="2028"/>
      <c r="T77" s="2028"/>
      <c r="U77" s="2028"/>
      <c r="V77" s="2028"/>
    </row>
    <row r="78" spans="1:22" ht="12" customHeight="1">
      <c r="A78" s="1304"/>
      <c r="B78" s="311"/>
      <c r="C78" s="311"/>
      <c r="D78" s="311"/>
      <c r="E78" s="42"/>
      <c r="F78" s="42"/>
      <c r="G78" s="42"/>
      <c r="H78" s="1003"/>
      <c r="I78" s="311"/>
      <c r="J78" s="2035"/>
      <c r="K78" s="3390"/>
      <c r="L78" s="3391"/>
      <c r="M78" s="3036" t="s">
        <v>425</v>
      </c>
      <c r="N78" s="1301"/>
      <c r="O78" s="1302" t="str">
        <f ca="1">NUMBERSTRING(INT(O77*10000),2)&amp;"元整"</f>
        <v>贰拾贰亿捌仟捌佰壹拾陆万元整</v>
      </c>
      <c r="P78" s="1303"/>
      <c r="Q78" s="2028"/>
      <c r="R78" s="2028"/>
      <c r="S78" s="2028"/>
      <c r="T78" s="2028"/>
      <c r="U78" s="2028"/>
      <c r="V78" s="2028"/>
    </row>
    <row r="79" spans="1:22" ht="13.5" thickBot="1">
      <c r="A79" s="3392" t="s">
        <v>427</v>
      </c>
      <c r="B79" s="3392"/>
      <c r="C79" s="3392"/>
      <c r="D79" s="3392"/>
      <c r="E79" s="3392"/>
      <c r="F79" s="42"/>
      <c r="G79" s="42"/>
      <c r="H79" s="1003"/>
      <c r="I79" s="311"/>
      <c r="J79" s="2035"/>
      <c r="K79" s="3393">
        <f>K77+1</f>
        <v>6</v>
      </c>
      <c r="L79" s="3391" t="s">
        <v>2885</v>
      </c>
      <c r="M79" s="3036" t="s">
        <v>421</v>
      </c>
      <c r="N79" s="1301"/>
      <c r="O79" s="1302" t="e">
        <f ca="1">N69-O77</f>
        <v>#VALUE!</v>
      </c>
      <c r="P79" s="1303"/>
      <c r="Q79" s="2028"/>
      <c r="R79" s="2028"/>
      <c r="S79" s="2028"/>
      <c r="T79" s="2028"/>
      <c r="U79" s="2028"/>
      <c r="V79" s="2028"/>
    </row>
    <row r="80" spans="1:22" ht="12.75">
      <c r="A80" s="3380" t="s">
        <v>428</v>
      </c>
      <c r="B80" s="3381"/>
      <c r="C80" s="994"/>
      <c r="D80" s="994" t="s">
        <v>429</v>
      </c>
      <c r="E80" s="370" t="s">
        <v>430</v>
      </c>
      <c r="F80" s="42"/>
      <c r="G80" s="42"/>
      <c r="H80" s="1003"/>
      <c r="I80" s="311"/>
      <c r="J80" s="2028"/>
      <c r="K80" s="3394"/>
      <c r="L80" s="3391"/>
      <c r="M80" s="3036" t="s">
        <v>425</v>
      </c>
      <c r="N80" s="1301"/>
      <c r="O80" s="1302" t="e">
        <f ca="1">NUMBERSTRING(INT(O79*10000),2)&amp;"元整"</f>
        <v>#VALUE!</v>
      </c>
      <c r="P80" s="1303"/>
      <c r="Q80" s="2028"/>
      <c r="R80" s="2028"/>
      <c r="S80" s="2028"/>
      <c r="T80" s="2028"/>
      <c r="U80" s="2028"/>
      <c r="V80" s="2028"/>
    </row>
    <row r="81" spans="1:26" ht="13.5" thickBot="1">
      <c r="A81" s="381" t="s">
        <v>1824</v>
      </c>
      <c r="B81" s="371" t="s">
        <v>431</v>
      </c>
      <c r="C81" s="372">
        <f ca="1">ROUND((C82+C83)/(1+'数据-取费表'!C42),0)</f>
        <v>347264</v>
      </c>
      <c r="D81" s="373"/>
      <c r="E81" s="374"/>
      <c r="F81" s="42"/>
      <c r="G81" s="42"/>
      <c r="H81" s="1003"/>
      <c r="I81" s="311"/>
      <c r="J81" s="2028"/>
      <c r="K81" s="3030">
        <f>K79+1</f>
        <v>7</v>
      </c>
      <c r="L81" s="3375" t="s">
        <v>2886</v>
      </c>
      <c r="M81" s="3376"/>
      <c r="N81" s="1305"/>
      <c r="O81" s="1306" t="e">
        <f ca="1">ROUND(O79*10000/'数据-汇总表'!E3,0)</f>
        <v>#VALUE!</v>
      </c>
      <c r="P81" s="1307"/>
      <c r="Q81" s="2028"/>
      <c r="R81" s="2028"/>
      <c r="S81" s="2028"/>
      <c r="T81" s="2028"/>
      <c r="U81" s="2028"/>
      <c r="V81" s="2028"/>
    </row>
    <row r="82" spans="1:26" ht="13.5" thickTop="1">
      <c r="A82" s="375" t="s">
        <v>1825</v>
      </c>
      <c r="B82" s="376" t="s">
        <v>432</v>
      </c>
      <c r="C82" s="377">
        <f ca="1">D63</f>
        <v>364627</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3"/>
      <c r="I83" s="311"/>
      <c r="J83" s="2028"/>
      <c r="K83" s="3377" t="s">
        <v>2873</v>
      </c>
      <c r="L83" s="3042" t="s">
        <v>2874</v>
      </c>
      <c r="M83" s="3032" t="e">
        <f>IF(N69&gt;10000,N69*0.5%,IF(AND(N69&gt;1000,N69&lt;=10000),N69*1%,IF(AND(N69&gt;100,N69&lt;=1000),N69*3%,IF(AND(N69&gt;10,N69&lt;=100),N69*5%,N69*8%))))</f>
        <v>#VALUE!</v>
      </c>
      <c r="N83" s="53" t="e">
        <f>ROUND(M83,1)</f>
        <v>#VALUE!</v>
      </c>
      <c r="O83" s="3035"/>
      <c r="P83" s="2028"/>
      <c r="Q83" s="2028"/>
      <c r="R83" s="2028"/>
      <c r="S83" s="2028"/>
      <c r="T83" s="2028"/>
      <c r="U83" s="2028"/>
      <c r="V83" s="2028"/>
    </row>
    <row r="84" spans="1:26" ht="12.75">
      <c r="A84" s="381" t="s">
        <v>1827</v>
      </c>
      <c r="B84" s="382" t="s">
        <v>434</v>
      </c>
      <c r="C84" s="383">
        <v>2000</v>
      </c>
      <c r="D84" s="384" t="s">
        <v>19</v>
      </c>
      <c r="E84" s="3076" t="s">
        <v>2938</v>
      </c>
      <c r="F84" s="42"/>
      <c r="G84" s="42"/>
      <c r="H84" s="1003"/>
      <c r="I84" s="311"/>
      <c r="J84" s="2028"/>
      <c r="K84" s="3377"/>
      <c r="L84" s="3042" t="s">
        <v>2875</v>
      </c>
      <c r="M84" s="303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2876</v>
      </c>
      <c r="P84" s="2028"/>
      <c r="Q84" s="2028"/>
      <c r="R84" s="2028"/>
      <c r="S84" s="2028"/>
      <c r="T84" s="2028"/>
      <c r="U84" s="2028"/>
      <c r="V84" s="2028"/>
    </row>
    <row r="85" spans="1:26" ht="12.75">
      <c r="A85" s="381" t="s">
        <v>1828</v>
      </c>
      <c r="B85" s="382" t="s">
        <v>435</v>
      </c>
      <c r="C85" s="385">
        <f ca="1">C81-C84</f>
        <v>345264</v>
      </c>
      <c r="D85" s="378" t="s">
        <v>19</v>
      </c>
      <c r="E85" s="379"/>
      <c r="F85" s="42"/>
      <c r="G85" s="42"/>
      <c r="H85" s="1003"/>
      <c r="I85" s="311"/>
      <c r="J85" s="2028"/>
      <c r="K85" s="3377"/>
      <c r="L85" s="3042" t="s">
        <v>2877</v>
      </c>
      <c r="M85" s="3032" t="e">
        <f>IF(N69&gt;1000,N69*0.1%,IF(AND(N69&gt;500,N69&lt;=1000),N69*0.5%,IF(AND(N69&gt;50,N69&lt;=500),N69*1%,IF(AND(N69&gt;1,N69&lt;=50),N69*1.5%))))</f>
        <v>#VALUE!</v>
      </c>
      <c r="N85" s="53" t="e">
        <f t="shared" si="2"/>
        <v>#VALUE!</v>
      </c>
      <c r="O85" s="2028" t="s">
        <v>2876</v>
      </c>
      <c r="P85" s="2028"/>
      <c r="Q85" s="2028"/>
      <c r="R85" s="2028"/>
      <c r="S85" s="2028"/>
      <c r="T85" s="2028"/>
      <c r="U85" s="2028"/>
      <c r="V85" s="2028"/>
    </row>
    <row r="86" spans="1:26" ht="13.5" thickBot="1">
      <c r="A86" s="386" t="s">
        <v>1829</v>
      </c>
      <c r="B86" s="387" t="s">
        <v>436</v>
      </c>
      <c r="C86" s="388">
        <f ca="1">IF(C85&lt;=0,0,ROUND(C85*D86,0))</f>
        <v>19335</v>
      </c>
      <c r="D86" s="389">
        <f>'数据-取费表'!B41</f>
        <v>5.6000000000000001E-2</v>
      </c>
      <c r="E86" s="390"/>
      <c r="F86" s="42"/>
      <c r="G86" s="42"/>
      <c r="H86" s="1003"/>
      <c r="I86" s="311"/>
      <c r="J86" s="2028"/>
      <c r="K86" s="3377"/>
      <c r="L86" s="3042" t="s">
        <v>2878</v>
      </c>
      <c r="M86" s="3032" t="e">
        <f>N69*0.5%</f>
        <v>#VALUE!</v>
      </c>
      <c r="N86" s="53" t="e">
        <f>IF(M86&gt;0.5,0.5,ROUND(M86,0))</f>
        <v>#VALUE!</v>
      </c>
      <c r="O86" s="2028" t="s">
        <v>2879</v>
      </c>
      <c r="P86" s="2028"/>
      <c r="Q86" s="2028"/>
      <c r="R86" s="2028"/>
      <c r="S86" s="2028"/>
      <c r="T86" s="2028"/>
      <c r="U86" s="2028"/>
      <c r="V86" s="2028"/>
    </row>
    <row r="87" spans="1:26" s="1253" customFormat="1" ht="14.25" customHeight="1">
      <c r="A87" s="1308"/>
      <c r="B87" s="1309"/>
      <c r="C87" s="1310"/>
      <c r="D87" s="1311"/>
      <c r="E87" s="1312"/>
      <c r="F87" s="42"/>
      <c r="G87" s="42"/>
      <c r="H87" s="1003"/>
      <c r="I87" s="311"/>
      <c r="J87" s="2028"/>
      <c r="K87" s="3377"/>
      <c r="L87" s="3042" t="s">
        <v>2880</v>
      </c>
      <c r="M87" s="303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5"/>
      <c r="P87" s="311"/>
      <c r="Q87" s="2028"/>
      <c r="R87" s="2028"/>
      <c r="S87" s="2028"/>
      <c r="T87" s="2028"/>
      <c r="U87" s="2028"/>
      <c r="V87" s="2028"/>
      <c r="W87" s="292"/>
      <c r="X87" s="292"/>
      <c r="Y87" s="292"/>
      <c r="Z87" s="292"/>
    </row>
    <row r="88" spans="1:26" s="1313" customFormat="1" ht="15" thickBot="1">
      <c r="A88" s="3378" t="s">
        <v>437</v>
      </c>
      <c r="B88" s="3379"/>
      <c r="C88" s="3379"/>
      <c r="D88" s="3379"/>
      <c r="E88" s="3379"/>
      <c r="F88" s="3379"/>
      <c r="G88" s="3379"/>
      <c r="H88" s="3379"/>
      <c r="I88" s="1314"/>
      <c r="J88" s="2036"/>
      <c r="K88" s="3377"/>
      <c r="L88" s="3042" t="s">
        <v>2881</v>
      </c>
      <c r="M88" s="3032" t="e">
        <f>IF(N69&gt;10000,N69*0.5%,IF(AND(N69&gt;5000,N69&lt;=10000),N69*1%,IF(AND(N69&gt;1000,N69&lt;=5000),N69*2%,IF(AND(N69&gt;200,N69&lt;=1000),N69*3%,N69*5%))))</f>
        <v>#VALUE!</v>
      </c>
      <c r="N88" s="53" t="e">
        <f>ROUND(M88,1)</f>
        <v>#VALUE!</v>
      </c>
      <c r="O88" s="3035"/>
      <c r="P88" s="11"/>
      <c r="Q88" s="2033"/>
      <c r="R88" s="2033"/>
      <c r="S88" s="2033"/>
      <c r="T88" s="2033"/>
      <c r="U88" s="2033"/>
      <c r="V88" s="2033"/>
      <c r="W88" s="2037"/>
      <c r="X88" s="2037"/>
      <c r="Y88" s="2037"/>
      <c r="Z88" s="2037"/>
    </row>
    <row r="89" spans="1:26" s="1313" customFormat="1" ht="14.25">
      <c r="A89" s="3380" t="s">
        <v>428</v>
      </c>
      <c r="B89" s="3381"/>
      <c r="C89" s="994"/>
      <c r="D89" s="994" t="s">
        <v>429</v>
      </c>
      <c r="E89" s="391" t="s">
        <v>438</v>
      </c>
      <c r="F89" s="392"/>
      <c r="G89" s="392"/>
      <c r="H89" s="393"/>
      <c r="I89" s="1315"/>
      <c r="J89" s="2038"/>
      <c r="K89" s="3377"/>
      <c r="L89" s="3042" t="s">
        <v>27</v>
      </c>
      <c r="M89" s="3033"/>
      <c r="N89" s="53" t="e">
        <f>ROUND(SUM(N83:N88),0)</f>
        <v>#VALUE!</v>
      </c>
      <c r="O89" s="3043" t="e">
        <f>N89/N69</f>
        <v>#VALUE!</v>
      </c>
      <c r="P89" s="2033"/>
      <c r="Q89" s="2033"/>
      <c r="R89" s="2033"/>
      <c r="S89" s="2033"/>
      <c r="T89" s="2033"/>
      <c r="U89" s="2033"/>
      <c r="V89" s="2033"/>
      <c r="W89" s="2037"/>
      <c r="X89" s="2037"/>
      <c r="Y89" s="2037"/>
      <c r="Z89" s="2037"/>
    </row>
    <row r="90" spans="1:26" s="1313" customFormat="1" ht="14.25">
      <c r="A90" s="381" t="s">
        <v>1824</v>
      </c>
      <c r="B90" s="382" t="s">
        <v>439</v>
      </c>
      <c r="C90" s="385">
        <f ca="1">ROUND(D63/(1+'数据-取费表'!C42),0)</f>
        <v>347264</v>
      </c>
      <c r="D90" s="378" t="s">
        <v>19</v>
      </c>
      <c r="E90" s="991"/>
      <c r="F90" s="990"/>
      <c r="G90" s="990"/>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1830</v>
      </c>
      <c r="B91" s="348" t="s">
        <v>440</v>
      </c>
      <c r="C91" s="385">
        <f ca="1">C92+C96</f>
        <v>4645</v>
      </c>
      <c r="D91" s="378" t="s">
        <v>19</v>
      </c>
      <c r="E91" s="991"/>
      <c r="F91" s="990"/>
      <c r="G91" s="990"/>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1831</v>
      </c>
      <c r="B92" s="376" t="s">
        <v>441</v>
      </c>
      <c r="C92" s="378">
        <f>ROUND(IF(G95="2016年5月1日后购买",C93/(1+'数据-取费表'!C30)+C94+C95,C93+C94+C95),0)</f>
        <v>2561</v>
      </c>
      <c r="D92" s="378" t="s">
        <v>19</v>
      </c>
      <c r="E92" s="991"/>
      <c r="F92" s="990"/>
      <c r="G92" s="990"/>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1833</v>
      </c>
      <c r="B94" s="400" t="s">
        <v>446</v>
      </c>
      <c r="C94" s="378">
        <f>IF(F93="购房发票",ROUND(C93*H93*5%,0),0)</f>
        <v>500</v>
      </c>
      <c r="D94" s="401">
        <v>0.05</v>
      </c>
      <c r="E94" s="3382" t="s">
        <v>447</v>
      </c>
      <c r="F94" s="3383"/>
      <c r="G94" s="3383"/>
      <c r="H94" s="3384"/>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1835</v>
      </c>
      <c r="B96" s="376" t="s">
        <v>450</v>
      </c>
      <c r="C96" s="405">
        <f ca="1">ROUND(D63*D96/(1+'数据-取费表'!C42),0)</f>
        <v>2084</v>
      </c>
      <c r="D96" s="406">
        <f>'数据-取费表'!B43</f>
        <v>6.000000000000001E-3</v>
      </c>
      <c r="E96" s="3385" t="s">
        <v>2429</v>
      </c>
      <c r="F96" s="3373"/>
      <c r="G96" s="3373"/>
      <c r="H96" s="3374"/>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1836</v>
      </c>
      <c r="B97" s="382" t="s">
        <v>451</v>
      </c>
      <c r="C97" s="385">
        <f ca="1">C90-C91</f>
        <v>342619</v>
      </c>
      <c r="D97" s="378" t="s">
        <v>19</v>
      </c>
      <c r="E97" s="991"/>
      <c r="F97" s="990"/>
      <c r="G97" s="990"/>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1837</v>
      </c>
      <c r="B98" s="382" t="s">
        <v>452</v>
      </c>
      <c r="C98" s="407">
        <f ca="1">IF(C97&lt;=0,0,C97/C91)</f>
        <v>73.760818083961254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1838</v>
      </c>
      <c r="B99" s="387" t="s">
        <v>453</v>
      </c>
      <c r="C99" s="408">
        <f ca="1">ROUND(IF(C97&lt;=0,0,IF(C98&gt;=200%,C97*60%-C91*35%,IF(C98&gt;=100%,C97*50%-C91*15%,IF(C98&gt;=50%,C97*40%-C91*5%,IF(C98&lt;50%,C97*30%,0))))),0)</f>
        <v>203946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78" t="s">
        <v>454</v>
      </c>
      <c r="B101" s="3379"/>
      <c r="C101" s="3379"/>
      <c r="D101" s="3379"/>
      <c r="E101" s="3379"/>
      <c r="F101" s="3379"/>
      <c r="G101" s="3379"/>
      <c r="H101" s="3379"/>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80" t="s">
        <v>428</v>
      </c>
      <c r="B102" s="3381"/>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1824</v>
      </c>
      <c r="B103" s="382" t="s">
        <v>439</v>
      </c>
      <c r="C103" s="385">
        <f ca="1">ROUND(D63/(1+'数据-取费表'!C42),0)</f>
        <v>347264</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1830</v>
      </c>
      <c r="B104" s="348" t="s">
        <v>440</v>
      </c>
      <c r="C104" s="385">
        <f ca="1">IF(H106="仅含出让金",C105+C108+C109+C110+C111+C112,C105+C109+C110+C111+C112)</f>
        <v>2774</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1831</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1832</v>
      </c>
      <c r="B106" s="376" t="s">
        <v>456</v>
      </c>
      <c r="C106" s="416">
        <v>555</v>
      </c>
      <c r="D106" s="406"/>
      <c r="E106" s="417" t="s">
        <v>457</v>
      </c>
      <c r="F106" s="986"/>
      <c r="G106" s="418" t="s">
        <v>458</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1833</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1835</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1839</v>
      </c>
      <c r="B109" s="376" t="s">
        <v>461</v>
      </c>
      <c r="C109" s="405">
        <f>IF(H109="——",IF(F1="现房",'剩余法-现房'!C18,'剩余法-商业'!C18),I109)</f>
        <v>55</v>
      </c>
      <c r="D109" s="406"/>
      <c r="E109" s="3372" t="s">
        <v>462</v>
      </c>
      <c r="F109" s="3373"/>
      <c r="G109" s="3373"/>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1840</v>
      </c>
      <c r="B110" s="376" t="s">
        <v>463</v>
      </c>
      <c r="C110" s="405">
        <f>ROUND((C105+C108+C109)*D110,0)</f>
        <v>63</v>
      </c>
      <c r="D110" s="406">
        <v>0.1</v>
      </c>
      <c r="E110" s="3372" t="s">
        <v>464</v>
      </c>
      <c r="F110" s="3373"/>
      <c r="G110" s="3373"/>
      <c r="H110" s="3374"/>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1841</v>
      </c>
      <c r="B111" s="376" t="s">
        <v>450</v>
      </c>
      <c r="C111" s="405">
        <f ca="1">ROUND(D63*D111/(1+'数据-取费表'!C42),0)</f>
        <v>2084</v>
      </c>
      <c r="D111" s="406">
        <f>'数据-取费表'!B43</f>
        <v>6.000000000000001E-3</v>
      </c>
      <c r="E111" s="3385" t="s">
        <v>2429</v>
      </c>
      <c r="F111" s="3373"/>
      <c r="G111" s="3373"/>
      <c r="H111" s="3374"/>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1842</v>
      </c>
      <c r="B112" s="376" t="s">
        <v>465</v>
      </c>
      <c r="C112" s="405">
        <f>ROUND(C108*D112,0)</f>
        <v>0</v>
      </c>
      <c r="D112" s="406">
        <v>0.2</v>
      </c>
      <c r="E112" s="3372" t="s">
        <v>2454</v>
      </c>
      <c r="F112" s="3373"/>
      <c r="G112" s="3373"/>
      <c r="H112" s="3374"/>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1836</v>
      </c>
      <c r="B113" s="382" t="s">
        <v>451</v>
      </c>
      <c r="C113" s="385">
        <f ca="1">ROUND(C103-C104,0)</f>
        <v>344490</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1837</v>
      </c>
      <c r="B114" s="382" t="s">
        <v>452</v>
      </c>
      <c r="C114" s="407">
        <f ca="1">IF(C113&lt;=0,0,C113/C104)</f>
        <v>124.18529199711608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1838</v>
      </c>
      <c r="B115" s="387" t="s">
        <v>453</v>
      </c>
      <c r="C115" s="408">
        <f ca="1">ROUND(IF(C113&lt;=0,0,IF(C114&gt;=200%,C113*60%-C104*35%,IF(C114&gt;=100%,C113*50%-C104*15%,IF(C114&gt;=50%,C113*40%-C104*5%,IF(C114&lt;50%,C113*30%,0))))),0)</f>
        <v>205723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75" priority="21" stopIfTrue="1" operator="equal">
      <formula>25</formula>
    </cfRule>
  </conditionalFormatting>
  <conditionalFormatting sqref="C8:C9">
    <cfRule type="cellIs" dxfId="74" priority="19" stopIfTrue="1" operator="equal">
      <formula>15</formula>
    </cfRule>
  </conditionalFormatting>
  <conditionalFormatting sqref="C14:C16">
    <cfRule type="cellIs" dxfId="73" priority="13" stopIfTrue="1" operator="equal">
      <formula>30</formula>
    </cfRule>
  </conditionalFormatting>
  <conditionalFormatting sqref="D5:D7">
    <cfRule type="cellIs" dxfId="72" priority="10" stopIfTrue="1" operator="equal">
      <formula>25</formula>
    </cfRule>
  </conditionalFormatting>
  <conditionalFormatting sqref="D8:D9">
    <cfRule type="cellIs" dxfId="71" priority="9" stopIfTrue="1" operator="equal">
      <formula>15</formula>
    </cfRule>
  </conditionalFormatting>
  <conditionalFormatting sqref="C10:D13">
    <cfRule type="cellIs" dxfId="70" priority="8" stopIfTrue="1" operator="equal">
      <formula>15</formula>
    </cfRule>
  </conditionalFormatting>
  <conditionalFormatting sqref="D14:D16">
    <cfRule type="cellIs" dxfId="69" priority="6" stopIfTrue="1" operator="equal">
      <formula>30</formula>
    </cfRule>
  </conditionalFormatting>
  <conditionalFormatting sqref="C108">
    <cfRule type="expression" dxfId="68" priority="3" stopIfTrue="1">
      <formula>$H$106&lt;&gt;"仅含出让金"</formula>
    </cfRule>
  </conditionalFormatting>
  <conditionalFormatting sqref="C109">
    <cfRule type="expression" dxfId="67" priority="2" stopIfTrue="1">
      <formula>$H$109="由企业提供"</formula>
    </cfRule>
  </conditionalFormatting>
  <conditionalFormatting sqref="I33">
    <cfRule type="expression" dxfId="6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N118"/>
  <sheetViews>
    <sheetView topLeftCell="A20" zoomScaleNormal="100" workbookViewId="0">
      <selection activeCell="E22" sqref="E22"/>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2427</v>
      </c>
      <c r="D1" s="1521">
        <f>SUM(D29:D30,D33:D39)</f>
        <v>315045</v>
      </c>
      <c r="E1" s="1406" t="s">
        <v>2428</v>
      </c>
      <c r="F1" s="2431">
        <f>'数据-汇总表'!D20</f>
        <v>61592.03</v>
      </c>
      <c r="G1" s="1401"/>
      <c r="H1" s="1401"/>
      <c r="I1" s="1401"/>
      <c r="J1" s="1401"/>
      <c r="K1" s="1401"/>
      <c r="L1" s="1882" t="s">
        <v>2239</v>
      </c>
      <c r="M1" s="1883">
        <f>SUMPRODUCT((区片价!B5:B9=I2)*(区片价!C3:F3=E2)*(区片价!C5:F9))</f>
        <v>0</v>
      </c>
      <c r="N1" s="1884">
        <f>SUMPRODUCT((因素修正幅度!B5:B9=I2)*(因素修正幅度!C3:F3=E2)*(因素修正幅度!C5:F9))</f>
        <v>0</v>
      </c>
      <c r="O1" s="2189"/>
      <c r="P1" s="2189"/>
      <c r="Q1" s="2189"/>
      <c r="R1" s="2915" t="s">
        <v>2762</v>
      </c>
      <c r="S1" s="2915" t="s">
        <v>1636</v>
      </c>
      <c r="T1" s="2915" t="s">
        <v>2784</v>
      </c>
      <c r="U1" s="2915" t="s">
        <v>2785</v>
      </c>
      <c r="V1" s="2915" t="s">
        <v>2786</v>
      </c>
      <c r="W1" s="2189"/>
      <c r="X1" s="2189"/>
      <c r="Y1" s="2189"/>
      <c r="Z1" s="2189"/>
      <c r="AA1" s="2189"/>
      <c r="AB1" s="2189"/>
      <c r="AC1" s="2190"/>
    </row>
    <row r="2" spans="1:39" ht="15.75">
      <c r="A2" s="1406" t="s">
        <v>920</v>
      </c>
      <c r="B2" s="1038">
        <f ca="1">C26</f>
        <v>535640</v>
      </c>
      <c r="C2" s="1407" t="s">
        <v>921</v>
      </c>
      <c r="D2" s="1408" t="s">
        <v>922</v>
      </c>
      <c r="E2" s="1409" t="s">
        <v>1678</v>
      </c>
      <c r="F2" s="1408" t="s">
        <v>924</v>
      </c>
      <c r="G2" s="1652" t="str">
        <f>IF(E2="商业",项目基本情况!B43,IF(E2="办公",项目基本情况!C43,IF(E2="住宅",项目基本情况!D43,项目基本情况!E43)))</f>
        <v>四级</v>
      </c>
      <c r="H2" s="1408" t="s">
        <v>926</v>
      </c>
      <c r="I2" s="1653" t="str">
        <f>IF(E2="商业",项目基本情况!B44,IF(E2="办公",项目基本情况!C44,IF(E2="住宅",项目基本情况!D44,项目基本情况!E44)))</f>
        <v>Ⅳ-17</v>
      </c>
      <c r="J2" s="1410"/>
      <c r="K2" s="1401"/>
      <c r="L2" s="1885" t="s">
        <v>2240</v>
      </c>
      <c r="M2" s="1886">
        <f>SUMPRODUCT((区片价!B10:B28=I2)*(区片价!C3:F3=E2)*(区片价!C10:F28))</f>
        <v>0</v>
      </c>
      <c r="N2" s="1887">
        <f>SUMPRODUCT((因素修正幅度!B10:B28=I2)*(因素修正幅度!C3:F3=E2)*(因素修正幅度!C10:F28))</f>
        <v>0</v>
      </c>
      <c r="O2" s="2189"/>
      <c r="P2" s="2189"/>
      <c r="Q2" s="2189"/>
      <c r="R2" s="2916">
        <v>1</v>
      </c>
      <c r="S2" s="2916">
        <f>ROUND(IF(G3&gt;1,IF(R2&lt;7,SUMPRODUCT((B93:B98=R2)*(C92:N92=G2)*(C93:N98)),SUMIF(C92:N92,G2,C100:N100)),IF(R2&lt;7,SUMPRODUCT((B102:B107=R2)*(C92:N92=G2)*(C102:N107)),SUMIF(C92:N92,G2,C109:N109))),4)</f>
        <v>1.8629</v>
      </c>
      <c r="T2" s="2916">
        <f ca="1">ROUND($C$5*$C$18*$C$19*$C$20*S2*$C$24,0)</f>
        <v>38806</v>
      </c>
      <c r="U2" s="2905"/>
      <c r="V2" s="2916">
        <f ca="1">ROUND(T2*U2/10000,0)</f>
        <v>0</v>
      </c>
      <c r="W2" s="2189"/>
      <c r="X2" s="2189"/>
      <c r="Y2" s="2189"/>
      <c r="Z2" s="2189"/>
      <c r="AA2" s="2189"/>
      <c r="AB2" s="2189"/>
      <c r="AC2" s="2190"/>
    </row>
    <row r="3" spans="1:39" ht="24">
      <c r="A3" s="1411" t="s">
        <v>1688</v>
      </c>
      <c r="B3" s="1038">
        <f ca="1">ROUND(B2*10000/D1,0)</f>
        <v>17002</v>
      </c>
      <c r="C3" s="1407" t="s">
        <v>927</v>
      </c>
      <c r="D3" s="1408" t="s">
        <v>928</v>
      </c>
      <c r="E3" s="1412" t="s">
        <v>3007</v>
      </c>
      <c r="F3" s="1413" t="s">
        <v>2933</v>
      </c>
      <c r="G3" s="1039">
        <f>IF(F3="宗地容积率",'数据-汇总表'!I4,IF(F3="估价对象容积率",'数据-汇总表'!I6,'数据-汇总表'!I7))</f>
        <v>5.12</v>
      </c>
      <c r="H3" s="1414" t="s">
        <v>929</v>
      </c>
      <c r="I3" s="1040">
        <v>8</v>
      </c>
      <c r="J3" s="1410" t="s">
        <v>930</v>
      </c>
      <c r="K3" s="1401"/>
      <c r="L3" s="1885" t="s">
        <v>2241</v>
      </c>
      <c r="M3" s="1886">
        <f>SUMPRODUCT((区片价!B29:B48=I2)*(区片价!C3:F3=E2)*(区片价!C29:F48))</f>
        <v>0</v>
      </c>
      <c r="N3" s="1887">
        <f>SUMPRODUCT((因素修正幅度!B29:B48=I2)*(因素修正幅度!C3:F3=E2)*(因素修正幅度!C29:F48))</f>
        <v>0</v>
      </c>
      <c r="O3" s="2189"/>
      <c r="P3" s="2189"/>
      <c r="Q3" s="2189"/>
      <c r="R3" s="2916">
        <v>2</v>
      </c>
      <c r="S3" s="2916">
        <f>ROUND(IF(G3&gt;1,IF(R3&lt;7,SUMPRODUCT((B93:B98=R3)*(C92:N92=G2)*(C93:N98)),SUMIF(C92:N92,G2,C100:N100)),IF(R3&lt;7,SUMPRODUCT((B102:B107=R3)*(C92:N92=G2)*(C102:N107)),SUMIF(C92:N92,G2,C109:N109))),4)</f>
        <v>1.3371999999999999</v>
      </c>
      <c r="T3" s="2916">
        <f t="shared" ref="T3:T16" ca="1" si="0">ROUND($C$5*$C$18*$C$19*$C$20*S3*$C$24,0)</f>
        <v>27855</v>
      </c>
      <c r="U3" s="2905"/>
      <c r="V3" s="2916">
        <f t="shared" ref="V3:V16" ca="1" si="1">ROUND(T3*U3/10000,0)</f>
        <v>0</v>
      </c>
      <c r="W3" s="2189"/>
      <c r="X3" s="2189"/>
      <c r="Y3" s="2189"/>
      <c r="Z3" s="2189"/>
      <c r="AA3" s="2189"/>
      <c r="AB3" s="2189"/>
      <c r="AC3" s="2190"/>
    </row>
    <row r="4" spans="1:39" ht="28.5">
      <c r="A4" s="1891" t="s">
        <v>2281</v>
      </c>
      <c r="B4" s="2432">
        <f ca="1">ROUND(B2*10000/F1,0)</f>
        <v>86966</v>
      </c>
      <c r="C4" s="1894" t="s">
        <v>2255</v>
      </c>
      <c r="D4" s="1894">
        <f ca="1">ROUND(B2/(F1/666.67),0)</f>
        <v>5798</v>
      </c>
      <c r="E4" s="1894" t="s">
        <v>2256</v>
      </c>
      <c r="F4" s="1892"/>
      <c r="G4" s="1892"/>
      <c r="H4" s="1892"/>
      <c r="I4" s="1892"/>
      <c r="J4" s="1893"/>
      <c r="K4" s="1401"/>
      <c r="L4" s="1885" t="s">
        <v>2242</v>
      </c>
      <c r="M4" s="1886">
        <f>SUMPRODUCT((区片价!B49:B75=I2)*(区片价!C3:F3=E2)*(区片价!C49:F75))</f>
        <v>14660</v>
      </c>
      <c r="N4" s="1887">
        <f>SUMPRODUCT((因素修正幅度!B49:B75=I2)*(因素修正幅度!C3:F3=E2)*(因素修正幅度!C49:F75))</f>
        <v>9.6000000000000002E-2</v>
      </c>
      <c r="O4" s="2189"/>
      <c r="P4" s="2189"/>
      <c r="Q4" s="2189"/>
      <c r="R4" s="2916">
        <v>3</v>
      </c>
      <c r="S4" s="2916">
        <f>ROUND(IF(G3&gt;1,IF(R4&lt;7,SUMPRODUCT((B93:B98=R4)*(C92:N92=G2)*(C93:N98)),SUMIF(C92:N92,G2,C100:N100)),IF(R4&lt;7,SUMPRODUCT((B102:B107=R4)*(C92:N92=G2)*(C102:N107)),SUMIF(C92:N92,G2,C109:N109))),4)</f>
        <v>1.0788</v>
      </c>
      <c r="T4" s="2916">
        <f t="shared" ca="1" si="0"/>
        <v>22473</v>
      </c>
      <c r="U4" s="2905"/>
      <c r="V4" s="2916">
        <f t="shared" ca="1" si="1"/>
        <v>0</v>
      </c>
      <c r="W4" s="2189"/>
      <c r="X4" s="2189"/>
      <c r="Y4" s="2189"/>
      <c r="Z4" s="2189"/>
      <c r="AA4" s="2189"/>
      <c r="AB4" s="2189"/>
      <c r="AC4" s="2190"/>
    </row>
    <row r="5" spans="1:39" s="1421" customFormat="1" ht="15.75" thickBot="1">
      <c r="A5" s="1638" t="s">
        <v>1824</v>
      </c>
      <c r="B5" s="1415" t="s">
        <v>931</v>
      </c>
      <c r="C5" s="1041">
        <f>ROUND(IF(E2="商业",IF(F16="增加",C6*C7+C16,C6*C7-C16),IF(E2="住宅",IF(F16="增加",C6*C12+C16,C6*C12-C16),IF(F16="增加",C6+C16,C6-C16))),0)</f>
        <v>14660</v>
      </c>
      <c r="D5" s="3096">
        <f>ROUND(IF(F16="增加",C6+C16,C6-C16),0)</f>
        <v>14660</v>
      </c>
      <c r="E5" s="3096"/>
      <c r="F5" s="1416"/>
      <c r="G5" s="1417"/>
      <c r="H5" s="1417"/>
      <c r="I5" s="1417"/>
      <c r="J5" s="1418"/>
      <c r="K5" s="1594"/>
      <c r="L5" s="1885" t="s">
        <v>2243</v>
      </c>
      <c r="M5" s="1886">
        <f>SUMPRODUCT((区片价!B76:B109=I2)*(区片价!C3:F3=E2)*(区片价!C76:F109))</f>
        <v>0</v>
      </c>
      <c r="N5" s="1887">
        <f>SUMPRODUCT((因素修正幅度!B76:B109=I2)*(因素修正幅度!C3:F3=E2)*(因素修正幅度!C76:F109))</f>
        <v>0</v>
      </c>
      <c r="O5" s="2189"/>
      <c r="P5" s="2189"/>
      <c r="Q5" s="2189"/>
      <c r="R5" s="2916">
        <v>4</v>
      </c>
      <c r="S5" s="2916">
        <f>ROUND(IF(G3&gt;1,IF(R5&lt;7,SUMPRODUCT((B93:B98=R5)*(C92:N92=G2)*(C93:N98)),SUMIF(C92:N92,G2,C100:N100)),IF(R5&lt;7,SUMPRODUCT((B102:B107=R5)*(C92:N92=G2)*(C102:N107)),SUMIF(C92:N92,G2,C109:N109))),4)</f>
        <v>0.86560000000000004</v>
      </c>
      <c r="T5" s="2916">
        <f t="shared" ca="1" si="0"/>
        <v>18031</v>
      </c>
      <c r="U5" s="2905"/>
      <c r="V5" s="2916">
        <f t="shared" ca="1" si="1"/>
        <v>0</v>
      </c>
      <c r="W5" s="2189"/>
      <c r="X5" s="2189"/>
      <c r="Y5" s="2189"/>
      <c r="Z5" s="2189"/>
      <c r="AA5" s="2189"/>
      <c r="AB5" s="2189"/>
      <c r="AC5" s="2191"/>
      <c r="AD5" s="1419"/>
      <c r="AE5" s="1419"/>
      <c r="AF5" s="1419"/>
      <c r="AG5" s="1419"/>
      <c r="AH5" s="1419"/>
      <c r="AI5" s="1419"/>
      <c r="AJ5" s="1420"/>
      <c r="AK5" s="1420"/>
      <c r="AL5" s="1420"/>
      <c r="AM5" s="1420"/>
    </row>
    <row r="6" spans="1:39" ht="15.75" thickBot="1">
      <c r="A6" s="1639" t="s">
        <v>1871</v>
      </c>
      <c r="B6" s="1422" t="s">
        <v>931</v>
      </c>
      <c r="C6" s="1042">
        <f>SUMIF(L1:L12,'基准地价-办公'!G2,M1:M12)</f>
        <v>14660</v>
      </c>
      <c r="D6" s="1423" t="s">
        <v>1696</v>
      </c>
      <c r="E6" s="1424"/>
      <c r="F6" s="1424"/>
      <c r="G6" s="1425"/>
      <c r="H6" s="1425"/>
      <c r="I6" s="1425"/>
      <c r="J6" s="1426"/>
      <c r="K6" s="1595"/>
      <c r="L6" s="1885" t="s">
        <v>2244</v>
      </c>
      <c r="M6" s="1886">
        <f>SUMPRODUCT((区片价!B110:B157=I2)*(区片价!C3:F3=E2)*(区片价!C110:F157))</f>
        <v>0</v>
      </c>
      <c r="N6" s="1887">
        <f>SUMPRODUCT((因素修正幅度!B110:B157=I2)*(因素修正幅度!C3:F3=E2)*(因素修正幅度!C110:F157))</f>
        <v>0</v>
      </c>
      <c r="O6" s="2189"/>
      <c r="P6" s="2189"/>
      <c r="Q6" s="2189"/>
      <c r="R6" s="2916">
        <v>5</v>
      </c>
      <c r="S6" s="2916">
        <f>ROUND(IF(G3&gt;1,IF(R6&lt;7,SUMPRODUCT((B93:B98=R6)*(C92:N92=G2)*(C93:N98)),SUMIF(C92:N92,G2,C100:N100)),IF(R6&lt;7,SUMPRODUCT((B102:B107=R6)*(C92:N92=G2)*(C102:N107)),SUMIF(C92:N92,G2,C109:N109))),4)</f>
        <v>0.73709999999999998</v>
      </c>
      <c r="T6" s="2916">
        <f t="shared" ca="1" si="0"/>
        <v>15355</v>
      </c>
      <c r="U6" s="2905"/>
      <c r="V6" s="2916">
        <f t="shared" ca="1" si="1"/>
        <v>0</v>
      </c>
      <c r="W6" s="2189"/>
      <c r="X6" s="2189"/>
      <c r="Y6" s="2189"/>
      <c r="Z6" s="2189"/>
      <c r="AA6" s="2189"/>
      <c r="AB6" s="2189"/>
      <c r="AC6" s="2191"/>
      <c r="AD6" s="1419"/>
      <c r="AE6" s="1419"/>
      <c r="AF6" s="1419"/>
      <c r="AG6" s="1419"/>
      <c r="AH6" s="1419"/>
      <c r="AI6" s="1419"/>
      <c r="AJ6" s="1420"/>
    </row>
    <row r="7" spans="1:39" ht="24">
      <c r="A7" s="3458" t="str">
        <f>IF(E2="商业",IF(C8="不临58条商业街","",2),"")</f>
        <v/>
      </c>
      <c r="B7" s="1427" t="s">
        <v>932</v>
      </c>
      <c r="C7" s="1043" t="e">
        <f>IF(C8="不临58条商业街",1,ROUND(1+(1.6*E8+1.2*E9+0.8*E10+0.4*E11)*C9,4))</f>
        <v>#DIV/0!</v>
      </c>
      <c r="D7" s="1428" t="s">
        <v>933</v>
      </c>
      <c r="E7" s="1044"/>
      <c r="F7" s="1429"/>
      <c r="G7" s="1430"/>
      <c r="H7" s="1430"/>
      <c r="I7" s="1430"/>
      <c r="J7" s="1431"/>
      <c r="K7" s="1595"/>
      <c r="L7" s="1885" t="s">
        <v>2245</v>
      </c>
      <c r="M7" s="1886">
        <f>SUMPRODUCT((区片价!B158:B205=I2)*(区片价!C3:F3=E2)*(区片价!C158:F205))</f>
        <v>0</v>
      </c>
      <c r="N7" s="1887">
        <f>SUMPRODUCT((因素修正幅度!B158:B205=I2)*(因素修正幅度!C3:F3=E2)*(因素修正幅度!C158:F205))</f>
        <v>0</v>
      </c>
      <c r="O7" s="2189"/>
      <c r="P7" s="2189"/>
      <c r="Q7" s="2189"/>
      <c r="R7" s="2916">
        <v>6</v>
      </c>
      <c r="S7" s="2916">
        <f>ROUND(IF(G3&gt;1,IF(R7&lt;7,SUMPRODUCT((B93:B98=R7)*(C92:N92=G2)*(C93:N98)),SUMIF(C92:N92,G2,C100:N100)),IF(R7&lt;7,SUMPRODUCT((B102:B107=R7)*(C92:N92=G2)*(C102:N107)),SUMIF(C92:N92,G2,C109:N109))),4)</f>
        <v>0.6482</v>
      </c>
      <c r="T7" s="2916">
        <f t="shared" ca="1" si="0"/>
        <v>13503</v>
      </c>
      <c r="U7" s="2905"/>
      <c r="V7" s="2916">
        <f t="shared" ca="1" si="1"/>
        <v>0</v>
      </c>
      <c r="W7" s="3194" t="s">
        <v>2765</v>
      </c>
      <c r="X7" s="2906" t="str">
        <f>G2</f>
        <v>四级</v>
      </c>
      <c r="Y7" s="2906" t="s">
        <v>2766</v>
      </c>
      <c r="Z7" s="2907">
        <f>G3</f>
        <v>5.12</v>
      </c>
      <c r="AA7" s="2192"/>
      <c r="AB7" s="2192"/>
      <c r="AC7" s="2193"/>
      <c r="AD7" s="2908"/>
      <c r="AE7" s="2908"/>
      <c r="AF7" s="2908"/>
      <c r="AG7" s="2908"/>
      <c r="AH7" s="2908"/>
      <c r="AI7" s="2908"/>
      <c r="AJ7" s="2909"/>
    </row>
    <row r="8" spans="1:39" ht="15">
      <c r="A8" s="3459"/>
      <c r="B8" s="1414" t="s">
        <v>934</v>
      </c>
      <c r="C8" s="1529"/>
      <c r="D8" s="1045" t="s">
        <v>935</v>
      </c>
      <c r="E8" s="1046" t="e">
        <f>ROUND(C11/E7,4)</f>
        <v>#DIV/0!</v>
      </c>
      <c r="F8" s="1432" t="s">
        <v>936</v>
      </c>
      <c r="G8" s="1433"/>
      <c r="H8" s="1433"/>
      <c r="I8" s="1433"/>
      <c r="J8" s="1434"/>
      <c r="K8" s="1401"/>
      <c r="L8" s="1885" t="s">
        <v>2246</v>
      </c>
      <c r="M8" s="1886">
        <f>SUMPRODUCT((区片价!B206:B244=I2)*(区片价!C3:F3=E2)*(区片价!C206:F244))</f>
        <v>0</v>
      </c>
      <c r="N8" s="1887">
        <f>SUMPRODUCT((因素修正幅度!B206:B244=I2)*(因素修正幅度!C3:F3=E2)*(因素修正幅度!C206:F244))</f>
        <v>0</v>
      </c>
      <c r="O8" s="2189"/>
      <c r="P8" s="2189"/>
      <c r="Q8" s="2189"/>
      <c r="R8" s="2916">
        <v>7</v>
      </c>
      <c r="S8" s="2905"/>
      <c r="T8" s="2916">
        <f t="shared" ca="1" si="0"/>
        <v>0</v>
      </c>
      <c r="U8" s="2905"/>
      <c r="V8" s="2916">
        <f t="shared" ca="1" si="1"/>
        <v>0</v>
      </c>
      <c r="W8" s="3450" t="s">
        <v>2783</v>
      </c>
      <c r="X8" s="3451"/>
      <c r="Y8" s="1849" t="s">
        <v>2767</v>
      </c>
      <c r="Z8" s="1849" t="s">
        <v>2768</v>
      </c>
      <c r="AA8" s="1849" t="s">
        <v>2769</v>
      </c>
      <c r="AB8" s="1849" t="s">
        <v>2770</v>
      </c>
      <c r="AC8" s="1849" t="s">
        <v>2771</v>
      </c>
      <c r="AD8" s="1849" t="s">
        <v>2772</v>
      </c>
      <c r="AE8" s="1849" t="s">
        <v>2773</v>
      </c>
      <c r="AF8" s="1849" t="s">
        <v>2774</v>
      </c>
      <c r="AG8" s="1849" t="s">
        <v>2775</v>
      </c>
      <c r="AH8" s="1849" t="s">
        <v>2776</v>
      </c>
      <c r="AI8" s="1849" t="s">
        <v>2777</v>
      </c>
      <c r="AJ8" s="1849" t="s">
        <v>2778</v>
      </c>
    </row>
    <row r="9" spans="1:39" ht="15">
      <c r="A9" s="3459"/>
      <c r="B9" s="1414" t="s">
        <v>937</v>
      </c>
      <c r="C9" s="1047">
        <f>SUMIF(修正!C59:C119,C8,修正!E59:E119)</f>
        <v>0</v>
      </c>
      <c r="D9" s="1048" t="s">
        <v>938</v>
      </c>
      <c r="E9" s="1048" t="e">
        <f>ROUND(C11/E7,4)</f>
        <v>#DIV/0!</v>
      </c>
      <c r="F9" s="1432" t="s">
        <v>939</v>
      </c>
      <c r="G9" s="1433"/>
      <c r="H9" s="1433"/>
      <c r="I9" s="1433"/>
      <c r="J9" s="1434"/>
      <c r="K9" s="1401"/>
      <c r="L9" s="1885" t="s">
        <v>2247</v>
      </c>
      <c r="M9" s="1886">
        <f>SUMPRODUCT((区片价!B245:B289=I2)*(区片价!C3:F3=E2)*(区片价!C245:F289))</f>
        <v>0</v>
      </c>
      <c r="N9" s="1887">
        <f>SUMPRODUCT((因素修正幅度!B245:B289=I2)*(因素修正幅度!C3:F3=E2)*(因素修正幅度!C245:F289))</f>
        <v>0</v>
      </c>
      <c r="O9" s="2189"/>
      <c r="P9" s="2189"/>
      <c r="Q9" s="2189"/>
      <c r="R9" s="2916">
        <v>8</v>
      </c>
      <c r="S9" s="2905"/>
      <c r="T9" s="2916">
        <f t="shared" ca="1" si="0"/>
        <v>0</v>
      </c>
      <c r="U9" s="2905"/>
      <c r="V9" s="2916">
        <f t="shared" ca="1" si="1"/>
        <v>0</v>
      </c>
      <c r="W9" s="3449" t="s">
        <v>2779</v>
      </c>
      <c r="X9" s="2910" t="s">
        <v>2780</v>
      </c>
      <c r="Y9" s="3074"/>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59"/>
      <c r="B10" s="1414" t="s">
        <v>940</v>
      </c>
      <c r="C10" s="1048">
        <f>SUMIF(修正!C59:C119,C8,修正!F59:F119)</f>
        <v>0</v>
      </c>
      <c r="D10" s="1048" t="s">
        <v>941</v>
      </c>
      <c r="E10" s="1048" t="e">
        <f>ROUND(C11/E7,4)</f>
        <v>#DIV/0!</v>
      </c>
      <c r="F10" s="1432" t="s">
        <v>942</v>
      </c>
      <c r="G10" s="1433"/>
      <c r="H10" s="1433"/>
      <c r="I10" s="1433"/>
      <c r="J10" s="1434"/>
      <c r="K10" s="1401"/>
      <c r="L10" s="1885" t="s">
        <v>2248</v>
      </c>
      <c r="M10" s="1886">
        <f>SUMPRODUCT((区片价!B290:B316=I2)*(区片价!C3:F3=E2)*(区片价!C290:F316))</f>
        <v>0</v>
      </c>
      <c r="N10" s="1887">
        <f>SUMPRODUCT((因素修正幅度!B290:B316=I2)*(因素修正幅度!C3:F3=E2)*(因素修正幅度!C290:F316))</f>
        <v>0</v>
      </c>
      <c r="O10" s="2189"/>
      <c r="P10" s="2189"/>
      <c r="Q10" s="2189"/>
      <c r="R10" s="2916">
        <v>9</v>
      </c>
      <c r="S10" s="2905"/>
      <c r="T10" s="2916">
        <f t="shared" ca="1" si="0"/>
        <v>0</v>
      </c>
      <c r="U10" s="2905"/>
      <c r="V10" s="2916">
        <f t="shared" ca="1" si="1"/>
        <v>0</v>
      </c>
      <c r="W10" s="3449"/>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59"/>
      <c r="B11" s="1435" t="s">
        <v>943</v>
      </c>
      <c r="C11" s="1049">
        <f>C10/4</f>
        <v>0</v>
      </c>
      <c r="D11" s="1049" t="s">
        <v>944</v>
      </c>
      <c r="E11" s="1049" t="e">
        <f>ROUND(C11/E7,4)</f>
        <v>#DIV/0!</v>
      </c>
      <c r="F11" s="1436" t="s">
        <v>945</v>
      </c>
      <c r="G11" s="1437"/>
      <c r="H11" s="1437"/>
      <c r="I11" s="1437"/>
      <c r="J11" s="1438"/>
      <c r="K11" s="1401"/>
      <c r="L11" s="1885" t="s">
        <v>2249</v>
      </c>
      <c r="M11" s="1886">
        <f>SUMPRODUCT((区片价!B317:B337=I2)*(区片价!C3:F3=E2)*(区片价!C317:F337))</f>
        <v>0</v>
      </c>
      <c r="N11" s="1887">
        <f>SUMPRODUCT((因素修正幅度!B317:B337=I2)*(因素修正幅度!C3:F3=E2)*(因素修正幅度!C317:F337))</f>
        <v>0</v>
      </c>
      <c r="O11" s="2189"/>
      <c r="P11" s="2189"/>
      <c r="Q11" s="2189"/>
      <c r="R11" s="2916">
        <v>10</v>
      </c>
      <c r="S11" s="2905"/>
      <c r="T11" s="2916">
        <f t="shared" ca="1" si="0"/>
        <v>0</v>
      </c>
      <c r="U11" s="2905"/>
      <c r="V11" s="2916">
        <f t="shared" ca="1" si="1"/>
        <v>0</v>
      </c>
      <c r="W11" s="3449" t="s">
        <v>2781</v>
      </c>
      <c r="X11" s="1048" t="s">
        <v>2766</v>
      </c>
      <c r="Y11" s="1653">
        <f>$G$3</f>
        <v>5.12</v>
      </c>
      <c r="Z11" s="1653">
        <f t="shared" ref="Z11:AJ11" si="3">$G$3</f>
        <v>5.12</v>
      </c>
      <c r="AA11" s="1653">
        <f t="shared" si="3"/>
        <v>5.12</v>
      </c>
      <c r="AB11" s="1653">
        <f t="shared" si="3"/>
        <v>5.12</v>
      </c>
      <c r="AC11" s="1653">
        <f t="shared" si="3"/>
        <v>5.12</v>
      </c>
      <c r="AD11" s="1653">
        <f t="shared" si="3"/>
        <v>5.12</v>
      </c>
      <c r="AE11" s="1653">
        <f t="shared" si="3"/>
        <v>5.12</v>
      </c>
      <c r="AF11" s="1653">
        <f t="shared" si="3"/>
        <v>5.12</v>
      </c>
      <c r="AG11" s="1653">
        <f t="shared" si="3"/>
        <v>5.12</v>
      </c>
      <c r="AH11" s="1653">
        <f t="shared" si="3"/>
        <v>5.12</v>
      </c>
      <c r="AI11" s="1653">
        <f t="shared" si="3"/>
        <v>5.12</v>
      </c>
      <c r="AJ11" s="1653">
        <f t="shared" si="3"/>
        <v>5.12</v>
      </c>
    </row>
    <row r="12" spans="1:39" ht="25.5" thickBot="1">
      <c r="A12" s="3458" t="s">
        <v>1872</v>
      </c>
      <c r="B12" s="1439" t="s">
        <v>946</v>
      </c>
      <c r="C12" s="1043">
        <f>ROUND(C15*D15*E15*F15*G15*H15*I15*J15,4)</f>
        <v>1</v>
      </c>
      <c r="D12" s="1440" t="s">
        <v>947</v>
      </c>
      <c r="E12" s="1441"/>
      <c r="F12" s="1441"/>
      <c r="G12" s="1442"/>
      <c r="H12" s="1442"/>
      <c r="I12" s="1442"/>
      <c r="J12" s="1443"/>
      <c r="K12" s="1401"/>
      <c r="L12" s="1888" t="s">
        <v>2250</v>
      </c>
      <c r="M12" s="1889">
        <f>SUMPRODUCT((区片价!B338:B344=I2)*(区片价!C3:F3=E2)*(区片价!C338:F344))</f>
        <v>0</v>
      </c>
      <c r="N12" s="1890">
        <f>SUMPRODUCT((因素修正幅度!B338:B344=I2)*(因素修正幅度!C3:F3=E2)*(因素修正幅度!C338:F344))</f>
        <v>0</v>
      </c>
      <c r="O12" s="2189"/>
      <c r="P12" s="2189"/>
      <c r="Q12" s="2189"/>
      <c r="R12" s="2916">
        <v>11</v>
      </c>
      <c r="S12" s="2905"/>
      <c r="T12" s="2916">
        <f t="shared" ca="1" si="0"/>
        <v>0</v>
      </c>
      <c r="U12" s="2905"/>
      <c r="V12" s="2916">
        <f t="shared" ca="1" si="1"/>
        <v>0</v>
      </c>
      <c r="W12" s="3449"/>
      <c r="X12" s="2913" t="s">
        <v>2782</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60"/>
      <c r="B13" s="1444" t="s">
        <v>1697</v>
      </c>
      <c r="C13" s="1445" t="s">
        <v>1698</v>
      </c>
      <c r="D13" s="1089" t="s">
        <v>1699</v>
      </c>
      <c r="E13" s="1089" t="s">
        <v>1700</v>
      </c>
      <c r="F13" s="1446" t="s">
        <v>948</v>
      </c>
      <c r="G13" s="1447" t="s">
        <v>1643</v>
      </c>
      <c r="H13" s="1448" t="s">
        <v>1643</v>
      </c>
      <c r="I13" s="1449" t="s">
        <v>1643</v>
      </c>
      <c r="J13" s="1450" t="s">
        <v>1643</v>
      </c>
      <c r="K13" s="1401"/>
      <c r="L13" s="2189"/>
      <c r="M13" s="2189"/>
      <c r="N13" s="2189"/>
      <c r="O13" s="2189"/>
      <c r="P13" s="2189"/>
      <c r="Q13" s="2189"/>
      <c r="R13" s="2916">
        <v>12</v>
      </c>
      <c r="S13" s="2905"/>
      <c r="T13" s="2916">
        <f t="shared" ca="1" si="0"/>
        <v>0</v>
      </c>
      <c r="U13" s="2905"/>
      <c r="V13" s="2916">
        <f t="shared" ca="1" si="1"/>
        <v>0</v>
      </c>
      <c r="W13" s="3449"/>
      <c r="X13" s="2913"/>
      <c r="Y13" s="2912">
        <f>(-0.163*(Y12^2)-0.59*Y12+7617)*(10^(-4))/Y11</f>
        <v>0.14876953125</v>
      </c>
      <c r="Z13" s="2912">
        <f t="shared" ref="Z13:AJ13" si="5">(-0.163*(Z12^2)-0.59*Z12+7617)*(10^(-4))/Z11</f>
        <v>0.14876953125</v>
      </c>
      <c r="AA13" s="2912">
        <f t="shared" si="5"/>
        <v>0.14876953125</v>
      </c>
      <c r="AB13" s="2912">
        <f t="shared" si="5"/>
        <v>0.14876953125</v>
      </c>
      <c r="AC13" s="2912">
        <f t="shared" si="5"/>
        <v>0.14876953125</v>
      </c>
      <c r="AD13" s="2912">
        <f t="shared" si="5"/>
        <v>0.14876953125</v>
      </c>
      <c r="AE13" s="2912">
        <f t="shared" si="5"/>
        <v>0.14876953125</v>
      </c>
      <c r="AF13" s="2912">
        <f t="shared" si="5"/>
        <v>0.14876953125</v>
      </c>
      <c r="AG13" s="2912">
        <f t="shared" si="5"/>
        <v>0.14876953125</v>
      </c>
      <c r="AH13" s="2912">
        <f t="shared" si="5"/>
        <v>0.14876953125</v>
      </c>
      <c r="AI13" s="2912">
        <f t="shared" si="5"/>
        <v>0.14876953125</v>
      </c>
      <c r="AJ13" s="2912">
        <f t="shared" si="5"/>
        <v>0.14876953125</v>
      </c>
    </row>
    <row r="14" spans="1:39" ht="12.75" customHeight="1" thickBot="1">
      <c r="A14" s="3460"/>
      <c r="B14" s="1451"/>
      <c r="C14" s="1452"/>
      <c r="D14" s="1453"/>
      <c r="E14" s="1453"/>
      <c r="F14" s="1454"/>
      <c r="G14" s="1455" t="s">
        <v>949</v>
      </c>
      <c r="H14" s="1456"/>
      <c r="I14" s="1457"/>
      <c r="J14" s="1458"/>
      <c r="K14" s="1401"/>
      <c r="L14" s="2189"/>
      <c r="M14" s="2189"/>
      <c r="N14" s="2189"/>
      <c r="O14" s="2189"/>
      <c r="P14" s="2189"/>
      <c r="Q14" s="2189"/>
      <c r="R14" s="2916">
        <v>13</v>
      </c>
      <c r="S14" s="2905"/>
      <c r="T14" s="2916">
        <f t="shared" ca="1" si="0"/>
        <v>0</v>
      </c>
      <c r="U14" s="2905"/>
      <c r="V14" s="2916">
        <f t="shared" ca="1" si="1"/>
        <v>0</v>
      </c>
      <c r="W14" s="2189"/>
      <c r="X14" s="2189"/>
      <c r="Y14" s="2189"/>
      <c r="Z14" s="2189"/>
      <c r="AA14" s="2189"/>
      <c r="AB14" s="2189"/>
      <c r="AC14" s="2190"/>
    </row>
    <row r="15" spans="1:39" ht="13.5" customHeight="1" thickBot="1">
      <c r="A15" s="3461"/>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89"/>
      <c r="R15" s="2916">
        <v>14</v>
      </c>
      <c r="S15" s="2905"/>
      <c r="T15" s="2916">
        <f t="shared" ca="1" si="0"/>
        <v>0</v>
      </c>
      <c r="U15" s="2905"/>
      <c r="V15" s="2916">
        <f t="shared" ca="1" si="1"/>
        <v>0</v>
      </c>
      <c r="W15" s="2189"/>
      <c r="X15" s="2189"/>
      <c r="Y15" s="2189"/>
      <c r="Z15" s="2189"/>
      <c r="AA15" s="2189"/>
      <c r="AB15" s="2189"/>
      <c r="AC15" s="2190"/>
    </row>
    <row r="16" spans="1:39" ht="24">
      <c r="A16" s="3458" t="s">
        <v>1839</v>
      </c>
      <c r="B16" s="1427" t="s">
        <v>950</v>
      </c>
      <c r="C16" s="1054">
        <f>ROUND(SUM(G17:J17)/C17,0)</f>
        <v>0</v>
      </c>
      <c r="D16" s="1460" t="s">
        <v>951</v>
      </c>
      <c r="E16" s="1461" t="s">
        <v>3147</v>
      </c>
      <c r="F16" s="1462" t="s">
        <v>3148</v>
      </c>
      <c r="G16" s="1463" t="s">
        <v>952</v>
      </c>
      <c r="H16" s="1463" t="s">
        <v>952</v>
      </c>
      <c r="I16" s="1463" t="s">
        <v>952</v>
      </c>
      <c r="J16" s="1463" t="s">
        <v>952</v>
      </c>
      <c r="K16" s="1401"/>
      <c r="L16" s="1464" t="s">
        <v>988</v>
      </c>
      <c r="M16" s="1047">
        <v>0.25</v>
      </c>
      <c r="N16" s="1047">
        <v>0.2</v>
      </c>
      <c r="O16" s="1047">
        <v>0.15</v>
      </c>
      <c r="P16" s="1539">
        <v>0.1</v>
      </c>
      <c r="Q16" s="2192"/>
      <c r="R16" s="2916">
        <v>15</v>
      </c>
      <c r="S16" s="2905"/>
      <c r="T16" s="2916">
        <f t="shared" ca="1" si="0"/>
        <v>0</v>
      </c>
      <c r="U16" s="2905"/>
      <c r="V16" s="2916">
        <f t="shared" ca="1" si="1"/>
        <v>0</v>
      </c>
      <c r="W16" s="2192"/>
      <c r="X16" s="2192"/>
      <c r="Y16" s="2192"/>
      <c r="Z16" s="2192"/>
      <c r="AA16" s="2192"/>
      <c r="AB16" s="2192"/>
      <c r="AC16" s="2193"/>
    </row>
    <row r="17" spans="1:40" ht="13.5" thickBot="1">
      <c r="A17" s="3459"/>
      <c r="B17" s="1465" t="s">
        <v>953</v>
      </c>
      <c r="C17" s="1055">
        <f>SUMPRODUCT((修正!A2:A5=E2)*(修正!B1:M1=G2)*(修正!B2:M5))</f>
        <v>2.5</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1827</v>
      </c>
      <c r="B18" s="2751" t="s">
        <v>956</v>
      </c>
      <c r="C18" s="2752">
        <f>SUMIF(修正!C18:C39,E3,修正!E18:E39)</f>
        <v>1</v>
      </c>
      <c r="D18" s="2753"/>
      <c r="E18" s="2754"/>
      <c r="F18" s="2755"/>
      <c r="G18" s="2749"/>
      <c r="H18" s="2749"/>
      <c r="I18" s="2749"/>
      <c r="J18" s="2756"/>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1828</v>
      </c>
      <c r="B19" s="1470" t="s">
        <v>957</v>
      </c>
      <c r="C19" s="1057">
        <f>ROUND(IF(H19="按公示增长率计算",SUMPRODUCT((地价!A3:A24=YEAR(G19)&amp;"-"&amp;ROUNDUP(MONTH(G19)/3,0))*(地价!X2:AB2=E2)*(地价!X3:AB24)),IF(H19="地价指数",M20/M19,(1+I19)^O19)),4)</f>
        <v>1.3547</v>
      </c>
      <c r="D19" s="1474" t="s">
        <v>958</v>
      </c>
      <c r="E19" s="1058">
        <v>41640</v>
      </c>
      <c r="F19" s="1474" t="s">
        <v>959</v>
      </c>
      <c r="G19" s="1059">
        <f>'数据-取费表'!B2</f>
        <v>43388</v>
      </c>
      <c r="H19" s="1475" t="s">
        <v>3005</v>
      </c>
      <c r="I19" s="2763" t="str">
        <f>IF(H19="季度增幅（自定义）",SUMIF(N21:N24,E2,O21:O24),"")</f>
        <v/>
      </c>
      <c r="J19" s="1471"/>
      <c r="K19" s="1481"/>
      <c r="L19" s="3016" t="s">
        <v>2840</v>
      </c>
      <c r="M19" s="3017">
        <f>ROUND(SUMIF(地价!B2:F2,E2,地价!B24:F24),0)</f>
        <v>258</v>
      </c>
      <c r="N19" s="2765" t="s">
        <v>1677</v>
      </c>
      <c r="O19" s="2764">
        <f>ROUNDDOWN(DATEDIF(E19,G19,"M")/3,0)</f>
        <v>19</v>
      </c>
      <c r="P19" s="1596"/>
      <c r="R19" s="2904"/>
      <c r="S19" s="2904"/>
      <c r="T19" s="2904"/>
      <c r="U19" s="2904"/>
      <c r="V19" s="2904"/>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57" t="s">
        <v>1829</v>
      </c>
      <c r="B20" s="2758" t="s">
        <v>972</v>
      </c>
      <c r="C20" s="2759">
        <f ca="1">ROUND(POWER(1+G20,J20-I20)*(POWER(1+G20,I20)-1)/(POWER(1+G20,J20)-1),4)</f>
        <v>1</v>
      </c>
      <c r="D20" s="2760" t="s">
        <v>973</v>
      </c>
      <c r="E20" s="3071">
        <f ca="1">存贷款利率!I4/100</f>
        <v>4.3499999999999997E-2</v>
      </c>
      <c r="F20" s="2760" t="s">
        <v>974</v>
      </c>
      <c r="G20" s="2761">
        <f ca="1">SUMIF(M15:P15,E2,M17:P17)</f>
        <v>5.1999999999999998E-2</v>
      </c>
      <c r="H20" s="2760" t="s">
        <v>975</v>
      </c>
      <c r="I20" s="2750">
        <f>SUMIF('数据-取费表'!C6:C15,E2,'数据-取费表'!F6:F15)/COUNTIF('数据-取费表'!C6:C15,E2)</f>
        <v>50</v>
      </c>
      <c r="J20" s="2762">
        <f>IF(E2="住宅",70,IF(E2="商业",40,50))</f>
        <v>50</v>
      </c>
      <c r="K20" s="1481"/>
      <c r="L20" s="3018" t="s">
        <v>2841</v>
      </c>
      <c r="M20" s="3019">
        <f>ROUND(SUMPRODUCT((地价!A4:A24=YEAR(G19)&amp;"-"&amp;ROUNDUP(MONTH(G19)/3,0))*(地价!B2:F2=E2)*(地价!B4:F24)),0)</f>
        <v>341</v>
      </c>
      <c r="N20" s="2768" t="s">
        <v>2646</v>
      </c>
      <c r="O20" s="2766" t="s">
        <v>2645</v>
      </c>
      <c r="P20" s="2767" t="s">
        <v>2651</v>
      </c>
      <c r="R20" s="2904"/>
      <c r="S20" s="2904"/>
      <c r="T20" s="2904"/>
      <c r="U20" s="2904"/>
      <c r="V20" s="2904"/>
      <c r="W20" s="2195"/>
      <c r="X20" s="2195"/>
      <c r="Y20" s="2195"/>
      <c r="Z20" s="2195"/>
      <c r="AA20" s="2195"/>
      <c r="AB20" s="2195"/>
      <c r="AC20" s="2195"/>
      <c r="AD20" s="1472"/>
      <c r="AE20" s="1472"/>
      <c r="AF20" s="1472"/>
      <c r="AG20" s="1472"/>
      <c r="AH20" s="1472"/>
      <c r="AI20" s="1472"/>
    </row>
    <row r="21" spans="1:40" s="1421" customFormat="1" ht="14.25">
      <c r="A21" s="1642" t="s">
        <v>1838</v>
      </c>
      <c r="B21" s="1480" t="s">
        <v>3006</v>
      </c>
      <c r="C21" s="1158">
        <f>IF(B21="容积率修正",IF(G3&lt;=10,D22,J22),C23)</f>
        <v>0.81620000000000004</v>
      </c>
      <c r="D21" s="1481"/>
      <c r="E21" s="1481"/>
      <c r="F21" s="1481"/>
      <c r="G21" s="1481"/>
      <c r="H21" s="1481"/>
      <c r="I21" s="1481"/>
      <c r="J21" s="1482"/>
      <c r="K21" s="1481"/>
      <c r="L21" s="1481"/>
      <c r="M21" s="1481"/>
      <c r="N21" s="1478" t="s">
        <v>976</v>
      </c>
      <c r="O21" s="1542"/>
      <c r="P21" s="2748">
        <f>SUMPRODUCT((地价!A3:A24=YEAR(G19)&amp;"-"&amp;ROUNDUP(MONTH(G19)/3,0))*(地价!AD2:AH2=N21)*(地价!AD3:AH24))</f>
        <v>1.5299999999999999E-2</v>
      </c>
      <c r="R21" s="2904"/>
      <c r="S21" s="2904"/>
      <c r="T21" s="2904"/>
      <c r="U21" s="2904"/>
      <c r="V21" s="2904"/>
      <c r="W21" s="2195"/>
      <c r="X21" s="2195"/>
      <c r="Y21" s="2195"/>
      <c r="Z21" s="2195"/>
      <c r="AA21" s="2195"/>
      <c r="AB21" s="2195"/>
      <c r="AC21" s="2195"/>
      <c r="AD21" s="1403"/>
      <c r="AE21" s="1403"/>
      <c r="AF21" s="1403"/>
      <c r="AG21" s="1403"/>
      <c r="AH21" s="1472"/>
      <c r="AI21" s="1472"/>
    </row>
    <row r="22" spans="1:40" s="1421" customFormat="1" ht="14.25">
      <c r="A22" s="1643" t="s">
        <v>1871</v>
      </c>
      <c r="B22" s="1483" t="s">
        <v>977</v>
      </c>
      <c r="C22" s="1060" t="s">
        <v>1703</v>
      </c>
      <c r="D22" s="1060">
        <f>IF(E22=G22,F22,IF(G3&lt;=10,ROUND(F22+(H22-F22)*(G3-E22)/(G22-E22),4),"——"))</f>
        <v>0.81620000000000004</v>
      </c>
      <c r="E22" s="1039">
        <f>ROUNDDOWN(G3,1)</f>
        <v>5.0999999999999996</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0.81689999999999996</v>
      </c>
      <c r="G22" s="1039">
        <f>ROUNDUP(G3,1)</f>
        <v>5.1999999999999993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0.81359999999999999</v>
      </c>
      <c r="I22" s="1060" t="s">
        <v>978</v>
      </c>
      <c r="J22" s="1060" t="str">
        <f>IF(G3&gt;10,D113,"——")</f>
        <v>——</v>
      </c>
      <c r="K22" s="1481"/>
      <c r="L22" s="1481"/>
      <c r="M22" s="1481"/>
      <c r="N22" s="1478" t="s">
        <v>979</v>
      </c>
      <c r="O22" s="1542"/>
      <c r="P22" s="2748">
        <f>SUMPRODUCT((地价!A3:A24=YEAR(G19)&amp;"-"&amp;ROUNDUP(MONTH(G19)/3,0))*(地价!AD2:AH2=N22)*(地价!AD3:AH24))</f>
        <v>1.5299999999999999E-2</v>
      </c>
      <c r="R22" s="2904"/>
      <c r="S22" s="2904"/>
      <c r="T22" s="2904"/>
      <c r="U22" s="2904"/>
      <c r="V22" s="2904"/>
      <c r="W22" s="2195"/>
      <c r="X22" s="2195"/>
      <c r="Y22" s="2195"/>
      <c r="Z22" s="2195"/>
      <c r="AA22" s="2195"/>
      <c r="AB22" s="2195"/>
      <c r="AC22" s="2195"/>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923</v>
      </c>
      <c r="O23" s="1542"/>
      <c r="P23" s="2748">
        <f>SUMPRODUCT((地价!A3:A24=YEAR(G19)&amp;"-"&amp;ROUNDUP(MONTH(G19)/3,0))*(地价!AD2:AH2=N23)*(地价!AD3:AH24))</f>
        <v>2.41E-2</v>
      </c>
      <c r="R23" s="2904"/>
      <c r="S23" s="2904"/>
      <c r="T23" s="2904"/>
      <c r="U23" s="2904"/>
      <c r="V23" s="2904"/>
      <c r="W23" s="2195"/>
      <c r="X23" s="2195"/>
      <c r="Y23" s="2195"/>
      <c r="Z23" s="2195"/>
      <c r="AA23" s="2195"/>
      <c r="AB23" s="2195"/>
      <c r="AC23" s="2195"/>
      <c r="AN23" s="1404"/>
    </row>
    <row r="24" spans="1:40" s="1421" customFormat="1" ht="15.75" thickBot="1">
      <c r="A24" s="1641" t="s">
        <v>1873</v>
      </c>
      <c r="B24" s="1415" t="s">
        <v>981</v>
      </c>
      <c r="C24" s="1062">
        <f>SUMIF(A44:A87,E2,B44:B87)</f>
        <v>1.0488999999999999</v>
      </c>
      <c r="D24" s="1535"/>
      <c r="E24" s="1536"/>
      <c r="F24" s="1536"/>
      <c r="G24" s="1536"/>
      <c r="H24" s="1536"/>
      <c r="I24" s="1536"/>
      <c r="J24" s="1536"/>
      <c r="K24" s="1481"/>
      <c r="L24" s="1481"/>
      <c r="M24" s="1481"/>
      <c r="N24" s="1484" t="s">
        <v>982</v>
      </c>
      <c r="O24" s="1543"/>
      <c r="P24" s="1541">
        <f>SUMPRODUCT((地价!A3:A24=YEAR(G19)&amp;"-"&amp;ROUNDUP(MONTH(G19)/3,0))*(地价!AD2:AH2=N24)*(地价!AD3:AH24))</f>
        <v>1.4200000000000001E-2</v>
      </c>
      <c r="R24" s="2904"/>
      <c r="S24" s="2904"/>
      <c r="T24" s="2904"/>
      <c r="U24" s="2904"/>
      <c r="V24" s="2904"/>
      <c r="W24" s="2195"/>
      <c r="X24" s="2195"/>
      <c r="Y24" s="2195"/>
      <c r="Z24" s="2195"/>
      <c r="AA24" s="2195"/>
      <c r="AB24" s="2195"/>
      <c r="AC24" s="2195"/>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5"/>
      <c r="M25" s="2195"/>
      <c r="N25" s="2776" t="s">
        <v>2649</v>
      </c>
      <c r="O25" s="2195"/>
      <c r="P25" s="1541">
        <f>SUMPRODUCT((地价!A3:A24=YEAR(G19)&amp;"-"&amp;ROUNDUP(MONTH(G19)/3,0))*(地价!AD2:AH2=N25)*(地价!AD3:AH24))</f>
        <v>2.1899999999999999E-2</v>
      </c>
      <c r="R25" s="2904"/>
      <c r="S25" s="2904"/>
      <c r="T25" s="2904"/>
      <c r="U25" s="2904"/>
      <c r="V25" s="2904"/>
      <c r="W25" s="2195"/>
      <c r="X25" s="2195"/>
      <c r="Y25" s="2195"/>
      <c r="Z25" s="2195"/>
      <c r="AA25" s="2195"/>
      <c r="AB25" s="2195"/>
      <c r="AC25" s="2195"/>
    </row>
    <row r="26" spans="1:40" ht="14.25">
      <c r="A26" s="1489"/>
      <c r="B26" s="1483" t="s">
        <v>987</v>
      </c>
      <c r="C26" s="1063">
        <f ca="1">E29+SUM(E33:E39)</f>
        <v>535640</v>
      </c>
      <c r="D26" s="1490"/>
      <c r="E26" s="1456"/>
      <c r="F26" s="1491"/>
      <c r="G26" s="1456"/>
      <c r="H26" s="1456"/>
      <c r="I26" s="1456"/>
      <c r="J26" s="1492"/>
      <c r="K26" s="1401"/>
      <c r="L26" s="2195"/>
      <c r="M26" s="2195"/>
      <c r="N26" s="2195"/>
      <c r="O26" s="2195"/>
      <c r="P26" s="2195"/>
      <c r="Q26" s="2195"/>
      <c r="R26" s="2904"/>
      <c r="S26" s="2904"/>
      <c r="T26" s="2904"/>
      <c r="U26" s="2904"/>
      <c r="V26" s="2904"/>
      <c r="W26" s="2195"/>
      <c r="X26" s="2195"/>
      <c r="Y26" s="2195"/>
      <c r="Z26" s="2195"/>
      <c r="AA26" s="2195"/>
      <c r="AB26" s="2195"/>
      <c r="AC26" s="2195"/>
      <c r="AD26" s="1472"/>
      <c r="AE26" s="1472"/>
      <c r="AF26" s="1472"/>
      <c r="AG26" s="1472"/>
    </row>
    <row r="27" spans="1:40" ht="15" thickBot="1">
      <c r="A27" s="1489"/>
      <c r="B27" s="1493" t="s">
        <v>989</v>
      </c>
      <c r="C27" s="1064">
        <f ca="1">E30+SUM(I33:I39)</f>
        <v>0</v>
      </c>
      <c r="D27" s="1494"/>
      <c r="E27" s="1495"/>
      <c r="F27" s="1496"/>
      <c r="G27" s="1495"/>
      <c r="H27" s="1495"/>
      <c r="I27" s="1495"/>
      <c r="J27" s="1497"/>
      <c r="K27" s="1401"/>
      <c r="L27" s="2195"/>
      <c r="M27" s="2195"/>
      <c r="N27" s="2195"/>
      <c r="O27" s="2195"/>
      <c r="P27" s="2195"/>
      <c r="Q27" s="2195"/>
      <c r="R27" s="2904"/>
      <c r="S27" s="2904"/>
      <c r="T27" s="2904"/>
      <c r="U27" s="2904"/>
      <c r="V27" s="2904"/>
      <c r="W27" s="2195"/>
      <c r="X27" s="2195"/>
      <c r="Y27" s="2195"/>
      <c r="Z27" s="2195"/>
      <c r="AA27" s="2195"/>
      <c r="AB27" s="2195"/>
      <c r="AC27" s="2195"/>
    </row>
    <row r="28" spans="1:40" ht="14.25">
      <c r="A28" s="1485"/>
      <c r="B28" s="1498" t="s">
        <v>990</v>
      </c>
      <c r="C28" s="1499" t="s">
        <v>991</v>
      </c>
      <c r="D28" s="1499" t="s">
        <v>992</v>
      </c>
      <c r="E28" s="1500" t="s">
        <v>993</v>
      </c>
      <c r="F28" s="1501"/>
      <c r="G28" s="1442"/>
      <c r="H28" s="1442"/>
      <c r="I28" s="1442"/>
      <c r="J28" s="1443"/>
      <c r="K28" s="1401"/>
      <c r="L28" s="2195"/>
      <c r="M28" s="2195"/>
      <c r="N28" s="2195"/>
      <c r="O28" s="2195"/>
      <c r="P28" s="2195"/>
      <c r="Q28" s="2195"/>
      <c r="R28" s="2904"/>
      <c r="S28" s="2904"/>
      <c r="T28" s="2904"/>
      <c r="U28" s="2904"/>
      <c r="V28" s="2904"/>
      <c r="W28" s="2195"/>
      <c r="X28" s="2195"/>
      <c r="Y28" s="2195"/>
      <c r="Z28" s="2195"/>
      <c r="AA28" s="2195"/>
      <c r="AB28" s="2195"/>
      <c r="AC28" s="2195"/>
      <c r="AD28" s="1472"/>
      <c r="AE28" s="1472"/>
      <c r="AF28" s="1472"/>
      <c r="AG28" s="1472"/>
    </row>
    <row r="29" spans="1:40" ht="24">
      <c r="A29" s="1502"/>
      <c r="B29" s="1503" t="s">
        <v>994</v>
      </c>
      <c r="C29" s="1063">
        <f ca="1">ROUND(C5*C18*C19*C20*C21*C24,0)</f>
        <v>17002</v>
      </c>
      <c r="D29" s="1504">
        <f>'数据-基础表'!K14</f>
        <v>315045</v>
      </c>
      <c r="E29" s="1849">
        <f ca="1">ROUND(C29*D29/10000,0)</f>
        <v>535640</v>
      </c>
      <c r="F29" s="1505" t="s">
        <v>1702</v>
      </c>
      <c r="G29" s="1506"/>
      <c r="H29" s="1506"/>
      <c r="I29" s="1506"/>
      <c r="J29" s="1507"/>
      <c r="K29" s="1401"/>
      <c r="L29" s="2195"/>
      <c r="M29" s="2195"/>
      <c r="N29" s="2195"/>
      <c r="O29" s="2195"/>
      <c r="P29" s="2195"/>
      <c r="Q29" s="2195"/>
      <c r="R29" s="2904"/>
      <c r="S29" s="2904"/>
      <c r="T29" s="2904"/>
      <c r="U29" s="2904"/>
      <c r="V29" s="2904"/>
      <c r="W29" s="2195"/>
      <c r="X29" s="2195"/>
      <c r="Y29" s="2195"/>
      <c r="Z29" s="2195"/>
      <c r="AA29" s="2195"/>
      <c r="AB29" s="2195"/>
      <c r="AC29" s="2195"/>
      <c r="AH29" s="1402"/>
      <c r="AI29" s="1402"/>
      <c r="AJ29" s="1405"/>
      <c r="AK29" s="1405"/>
      <c r="AL29" s="1405"/>
      <c r="AM29" s="1405"/>
    </row>
    <row r="30" spans="1:40" ht="24.75" thickBot="1">
      <c r="A30" s="1508"/>
      <c r="B30" s="1509" t="s">
        <v>995</v>
      </c>
      <c r="C30" s="1051">
        <f ca="1">ROUND(IF(E2="工业",C29*M39,C29*M38),0)</f>
        <v>4251</v>
      </c>
      <c r="D30" s="1510"/>
      <c r="E30" s="1849">
        <f ca="1">ROUND(C30*D30/10000,0)</f>
        <v>0</v>
      </c>
      <c r="F30" s="1511" t="s">
        <v>996</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64" t="s">
        <v>2959</v>
      </c>
      <c r="B33" s="1524" t="s">
        <v>1000</v>
      </c>
      <c r="C33" s="1063">
        <f ca="1">ROUND(D5*C19*C20*C24*F33,0)</f>
        <v>14582</v>
      </c>
      <c r="D33" s="1537"/>
      <c r="E33" s="1048">
        <f ca="1">ROUND(C33*D33/10000,0)</f>
        <v>0</v>
      </c>
      <c r="F33" s="1048">
        <f>SUMIF(修正!A45:A56,G2,修正!B45:B56)</f>
        <v>0.7</v>
      </c>
      <c r="G33" s="1048">
        <f t="shared" ref="G33" ca="1" si="6">ROUND(IF(E2="工业",C33*$M$39,C33*$M$38),0)</f>
        <v>3646</v>
      </c>
      <c r="H33" s="1048">
        <f>D33</f>
        <v>0</v>
      </c>
      <c r="I33" s="1048">
        <f ca="1">ROUND(G33*H33/10000,0)</f>
        <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65"/>
      <c r="B34" s="1445" t="s">
        <v>1001</v>
      </c>
      <c r="C34" s="1063">
        <f ca="1">ROUND(D5*C19*C20*C24*F34,0)</f>
        <v>8332</v>
      </c>
      <c r="D34" s="1537"/>
      <c r="E34" s="1048">
        <f t="shared" ref="E34:E39" ca="1" si="7">ROUND(C34*D34/10000,0)</f>
        <v>0</v>
      </c>
      <c r="F34" s="1048">
        <f>SUMIF(修正!A45:A56,G2,修正!C45:C56)</f>
        <v>0.4</v>
      </c>
      <c r="G34" s="1048">
        <f ca="1">ROUND(IF(E2="工业",C34*$M$39,C34*$M$38),0)</f>
        <v>2083</v>
      </c>
      <c r="H34" s="1048">
        <f t="shared" ref="H34:H39" si="8">D34</f>
        <v>0</v>
      </c>
      <c r="I34" s="1048">
        <f t="shared" ref="I34:I39" ca="1" si="9">ROUND(G34*H34/10000,0)</f>
        <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65"/>
      <c r="B35" s="1445" t="s">
        <v>1002</v>
      </c>
      <c r="C35" s="1063">
        <f ca="1">ROUND(D5*C19*C20*C24*F35,0)</f>
        <v>5833</v>
      </c>
      <c r="D35" s="1537"/>
      <c r="E35" s="1048">
        <f t="shared" ca="1" si="7"/>
        <v>0</v>
      </c>
      <c r="F35" s="1048">
        <f>SUMIF(修正!A45:A56,G2,修正!D45:D56)</f>
        <v>0.28000000000000003</v>
      </c>
      <c r="G35" s="1048">
        <f ca="1">ROUND(IF(E2="工业",C35*$M$39,C35*$M$38),0)</f>
        <v>1458</v>
      </c>
      <c r="H35" s="1048">
        <f t="shared" si="8"/>
        <v>0</v>
      </c>
      <c r="I35" s="1048">
        <f t="shared" ca="1" si="9"/>
        <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66"/>
      <c r="B36" s="1445" t="s">
        <v>1003</v>
      </c>
      <c r="C36" s="1063">
        <f ca="1">ROUND(D5*C19*C20*C24*F36,0)</f>
        <v>5208</v>
      </c>
      <c r="D36" s="1537"/>
      <c r="E36" s="1048">
        <f t="shared" ca="1" si="7"/>
        <v>0</v>
      </c>
      <c r="F36" s="1048">
        <f>SUMIF(修正!A45:A56,G2,修正!E45:E56)</f>
        <v>0.25</v>
      </c>
      <c r="G36" s="1048">
        <f ca="1">ROUND(IF(E2="工业",C36*$M$39,C36*$M$38),0)</f>
        <v>1302</v>
      </c>
      <c r="H36" s="1048">
        <f t="shared" si="8"/>
        <v>0</v>
      </c>
      <c r="I36" s="1048">
        <f t="shared" ca="1" si="9"/>
        <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1004</v>
      </c>
      <c r="C37" s="1048">
        <f ca="1">ROUND(D5*C19*C20*C24*F37,0)</f>
        <v>5208</v>
      </c>
      <c r="D37" s="1537"/>
      <c r="E37" s="1048">
        <f t="shared" ca="1" si="7"/>
        <v>0</v>
      </c>
      <c r="F37" s="1063">
        <f>SUMIF(修正!A45:A56,G2,修正!F45:F56)</f>
        <v>0.25</v>
      </c>
      <c r="G37" s="1048">
        <f ca="1">ROUND(IF(E2="工业",C37*$M$39,C37*$M$38),0)</f>
        <v>1302</v>
      </c>
      <c r="H37" s="1048">
        <f t="shared" si="8"/>
        <v>0</v>
      </c>
      <c r="I37" s="1048">
        <f t="shared" ca="1" si="9"/>
        <v>0</v>
      </c>
      <c r="J37" s="1525"/>
      <c r="K37" s="1401"/>
      <c r="L37" s="1544" t="s">
        <v>1704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1005</v>
      </c>
      <c r="C38" s="1048">
        <f ca="1">ROUND(D5*C19*C41*C24*F38,0)</f>
        <v>0</v>
      </c>
      <c r="D38" s="1537"/>
      <c r="E38" s="1048">
        <f t="shared" ca="1" si="7"/>
        <v>0</v>
      </c>
      <c r="F38" s="1063">
        <f>SUMIF(修正!A45:A56,G2,修正!G45:G56)</f>
        <v>0.25</v>
      </c>
      <c r="G38" s="1048">
        <f ca="1">ROUND(IF(E2="工业",C38*$M$39,C38*$M$38),0)</f>
        <v>0</v>
      </c>
      <c r="H38" s="1048">
        <f t="shared" si="8"/>
        <v>0</v>
      </c>
      <c r="I38" s="1048">
        <f t="shared" ca="1" si="9"/>
        <v>0</v>
      </c>
      <c r="J38" s="1525"/>
      <c r="K38" s="1401"/>
      <c r="L38" s="1546" t="s">
        <v>1706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1006</v>
      </c>
      <c r="C39" s="1051">
        <f ca="1">ROUND(D5*C19*C41*C24*F39,0)</f>
        <v>0</v>
      </c>
      <c r="D39" s="1538"/>
      <c r="E39" s="1051">
        <f t="shared" ca="1" si="7"/>
        <v>0</v>
      </c>
      <c r="F39" s="1065">
        <f>SUMIF(修正!A45:A56,G2,修正!H45:H56)</f>
        <v>0.2</v>
      </c>
      <c r="G39" s="1051">
        <f ca="1">ROUND(IF(E2="工业",C39*$M$39,C39*$M$38),0)</f>
        <v>0</v>
      </c>
      <c r="H39" s="1051">
        <f t="shared" si="8"/>
        <v>0</v>
      </c>
      <c r="I39" s="1051">
        <f t="shared" ca="1" si="9"/>
        <v>0</v>
      </c>
      <c r="J39" s="1527"/>
      <c r="K39" s="1401"/>
      <c r="L39" s="1548" t="s">
        <v>1705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ht="12.75">
      <c r="A41" s="1403"/>
      <c r="B41" s="3177" t="s">
        <v>2987</v>
      </c>
      <c r="C41" s="839">
        <f ca="1">ROUND(POWER(1+E41,H41-G41)*(POWER(1+E41,G41)-1)/(POWER(1+E41,H41)-1),4)</f>
        <v>0</v>
      </c>
      <c r="D41" s="378" t="s">
        <v>2985</v>
      </c>
      <c r="E41" s="3176">
        <f ca="1">G20</f>
        <v>5.1999999999999998E-2</v>
      </c>
      <c r="F41" s="378" t="s">
        <v>2986</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398" t="s">
        <v>1007</v>
      </c>
      <c r="B44" s="2399"/>
      <c r="C44" s="2400"/>
      <c r="D44" s="2401"/>
      <c r="E44" s="2401"/>
      <c r="F44" s="2402"/>
      <c r="G44" s="1066"/>
      <c r="H44" s="2402"/>
      <c r="I44" s="1066"/>
      <c r="J44" s="1066"/>
      <c r="K44" s="1066"/>
      <c r="L44" s="1066"/>
      <c r="M44" s="1066"/>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hidden="1">
      <c r="A45" s="2403" t="s">
        <v>1008</v>
      </c>
      <c r="B45" s="2404">
        <f>1+E47</f>
        <v>1</v>
      </c>
      <c r="C45" s="2405"/>
      <c r="D45" s="2406"/>
      <c r="E45" s="2407"/>
      <c r="F45" s="2408"/>
      <c r="G45" s="2402"/>
      <c r="H45" s="2402"/>
      <c r="I45" s="1066"/>
      <c r="J45" s="1066"/>
      <c r="K45" s="1066"/>
      <c r="L45" s="1066"/>
      <c r="M45" s="1066"/>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hidden="1">
      <c r="A46" s="1067" t="s">
        <v>1009</v>
      </c>
      <c r="B46" s="2387" t="s">
        <v>1010</v>
      </c>
      <c r="C46" s="2409" t="s">
        <v>1011</v>
      </c>
      <c r="D46" s="2410" t="s">
        <v>1012</v>
      </c>
      <c r="E46" s="2411" t="s">
        <v>1014</v>
      </c>
      <c r="F46" s="2412" t="s">
        <v>2251</v>
      </c>
      <c r="G46" s="2410" t="s">
        <v>1015</v>
      </c>
      <c r="H46" s="2393" t="s">
        <v>2419</v>
      </c>
      <c r="I46" s="2410" t="s">
        <v>1013</v>
      </c>
      <c r="J46" s="2413" t="s">
        <v>1016</v>
      </c>
      <c r="K46" s="2413" t="s">
        <v>1017</v>
      </c>
      <c r="L46" s="2413" t="s">
        <v>1018</v>
      </c>
      <c r="M46" s="2413" t="s">
        <v>1019</v>
      </c>
      <c r="N46" s="2413" t="s">
        <v>1020</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48" hidden="1">
      <c r="A47" s="1067" t="s">
        <v>1021</v>
      </c>
      <c r="B47" s="2390" t="str">
        <f>估价对象房地状况!C16</f>
        <v>估价对象位于酒仙桥商圈，周边商业氛围较成熟，人流量较大，商业繁华度较好</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96" hidden="1">
      <c r="A48" s="1067" t="s">
        <v>1022</v>
      </c>
      <c r="B48" s="2387" t="str">
        <f>估价对象房地状况!C18</f>
        <v>估价对象周边有445路、516路、659路、983路等多条公交线路经过，距14号线地铁（将台站）约300米，道路状况较好、公共交通通达情况较好、综合评价交通便捷度较好。</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hidden="1">
      <c r="A49" s="1067" t="s">
        <v>1023</v>
      </c>
      <c r="B49" s="2387">
        <f>估价对象房地状况!C19</f>
        <v>0</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hidden="1">
      <c r="A50" s="1067" t="s">
        <v>1024</v>
      </c>
      <c r="B50" s="3073" t="s">
        <v>2935</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hidden="1">
      <c r="A51" s="1067" t="s">
        <v>1025</v>
      </c>
      <c r="B51" s="2387">
        <f>估价对象房地状况!C24</f>
        <v>0</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hidden="1">
      <c r="A52" s="1067" t="s">
        <v>1026</v>
      </c>
      <c r="B52" s="3072" t="s">
        <v>2934</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hidden="1">
      <c r="A53" s="2419" t="s">
        <v>1027</v>
      </c>
      <c r="B53" s="2388" t="str">
        <f>估价对象房地状况!C21</f>
        <v>估价对象所在区域公共配套设施齐备度较好</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hidden="1">
      <c r="A54" s="2419" t="s">
        <v>1028</v>
      </c>
      <c r="B54" s="2387" t="str">
        <f>估价对象房地状况!C22</f>
        <v>估价对象所在区域基础设施水平达到七通一平</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hidden="1" thickBot="1">
      <c r="A55" s="2420" t="s">
        <v>1029</v>
      </c>
      <c r="B55" s="2391" t="str">
        <f>估价对象房地状况!C20</f>
        <v>区域自然环境：；人文环境；综合评价环境状况较好</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03" t="s">
        <v>1030</v>
      </c>
      <c r="B56" s="2404">
        <f>1+E58</f>
        <v>1.0488999999999999</v>
      </c>
      <c r="C56" s="2423"/>
      <c r="D56" s="2406"/>
      <c r="E56" s="2407"/>
      <c r="F56" s="2408"/>
      <c r="G56" s="2402"/>
      <c r="H56" s="2402"/>
      <c r="I56" s="2402"/>
      <c r="J56" s="1066"/>
      <c r="K56" s="1066"/>
      <c r="L56" s="1066"/>
      <c r="M56" s="1066"/>
      <c r="N56" s="1066"/>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7" t="s">
        <v>1009</v>
      </c>
      <c r="B57" s="2387"/>
      <c r="C57" s="2409" t="s">
        <v>1011</v>
      </c>
      <c r="D57" s="2410" t="s">
        <v>1012</v>
      </c>
      <c r="E57" s="2411" t="s">
        <v>1014</v>
      </c>
      <c r="F57" s="2412" t="s">
        <v>2251</v>
      </c>
      <c r="G57" s="2410" t="s">
        <v>1015</v>
      </c>
      <c r="H57" s="2393" t="s">
        <v>2419</v>
      </c>
      <c r="I57" s="2410" t="s">
        <v>1013</v>
      </c>
      <c r="J57" s="2413" t="s">
        <v>1016</v>
      </c>
      <c r="K57" s="2413" t="s">
        <v>1017</v>
      </c>
      <c r="L57" s="2413" t="s">
        <v>1018</v>
      </c>
      <c r="M57" s="2413" t="s">
        <v>1019</v>
      </c>
      <c r="N57" s="2413" t="s">
        <v>1020</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48">
      <c r="A58" s="1067" t="s">
        <v>1031</v>
      </c>
      <c r="B58" s="2390" t="str">
        <f>估价对象房地状况!C17</f>
        <v>估价对象位于酒仙桥商圈，周边办公楼项目较多，入驻率高，办公集聚程度较好</v>
      </c>
      <c r="C58" s="1050" t="s">
        <v>3018</v>
      </c>
      <c r="D58" s="2396">
        <f t="shared" ref="D58:D66" si="15">SUMIF($J$57:$N$57,C58,J58:N58)</f>
        <v>1.15E-2</v>
      </c>
      <c r="E58" s="2415">
        <f>ROUND(SUM(D58:D66),4)</f>
        <v>4.8899999999999999E-2</v>
      </c>
      <c r="F58" s="2416">
        <f>IF(E2="办公",SUMIF(L1:L12,G2,N1:N12),"——")</f>
        <v>9.6000000000000002E-2</v>
      </c>
      <c r="G58" s="2394">
        <v>1.15E-2</v>
      </c>
      <c r="H58" s="2440">
        <f>IFERROR(ROUNDDOWN($F$58*I58/2,4),"——")</f>
        <v>1.15E-2</v>
      </c>
      <c r="I58" s="2414">
        <v>0.24</v>
      </c>
      <c r="J58" s="2417">
        <f t="shared" ref="J58:J66" si="16">K58+$G58</f>
        <v>2.3E-2</v>
      </c>
      <c r="K58" s="2417">
        <f t="shared" ref="K58:K66" si="17">$L58+$G58</f>
        <v>1.15E-2</v>
      </c>
      <c r="L58" s="2417">
        <v>0</v>
      </c>
      <c r="M58" s="2417">
        <f t="shared" ref="M58:N66" si="18">L58-$G58</f>
        <v>-1.15E-2</v>
      </c>
      <c r="N58" s="2417">
        <f t="shared" si="18"/>
        <v>-2.3E-2</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96">
      <c r="A59" s="1067" t="s">
        <v>1022</v>
      </c>
      <c r="B59" s="2387" t="str">
        <f>估价对象房地状况!C18</f>
        <v>估价对象周边有445路、516路、659路、983路等多条公交线路经过，距14号线地铁（将台站）约300米，道路状况较好、公共交通通达情况较好、综合评价交通便捷度较好。</v>
      </c>
      <c r="C59" s="1050" t="s">
        <v>3018</v>
      </c>
      <c r="D59" s="2396">
        <f t="shared" si="15"/>
        <v>1.44E-2</v>
      </c>
      <c r="E59" s="2418"/>
      <c r="F59" s="2416"/>
      <c r="G59" s="2394">
        <v>1.44E-2</v>
      </c>
      <c r="H59" s="2395">
        <f t="shared" ref="H59:H66" si="19">IFERROR($F$58*I59/2,"——")</f>
        <v>1.44E-2</v>
      </c>
      <c r="I59" s="2414">
        <v>0.3</v>
      </c>
      <c r="J59" s="2417">
        <f t="shared" si="16"/>
        <v>2.8799999999999999E-2</v>
      </c>
      <c r="K59" s="2417">
        <f t="shared" si="17"/>
        <v>1.44E-2</v>
      </c>
      <c r="L59" s="2417">
        <v>0</v>
      </c>
      <c r="M59" s="2417">
        <f t="shared" si="18"/>
        <v>-1.44E-2</v>
      </c>
      <c r="N59" s="2417">
        <f t="shared" si="18"/>
        <v>-2.8799999999999999E-2</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7" t="s">
        <v>1023</v>
      </c>
      <c r="B60" s="2387">
        <f>估价对象房地状况!C19</f>
        <v>0</v>
      </c>
      <c r="C60" s="1050" t="s">
        <v>3018</v>
      </c>
      <c r="D60" s="2396">
        <f t="shared" si="15"/>
        <v>3.8400000000000001E-3</v>
      </c>
      <c r="E60" s="2418"/>
      <c r="F60" s="2416"/>
      <c r="G60" s="2394">
        <v>3.8400000000000001E-3</v>
      </c>
      <c r="H60" s="2395">
        <f t="shared" si="19"/>
        <v>3.8400000000000001E-3</v>
      </c>
      <c r="I60" s="2414">
        <v>0.08</v>
      </c>
      <c r="J60" s="2417">
        <f t="shared" si="16"/>
        <v>7.6800000000000002E-3</v>
      </c>
      <c r="K60" s="2417">
        <f t="shared" si="17"/>
        <v>3.8400000000000001E-3</v>
      </c>
      <c r="L60" s="2417">
        <v>0</v>
      </c>
      <c r="M60" s="2417">
        <f t="shared" si="18"/>
        <v>-3.8400000000000001E-3</v>
      </c>
      <c r="N60" s="2417">
        <f t="shared" si="18"/>
        <v>-7.6800000000000002E-3</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7" t="s">
        <v>1024</v>
      </c>
      <c r="B61" s="3073" t="s">
        <v>2935</v>
      </c>
      <c r="C61" s="1050" t="s">
        <v>3018</v>
      </c>
      <c r="D61" s="2396">
        <f t="shared" si="15"/>
        <v>1.92E-3</v>
      </c>
      <c r="E61" s="2418"/>
      <c r="F61" s="2416"/>
      <c r="G61" s="2394">
        <v>1.92E-3</v>
      </c>
      <c r="H61" s="2395">
        <f t="shared" si="19"/>
        <v>1.92E-3</v>
      </c>
      <c r="I61" s="2414">
        <v>0.04</v>
      </c>
      <c r="J61" s="2417">
        <f t="shared" si="16"/>
        <v>3.8400000000000001E-3</v>
      </c>
      <c r="K61" s="2417">
        <f t="shared" si="17"/>
        <v>1.92E-3</v>
      </c>
      <c r="L61" s="2417">
        <v>0</v>
      </c>
      <c r="M61" s="2417">
        <f t="shared" si="18"/>
        <v>-1.92E-3</v>
      </c>
      <c r="N61" s="2417">
        <f t="shared" si="18"/>
        <v>-3.8400000000000001E-3</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7" t="s">
        <v>1025</v>
      </c>
      <c r="B62" s="2387">
        <f>估价对象房地状况!C24</f>
        <v>0</v>
      </c>
      <c r="C62" s="1050" t="s">
        <v>3019</v>
      </c>
      <c r="D62" s="2396">
        <f t="shared" si="15"/>
        <v>-2.3999999999999998E-3</v>
      </c>
      <c r="E62" s="2418"/>
      <c r="F62" s="2416"/>
      <c r="G62" s="2394">
        <v>2.3999999999999998E-3</v>
      </c>
      <c r="H62" s="2395">
        <f t="shared" si="19"/>
        <v>2.4000000000000002E-3</v>
      </c>
      <c r="I62" s="2414">
        <v>0.05</v>
      </c>
      <c r="J62" s="2417">
        <f t="shared" si="16"/>
        <v>4.7999999999999996E-3</v>
      </c>
      <c r="K62" s="2417">
        <f t="shared" si="17"/>
        <v>2.3999999999999998E-3</v>
      </c>
      <c r="L62" s="2417">
        <v>0</v>
      </c>
      <c r="M62" s="2417">
        <f t="shared" si="18"/>
        <v>-2.3999999999999998E-3</v>
      </c>
      <c r="N62" s="2417">
        <f t="shared" si="18"/>
        <v>-4.7999999999999996E-3</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7" t="s">
        <v>1026</v>
      </c>
      <c r="B63" s="3072" t="s">
        <v>2934</v>
      </c>
      <c r="C63" s="1050" t="s">
        <v>3018</v>
      </c>
      <c r="D63" s="2396">
        <f t="shared" si="15"/>
        <v>2.3999999999999998E-3</v>
      </c>
      <c r="E63" s="2418"/>
      <c r="F63" s="2416"/>
      <c r="G63" s="2394">
        <v>2.3999999999999998E-3</v>
      </c>
      <c r="H63" s="2395">
        <f t="shared" si="19"/>
        <v>2.4000000000000002E-3</v>
      </c>
      <c r="I63" s="2414">
        <v>0.05</v>
      </c>
      <c r="J63" s="2417">
        <f t="shared" si="16"/>
        <v>4.7999999999999996E-3</v>
      </c>
      <c r="K63" s="2417">
        <f t="shared" si="17"/>
        <v>2.3999999999999998E-3</v>
      </c>
      <c r="L63" s="2417">
        <v>0</v>
      </c>
      <c r="M63" s="2417">
        <f t="shared" si="18"/>
        <v>-2.3999999999999998E-3</v>
      </c>
      <c r="N63" s="2417">
        <f t="shared" si="18"/>
        <v>-4.7999999999999996E-3</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7" t="s">
        <v>1027</v>
      </c>
      <c r="B64" s="2388" t="str">
        <f>估价对象房地状况!C21</f>
        <v>估价对象所在区域公共配套设施齐备度较好</v>
      </c>
      <c r="C64" s="1050" t="s">
        <v>3018</v>
      </c>
      <c r="D64" s="2396">
        <f t="shared" si="15"/>
        <v>2.8800000000000002E-3</v>
      </c>
      <c r="E64" s="2418"/>
      <c r="F64" s="2416"/>
      <c r="G64" s="2394">
        <v>2.8800000000000002E-3</v>
      </c>
      <c r="H64" s="2395">
        <f t="shared" si="19"/>
        <v>2.8799999999999997E-3</v>
      </c>
      <c r="I64" s="2414">
        <v>0.06</v>
      </c>
      <c r="J64" s="2417">
        <f t="shared" si="16"/>
        <v>5.7600000000000004E-3</v>
      </c>
      <c r="K64" s="2417">
        <f t="shared" si="17"/>
        <v>2.8800000000000002E-3</v>
      </c>
      <c r="L64" s="2417">
        <v>0</v>
      </c>
      <c r="M64" s="2417">
        <f t="shared" si="18"/>
        <v>-2.8800000000000002E-3</v>
      </c>
      <c r="N64" s="2417">
        <f t="shared" si="18"/>
        <v>-5.7600000000000004E-3</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7" t="s">
        <v>1028</v>
      </c>
      <c r="B65" s="2388" t="str">
        <f>估价对象房地状况!C22</f>
        <v>估价对象所在区域基础设施水平达到七通一平</v>
      </c>
      <c r="C65" s="1050" t="s">
        <v>3149</v>
      </c>
      <c r="D65" s="2396">
        <f t="shared" si="15"/>
        <v>1.1520000000000001E-2</v>
      </c>
      <c r="E65" s="2418"/>
      <c r="F65" s="2416"/>
      <c r="G65" s="2394">
        <v>5.7600000000000004E-3</v>
      </c>
      <c r="H65" s="2395">
        <f t="shared" si="19"/>
        <v>5.7599999999999995E-3</v>
      </c>
      <c r="I65" s="2414">
        <v>0.12</v>
      </c>
      <c r="J65" s="2417">
        <f t="shared" si="16"/>
        <v>1.1520000000000001E-2</v>
      </c>
      <c r="K65" s="2417">
        <f t="shared" si="17"/>
        <v>5.7600000000000004E-3</v>
      </c>
      <c r="L65" s="2417">
        <v>0</v>
      </c>
      <c r="M65" s="2417">
        <f t="shared" si="18"/>
        <v>-5.7600000000000004E-3</v>
      </c>
      <c r="N65" s="2417">
        <f t="shared" si="18"/>
        <v>-1.1520000000000001E-2</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20" t="s">
        <v>1029</v>
      </c>
      <c r="B66" s="2392" t="str">
        <f>估价对象房地状况!C20</f>
        <v>区域自然环境：；人文环境；综合评价环境状况较好</v>
      </c>
      <c r="C66" s="1050" t="s">
        <v>3018</v>
      </c>
      <c r="D66" s="2396">
        <f t="shared" si="15"/>
        <v>2.8800000000000002E-3</v>
      </c>
      <c r="E66" s="2422"/>
      <c r="F66" s="2416"/>
      <c r="G66" s="2394">
        <v>2.8800000000000002E-3</v>
      </c>
      <c r="H66" s="2395">
        <f t="shared" si="19"/>
        <v>2.8799999999999997E-3</v>
      </c>
      <c r="I66" s="2421">
        <v>0.06</v>
      </c>
      <c r="J66" s="2417">
        <f t="shared" si="16"/>
        <v>5.7600000000000004E-3</v>
      </c>
      <c r="K66" s="2417">
        <f t="shared" si="17"/>
        <v>2.8800000000000002E-3</v>
      </c>
      <c r="L66" s="2417">
        <v>0</v>
      </c>
      <c r="M66" s="2417">
        <f t="shared" si="18"/>
        <v>-2.8800000000000002E-3</v>
      </c>
      <c r="N66" s="2417">
        <f t="shared" si="18"/>
        <v>-5.7600000000000004E-3</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hidden="1">
      <c r="A67" s="2403" t="s">
        <v>1032</v>
      </c>
      <c r="B67" s="2404">
        <f>1+E69</f>
        <v>1</v>
      </c>
      <c r="C67" s="2423"/>
      <c r="D67" s="2406"/>
      <c r="E67" s="2407"/>
      <c r="F67" s="2408"/>
      <c r="G67" s="2402"/>
      <c r="H67" s="2402"/>
      <c r="I67" s="2402"/>
      <c r="J67" s="1066"/>
      <c r="K67" s="1066"/>
      <c r="L67" s="1066"/>
      <c r="M67" s="1066"/>
      <c r="N67" s="1066"/>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hidden="1">
      <c r="A68" s="1067" t="s">
        <v>1009</v>
      </c>
      <c r="B68" s="2387"/>
      <c r="C68" s="2409" t="s">
        <v>1011</v>
      </c>
      <c r="D68" s="2410" t="s">
        <v>1012</v>
      </c>
      <c r="E68" s="2411" t="s">
        <v>1014</v>
      </c>
      <c r="F68" s="2412" t="s">
        <v>2251</v>
      </c>
      <c r="G68" s="2410" t="s">
        <v>1015</v>
      </c>
      <c r="H68" s="2393" t="s">
        <v>2419</v>
      </c>
      <c r="I68" s="2410" t="s">
        <v>1013</v>
      </c>
      <c r="J68" s="2413" t="s">
        <v>1016</v>
      </c>
      <c r="K68" s="2413" t="s">
        <v>1017</v>
      </c>
      <c r="L68" s="2413" t="s">
        <v>1018</v>
      </c>
      <c r="M68" s="2413" t="s">
        <v>1019</v>
      </c>
      <c r="N68" s="2413" t="s">
        <v>1020</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hidden="1">
      <c r="A69" s="1067" t="s">
        <v>1033</v>
      </c>
      <c r="B69" s="2390" t="str">
        <f>估价对象房地状况!C15</f>
        <v>估价对象周边居住用地比例、居住小区规模和社区发展完善程度，综合评价居住社区成熟度一般</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96" hidden="1">
      <c r="A70" s="1067" t="s">
        <v>1022</v>
      </c>
      <c r="B70" s="2387" t="str">
        <f>估价对象房地状况!C18</f>
        <v>估价对象周边有445路、516路、659路、983路等多条公交线路经过，距14号线地铁（将台站）约300米，道路状况较好、公共交通通达情况较好、综合评价交通便捷度较好。</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hidden="1">
      <c r="A71" s="1067" t="s">
        <v>1023</v>
      </c>
      <c r="B71" s="2387">
        <f>估价对象房地状况!C19</f>
        <v>0</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hidden="1">
      <c r="A72" s="1067" t="s">
        <v>1035</v>
      </c>
      <c r="B72" s="2387">
        <f>估价对象房地状况!C24</f>
        <v>0</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hidden="1">
      <c r="A73" s="1067" t="s">
        <v>1027</v>
      </c>
      <c r="B73" s="2388" t="str">
        <f>估价对象房地状况!C21</f>
        <v>估价对象所在区域公共配套设施齐备度较好</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hidden="1">
      <c r="A74" s="1067" t="s">
        <v>1028</v>
      </c>
      <c r="B74" s="2388" t="str">
        <f>估价对象房地状况!C22</f>
        <v>估价对象所在区域基础设施水平达到七通一平</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hidden="1">
      <c r="A75" s="1067" t="s">
        <v>1026</v>
      </c>
      <c r="B75" s="3072" t="s">
        <v>2934</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hidden="1">
      <c r="A76" s="1067" t="s">
        <v>1029</v>
      </c>
      <c r="B76" s="2390" t="str">
        <f>估价对象房地状况!C20</f>
        <v>区域自然环境：；人文环境；综合评价环境状况较好</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3"/>
      <c r="AN76" s="1404"/>
    </row>
    <row r="77" spans="1:40" ht="24.75" hidden="1" thickBot="1">
      <c r="A77" s="2420" t="s">
        <v>1036</v>
      </c>
      <c r="B77" s="1850"/>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5"/>
      <c r="AD77" s="1404"/>
      <c r="AJ77" s="1403"/>
      <c r="AN77" s="1404"/>
    </row>
    <row r="78" spans="1:40" ht="15" hidden="1">
      <c r="A78" s="2403" t="s">
        <v>1037</v>
      </c>
      <c r="B78" s="2404">
        <f>1+E80</f>
        <v>1</v>
      </c>
      <c r="C78" s="2423"/>
      <c r="D78" s="2406"/>
      <c r="E78" s="2407"/>
      <c r="F78" s="2408"/>
      <c r="G78" s="2402"/>
      <c r="H78" s="2402"/>
      <c r="I78" s="2402"/>
      <c r="J78" s="1066"/>
      <c r="K78" s="1066"/>
      <c r="L78" s="1066"/>
      <c r="M78" s="1066"/>
      <c r="N78" s="1066"/>
      <c r="AC78" s="1405"/>
      <c r="AD78" s="1404"/>
      <c r="AJ78" s="1403"/>
      <c r="AN78" s="1404"/>
    </row>
    <row r="79" spans="1:40" ht="24" hidden="1">
      <c r="A79" s="1067" t="s">
        <v>1009</v>
      </c>
      <c r="B79" s="2387"/>
      <c r="C79" s="2409" t="s">
        <v>1011</v>
      </c>
      <c r="D79" s="2410" t="s">
        <v>1012</v>
      </c>
      <c r="E79" s="2411" t="s">
        <v>1014</v>
      </c>
      <c r="F79" s="2412" t="s">
        <v>2251</v>
      </c>
      <c r="G79" s="2410" t="s">
        <v>1015</v>
      </c>
      <c r="H79" s="2393" t="s">
        <v>2419</v>
      </c>
      <c r="I79" s="2410" t="s">
        <v>1013</v>
      </c>
      <c r="J79" s="2413" t="s">
        <v>1016</v>
      </c>
      <c r="K79" s="2413" t="s">
        <v>1017</v>
      </c>
      <c r="L79" s="2413" t="s">
        <v>1018</v>
      </c>
      <c r="M79" s="2413" t="s">
        <v>1019</v>
      </c>
      <c r="N79" s="2413" t="s">
        <v>1020</v>
      </c>
      <c r="AC79" s="1405"/>
      <c r="AD79" s="1404"/>
      <c r="AJ79" s="1403"/>
      <c r="AN79" s="1404"/>
    </row>
    <row r="80" spans="1:40" ht="36" hidden="1">
      <c r="A80" s="1067" t="s">
        <v>1038</v>
      </c>
      <c r="B80" s="2387" t="str">
        <f>估价对象房地状况!G15</f>
        <v>估价对象位于XX开发区，园区建设成熟度XX，产业集聚程度XX</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5"/>
      <c r="AD80" s="1404"/>
      <c r="AJ80" s="1403"/>
      <c r="AN80" s="1404"/>
    </row>
    <row r="81" spans="1:40" ht="48" hidden="1">
      <c r="A81" s="1067" t="s">
        <v>1022</v>
      </c>
      <c r="B81" s="2387" t="str">
        <f>估价对象房地状况!G16</f>
        <v>估价对象周边道路状况、公共交通通达情况、停车便捷程度，综合评价交通便捷度较好</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5"/>
      <c r="AD81" s="1404"/>
      <c r="AJ81" s="1403"/>
      <c r="AN81" s="1404"/>
    </row>
    <row r="82" spans="1:40" ht="24" hidden="1">
      <c r="A82" s="1067" t="s">
        <v>1023</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5"/>
      <c r="AD82" s="1404"/>
      <c r="AJ82" s="1403"/>
      <c r="AN82" s="1404"/>
    </row>
    <row r="83" spans="1:40" ht="14.25" hidden="1">
      <c r="A83" s="1067" t="s">
        <v>1035</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5"/>
      <c r="AD83" s="1404"/>
      <c r="AJ83" s="1403"/>
      <c r="AN83" s="1404"/>
    </row>
    <row r="84" spans="1:40" ht="24" hidden="1">
      <c r="A84" s="1067" t="s">
        <v>1027</v>
      </c>
      <c r="B84" s="2388" t="str">
        <f>估价对象房地状况!G19</f>
        <v>估价对象所在区域公共配套设施齐备情况</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5"/>
      <c r="AD84" s="1404"/>
      <c r="AJ84" s="1403"/>
      <c r="AN84" s="1404"/>
    </row>
    <row r="85" spans="1:40" ht="24" hidden="1">
      <c r="A85" s="1067" t="s">
        <v>1028</v>
      </c>
      <c r="B85" s="2388" t="str">
        <f>估价对象房地状况!G20</f>
        <v>估价对象所在区域基础设施水平</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5"/>
      <c r="AD85" s="1404"/>
      <c r="AJ85" s="1403"/>
      <c r="AN85" s="1404"/>
    </row>
    <row r="86" spans="1:40" ht="24" hidden="1">
      <c r="A86" s="1067" t="s">
        <v>1026</v>
      </c>
      <c r="B86" s="3072" t="s">
        <v>2934</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5"/>
      <c r="AD86" s="1404"/>
      <c r="AJ86" s="1403"/>
      <c r="AN86" s="1404"/>
    </row>
    <row r="87" spans="1:40" ht="36.75" hidden="1" thickBot="1">
      <c r="A87" s="2420" t="s">
        <v>1039</v>
      </c>
      <c r="B87" s="2389" t="str">
        <f>估价对象房地状况!G18</f>
        <v>该园区内是否有污染型企业，绿化情况，卫生条件，整体环境状况判断</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5"/>
      <c r="AD87" s="1404"/>
      <c r="AJ87" s="1403"/>
      <c r="AN87" s="1404"/>
    </row>
    <row r="90" spans="1:40">
      <c r="A90" s="3462" t="s">
        <v>1634</v>
      </c>
      <c r="B90" s="3462"/>
      <c r="C90" s="3462"/>
      <c r="D90" s="3462"/>
      <c r="E90" s="3462"/>
      <c r="F90" s="3462"/>
      <c r="G90" s="3462"/>
      <c r="H90" s="3462"/>
      <c r="I90" s="3462"/>
      <c r="J90" s="3462"/>
      <c r="K90" s="3196"/>
      <c r="L90" s="3196"/>
      <c r="M90" s="3196"/>
      <c r="N90" s="3196"/>
    </row>
    <row r="91" spans="1:40">
      <c r="A91" s="3463" t="s">
        <v>1444</v>
      </c>
      <c r="B91" s="3463" t="s">
        <v>1635</v>
      </c>
      <c r="C91" s="1140" t="s">
        <v>1636</v>
      </c>
      <c r="D91" s="1141"/>
      <c r="E91" s="1141"/>
      <c r="F91" s="1141"/>
      <c r="G91" s="1141"/>
      <c r="H91" s="1141"/>
      <c r="I91" s="1141"/>
      <c r="J91" s="1142"/>
      <c r="K91" s="1134"/>
      <c r="L91" s="1134"/>
      <c r="M91" s="1134"/>
      <c r="N91" s="1134"/>
    </row>
    <row r="92" spans="1:40">
      <c r="A92" s="3463"/>
      <c r="B92" s="3463"/>
      <c r="C92" s="3197" t="s">
        <v>907</v>
      </c>
      <c r="D92" s="3197" t="s">
        <v>885</v>
      </c>
      <c r="E92" s="3197" t="s">
        <v>886</v>
      </c>
      <c r="F92" s="3197" t="s">
        <v>910</v>
      </c>
      <c r="G92" s="3197" t="s">
        <v>888</v>
      </c>
      <c r="H92" s="3197" t="s">
        <v>889</v>
      </c>
      <c r="I92" s="3197" t="s">
        <v>890</v>
      </c>
      <c r="J92" s="3197" t="s">
        <v>891</v>
      </c>
      <c r="K92" s="3197" t="s">
        <v>915</v>
      </c>
      <c r="L92" s="3197" t="s">
        <v>893</v>
      </c>
      <c r="M92" s="3197" t="s">
        <v>894</v>
      </c>
      <c r="N92" s="3197" t="s">
        <v>918</v>
      </c>
    </row>
    <row r="93" spans="1:40">
      <c r="A93" s="3452"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3"/>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2" t="s">
        <v>1638</v>
      </c>
      <c r="B101" s="1147" t="s">
        <v>906</v>
      </c>
      <c r="C101" s="1148">
        <f>$G$3</f>
        <v>5.12</v>
      </c>
      <c r="D101" s="1148">
        <f t="shared" ref="D101:N101" si="31">$G$3</f>
        <v>5.12</v>
      </c>
      <c r="E101" s="1148">
        <f t="shared" si="31"/>
        <v>5.12</v>
      </c>
      <c r="F101" s="1148">
        <f t="shared" si="31"/>
        <v>5.12</v>
      </c>
      <c r="G101" s="1148">
        <f t="shared" si="31"/>
        <v>5.12</v>
      </c>
      <c r="H101" s="1148">
        <f t="shared" si="31"/>
        <v>5.12</v>
      </c>
      <c r="I101" s="1148">
        <f t="shared" si="31"/>
        <v>5.12</v>
      </c>
      <c r="J101" s="1148">
        <f t="shared" si="31"/>
        <v>5.12</v>
      </c>
      <c r="K101" s="1148">
        <f t="shared" si="31"/>
        <v>5.12</v>
      </c>
      <c r="L101" s="1148">
        <f t="shared" si="31"/>
        <v>5.12</v>
      </c>
      <c r="M101" s="1148">
        <f t="shared" si="31"/>
        <v>5.12</v>
      </c>
      <c r="N101" s="1148">
        <f t="shared" si="31"/>
        <v>5.12</v>
      </c>
    </row>
    <row r="102" spans="1:14">
      <c r="A102" s="3453"/>
      <c r="B102" s="1143">
        <v>1</v>
      </c>
      <c r="C102" s="1144">
        <f>1.9362/C101</f>
        <v>0.37816406249999995</v>
      </c>
      <c r="D102" s="1144">
        <f>1.9362/D101</f>
        <v>0.37816406249999995</v>
      </c>
      <c r="E102" s="1144">
        <f>1.8629/E101</f>
        <v>0.36384765624999998</v>
      </c>
      <c r="F102" s="1144">
        <f>1.8629/F101</f>
        <v>0.36384765624999998</v>
      </c>
      <c r="G102" s="1144">
        <f>1.8629/G101</f>
        <v>0.36384765624999998</v>
      </c>
      <c r="H102" s="1144">
        <f>1.8629/H101</f>
        <v>0.36384765624999998</v>
      </c>
      <c r="I102" s="1144">
        <f>1.8629/I101</f>
        <v>0.36384765624999998</v>
      </c>
      <c r="J102" s="1144">
        <f>1.942/J101</f>
        <v>0.37929687499999998</v>
      </c>
      <c r="K102" s="1144">
        <f>1.942/K101</f>
        <v>0.37929687499999998</v>
      </c>
      <c r="L102" s="1144">
        <f>1.942/L101</f>
        <v>0.37929687499999998</v>
      </c>
      <c r="M102" s="1144">
        <f>1.942/M101</f>
        <v>0.37929687499999998</v>
      </c>
      <c r="N102" s="1144">
        <f>1.942/N101</f>
        <v>0.37929687499999998</v>
      </c>
    </row>
    <row r="103" spans="1:14">
      <c r="A103" s="3453"/>
      <c r="B103" s="1143">
        <v>2</v>
      </c>
      <c r="C103" s="1144">
        <f>1.4198/C101</f>
        <v>0.27730468749999998</v>
      </c>
      <c r="D103" s="1144">
        <f>1.4198/D101</f>
        <v>0.27730468749999998</v>
      </c>
      <c r="E103" s="1144">
        <f>1.3372/E101</f>
        <v>0.261171875</v>
      </c>
      <c r="F103" s="1144">
        <f>1.3372/F101</f>
        <v>0.261171875</v>
      </c>
      <c r="G103" s="1144">
        <f>1.3372/G101</f>
        <v>0.261171875</v>
      </c>
      <c r="H103" s="1144">
        <f>1.3372/H101</f>
        <v>0.261171875</v>
      </c>
      <c r="I103" s="1144">
        <f>1.3372/I101</f>
        <v>0.261171875</v>
      </c>
      <c r="J103" s="1144">
        <f>1.2799/J101</f>
        <v>0.24998046874999999</v>
      </c>
      <c r="K103" s="1144">
        <f>1.2799/K101</f>
        <v>0.24998046874999999</v>
      </c>
      <c r="L103" s="1144">
        <f>1.2799/L101</f>
        <v>0.24998046874999999</v>
      </c>
      <c r="M103" s="1144">
        <f>1.2799/M101</f>
        <v>0.24998046874999999</v>
      </c>
      <c r="N103" s="1144">
        <f>1.2799/N101</f>
        <v>0.24998046874999999</v>
      </c>
    </row>
    <row r="104" spans="1:14">
      <c r="A104" s="3453"/>
      <c r="B104" s="1143">
        <v>3</v>
      </c>
      <c r="C104" s="1144">
        <f>1.1594/C101</f>
        <v>0.2264453125</v>
      </c>
      <c r="D104" s="1144">
        <f>1.1594/D101</f>
        <v>0.2264453125</v>
      </c>
      <c r="E104" s="1144">
        <f>1.0788/E101</f>
        <v>0.21070312499999999</v>
      </c>
      <c r="F104" s="1144">
        <f>1.0788/F101</f>
        <v>0.21070312499999999</v>
      </c>
      <c r="G104" s="1144">
        <f>1.0788/G101</f>
        <v>0.21070312499999999</v>
      </c>
      <c r="H104" s="1144">
        <f>1.0788/H101</f>
        <v>0.21070312499999999</v>
      </c>
      <c r="I104" s="1144">
        <f>1.0788/I101</f>
        <v>0.21070312499999999</v>
      </c>
      <c r="J104" s="1144">
        <f>1.0072/J101</f>
        <v>0.19671875000000003</v>
      </c>
      <c r="K104" s="1144">
        <f>1.0072/K101</f>
        <v>0.19671875000000003</v>
      </c>
      <c r="L104" s="1144">
        <f>1.0072/L101</f>
        <v>0.19671875000000003</v>
      </c>
      <c r="M104" s="1144">
        <f>1.0072/M101</f>
        <v>0.19671875000000003</v>
      </c>
      <c r="N104" s="1144">
        <f>1.0072/N101</f>
        <v>0.19671875000000003</v>
      </c>
    </row>
    <row r="105" spans="1:14">
      <c r="A105" s="3453"/>
      <c r="B105" s="1143">
        <v>4</v>
      </c>
      <c r="C105" s="1144">
        <f>0.9622/C101</f>
        <v>0.1879296875</v>
      </c>
      <c r="D105" s="1144">
        <f>0.9622/D101</f>
        <v>0.1879296875</v>
      </c>
      <c r="E105" s="1144">
        <f>0.8656/E101</f>
        <v>0.1690625</v>
      </c>
      <c r="F105" s="1144">
        <f>0.8656/F101</f>
        <v>0.1690625</v>
      </c>
      <c r="G105" s="1144">
        <f>0.8656/G101</f>
        <v>0.1690625</v>
      </c>
      <c r="H105" s="1144">
        <f>0.8656/H101</f>
        <v>0.1690625</v>
      </c>
      <c r="I105" s="1144">
        <f>0.8656/I101</f>
        <v>0.1690625</v>
      </c>
      <c r="J105" s="1144">
        <f>0.7525/J101</f>
        <v>0.14697265625</v>
      </c>
      <c r="K105" s="1144">
        <f>0.7525/K101</f>
        <v>0.14697265625</v>
      </c>
      <c r="L105" s="1144">
        <f>0.7525/L101</f>
        <v>0.14697265625</v>
      </c>
      <c r="M105" s="1144">
        <f>0.7525/M101</f>
        <v>0.14697265625</v>
      </c>
      <c r="N105" s="1144">
        <f>0.7525/N101</f>
        <v>0.14697265625</v>
      </c>
    </row>
    <row r="106" spans="1:14">
      <c r="A106" s="3453"/>
      <c r="B106" s="1143">
        <v>5</v>
      </c>
      <c r="C106" s="1144">
        <f>0.8417/C101</f>
        <v>0.16439453125</v>
      </c>
      <c r="D106" s="1144">
        <f>0.8417/D101</f>
        <v>0.16439453125</v>
      </c>
      <c r="E106" s="1144">
        <f>0.7371/E101</f>
        <v>0.14396484374999999</v>
      </c>
      <c r="F106" s="1144">
        <f>0.7371/F101</f>
        <v>0.14396484374999999</v>
      </c>
      <c r="G106" s="1144">
        <f>0.7371/G101</f>
        <v>0.14396484374999999</v>
      </c>
      <c r="H106" s="1144">
        <f>0.7371/H101</f>
        <v>0.14396484374999999</v>
      </c>
      <c r="I106" s="1144">
        <f>0.7371/I101</f>
        <v>0.14396484374999999</v>
      </c>
      <c r="J106" s="1144">
        <f>0.5659/J101</f>
        <v>0.11052734374999999</v>
      </c>
      <c r="K106" s="1144">
        <f>0.5659/K101</f>
        <v>0.11052734374999999</v>
      </c>
      <c r="L106" s="1144">
        <f>0.5659/L101</f>
        <v>0.11052734374999999</v>
      </c>
      <c r="M106" s="1144">
        <f>0.5659/M101</f>
        <v>0.11052734374999999</v>
      </c>
      <c r="N106" s="1144">
        <f>0.5659/N101</f>
        <v>0.11052734374999999</v>
      </c>
    </row>
    <row r="107" spans="1:14">
      <c r="A107" s="3453"/>
      <c r="B107" s="1143">
        <v>6</v>
      </c>
      <c r="C107" s="1144">
        <f>0.7608/C101</f>
        <v>0.14859375</v>
      </c>
      <c r="D107" s="1144">
        <f>0.7608/D101</f>
        <v>0.14859375</v>
      </c>
      <c r="E107" s="1144">
        <f>0.6482/E101</f>
        <v>0.12660156249999999</v>
      </c>
      <c r="F107" s="1144">
        <f>0.6482/F101</f>
        <v>0.12660156249999999</v>
      </c>
      <c r="G107" s="1144">
        <f>0.6482/G101</f>
        <v>0.12660156249999999</v>
      </c>
      <c r="H107" s="1144">
        <f>0.6482/H101</f>
        <v>0.12660156249999999</v>
      </c>
      <c r="I107" s="1144">
        <f>0.6482/I101</f>
        <v>0.12660156249999999</v>
      </c>
      <c r="J107" s="1144">
        <f>0.4525/J101</f>
        <v>8.837890625E-2</v>
      </c>
      <c r="K107" s="1144">
        <f>0.4525/K101</f>
        <v>8.837890625E-2</v>
      </c>
      <c r="L107" s="1144">
        <f>0.4525/L101</f>
        <v>8.837890625E-2</v>
      </c>
      <c r="M107" s="1144">
        <f>0.4525/M101</f>
        <v>8.837890625E-2</v>
      </c>
      <c r="N107" s="1144">
        <f>0.4525/N101</f>
        <v>8.837890625E-2</v>
      </c>
    </row>
    <row r="108" spans="1:14">
      <c r="A108" s="3453"/>
      <c r="B108" s="3455"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4"/>
      <c r="B109" s="3456"/>
      <c r="C109" s="1146">
        <f>(-0.163*(C108^2)-0.59*C108+7617)*(10^(-4))/C101</f>
        <v>0.14847359374999999</v>
      </c>
      <c r="D109" s="1146">
        <f>(-0.163*(D108^2)-0.59*D108+7617)*(10^(-4))/D101</f>
        <v>0.14847359374999999</v>
      </c>
      <c r="E109" s="1146">
        <f>(-0.161*(E108^2)-7.509*E108+6533)*(10^(-4))/E101</f>
        <v>0.12622312499999999</v>
      </c>
      <c r="F109" s="1146">
        <f>(-0.161*(F108^2)-7.509*F108+6533)*(10^(-4))/F101</f>
        <v>0.12622312499999999</v>
      </c>
      <c r="G109" s="1146">
        <f>(-0.161*(G108^2)-7.509*G108+6533)*(10^(-4))/G101</f>
        <v>0.12622312499999999</v>
      </c>
      <c r="H109" s="1146">
        <f>(-0.161*(H108^2)-7.509*H108+6533)*(10^(-4))/H101</f>
        <v>0.12622312499999999</v>
      </c>
      <c r="I109" s="1146">
        <f>(-0.161*(I108^2)-7.509*I108+6533)*(10^(-4))/I101</f>
        <v>0.12622312499999999</v>
      </c>
      <c r="J109" s="1146">
        <f>(-0.214*(J108^2)-21.991*J108+4665)*(10^(-4))/J101</f>
        <v>8.74096875E-2</v>
      </c>
      <c r="K109" s="1146">
        <f>(-0.214*(K108^2)-21.991*K108+4665)*(10^(-4))/K101</f>
        <v>8.74096875E-2</v>
      </c>
      <c r="L109" s="1146">
        <f>(-0.214*(L108^2)-21.991*L108+4665)*(10^(-4))/L101</f>
        <v>8.74096875E-2</v>
      </c>
      <c r="M109" s="1146">
        <f>(-0.214*(M108^2)-21.991*M108+4665)*(10^(-4))/M101</f>
        <v>8.74096875E-2</v>
      </c>
      <c r="N109" s="1146">
        <f>(-0.214*(N108^2)-21.991*N108+4665)*(10^(-4))/N101</f>
        <v>8.74096875E-2</v>
      </c>
    </row>
    <row r="110" spans="1:14">
      <c r="A110" s="3457" t="s">
        <v>1640</v>
      </c>
      <c r="B110" s="3457"/>
      <c r="C110" s="3457"/>
      <c r="D110" s="3457"/>
      <c r="E110" s="3457"/>
      <c r="F110" s="3457"/>
      <c r="G110" s="3457"/>
      <c r="H110" s="3457"/>
      <c r="I110" s="3457"/>
      <c r="J110" s="3457"/>
      <c r="K110" s="3195"/>
      <c r="L110" s="3195"/>
      <c r="M110" s="3195"/>
      <c r="N110" s="3195"/>
    </row>
    <row r="112" spans="1:14" ht="12.75" thickBot="1"/>
    <row r="113" spans="1:13" ht="25.5" thickBot="1">
      <c r="A113" s="1016" t="s">
        <v>896</v>
      </c>
      <c r="B113" s="2430">
        <f>G3</f>
        <v>5.12</v>
      </c>
      <c r="C113" s="1017" t="s">
        <v>897</v>
      </c>
      <c r="D113" s="1018">
        <f>SUMPRODUCT((A115:A118=F113)*(B114:M114=H113)*B115:M118)</f>
        <v>0.79010000000000002</v>
      </c>
      <c r="E113" s="1019" t="s">
        <v>898</v>
      </c>
      <c r="F113" s="1020" t="str">
        <f>E2</f>
        <v>办公</v>
      </c>
      <c r="G113" s="1019" t="s">
        <v>899</v>
      </c>
      <c r="H113" s="1020" t="str">
        <f>G2</f>
        <v>四级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0.88539999999999996</v>
      </c>
      <c r="C115" s="1030">
        <f>B115</f>
        <v>0.88539999999999996</v>
      </c>
      <c r="D115" s="1030">
        <f>ROUND(0.8331-0.0109*B113,4)</f>
        <v>0.77729999999999999</v>
      </c>
      <c r="E115" s="1030">
        <f>D115</f>
        <v>0.77729999999999999</v>
      </c>
      <c r="F115" s="1030">
        <f>E115</f>
        <v>0.77729999999999999</v>
      </c>
      <c r="G115" s="1030">
        <f>F115</f>
        <v>0.77729999999999999</v>
      </c>
      <c r="H115" s="1030">
        <f>G115</f>
        <v>0.77729999999999999</v>
      </c>
      <c r="I115" s="1030">
        <f>ROUND(0.689-0.0155*B113,4)</f>
        <v>0.60960000000000003</v>
      </c>
      <c r="J115" s="1030">
        <f t="shared" ref="J115:M118" si="33">I115</f>
        <v>0.60960000000000003</v>
      </c>
      <c r="K115" s="1030">
        <f t="shared" si="33"/>
        <v>0.60960000000000003</v>
      </c>
      <c r="L115" s="1030">
        <f t="shared" si="33"/>
        <v>0.60960000000000003</v>
      </c>
      <c r="M115" s="1031">
        <f t="shared" si="33"/>
        <v>0.60960000000000003</v>
      </c>
    </row>
    <row r="116" spans="1:13" ht="12.75">
      <c r="A116" s="1029" t="s">
        <v>901</v>
      </c>
      <c r="B116" s="1030">
        <f>ROUND(0.949-0.012*B113,4)</f>
        <v>0.88759999999999994</v>
      </c>
      <c r="C116" s="1030">
        <f>B116</f>
        <v>0.88759999999999994</v>
      </c>
      <c r="D116" s="1030">
        <f>ROUND(0.8567-0.013*B113,4)</f>
        <v>0.79010000000000002</v>
      </c>
      <c r="E116" s="1030">
        <f t="shared" ref="E116:H117" si="34">D116</f>
        <v>0.79010000000000002</v>
      </c>
      <c r="F116" s="1030">
        <f t="shared" si="34"/>
        <v>0.79010000000000002</v>
      </c>
      <c r="G116" s="1030">
        <f t="shared" si="34"/>
        <v>0.79010000000000002</v>
      </c>
      <c r="H116" s="1030">
        <f t="shared" si="34"/>
        <v>0.79010000000000002</v>
      </c>
      <c r="I116" s="1030">
        <f>ROUND(0.7694-0.014*B113,4)</f>
        <v>0.69769999999999999</v>
      </c>
      <c r="J116" s="1030">
        <f t="shared" si="33"/>
        <v>0.69769999999999999</v>
      </c>
      <c r="K116" s="1030">
        <f t="shared" si="33"/>
        <v>0.69769999999999999</v>
      </c>
      <c r="L116" s="1030">
        <f t="shared" si="33"/>
        <v>0.69769999999999999</v>
      </c>
      <c r="M116" s="1031">
        <f t="shared" si="33"/>
        <v>0.69769999999999999</v>
      </c>
    </row>
    <row r="117" spans="1:13" ht="12.75">
      <c r="A117" s="1032" t="s">
        <v>902</v>
      </c>
      <c r="B117" s="1030">
        <f>ROUND(0.8808-0.006*B113,4)</f>
        <v>0.85009999999999997</v>
      </c>
      <c r="C117" s="1030">
        <f>B117</f>
        <v>0.85009999999999997</v>
      </c>
      <c r="D117" s="1030">
        <f>ROUND(0.8748-0.008*B113,4)</f>
        <v>0.83379999999999999</v>
      </c>
      <c r="E117" s="1030">
        <f t="shared" si="34"/>
        <v>0.83379999999999999</v>
      </c>
      <c r="F117" s="1030">
        <f t="shared" si="34"/>
        <v>0.83379999999999999</v>
      </c>
      <c r="G117" s="1030">
        <f t="shared" si="34"/>
        <v>0.83379999999999999</v>
      </c>
      <c r="H117" s="1030">
        <f t="shared" si="34"/>
        <v>0.83379999999999999</v>
      </c>
      <c r="I117" s="1030">
        <f>ROUND(0.7412-0.0095*B113,4)</f>
        <v>0.69259999999999999</v>
      </c>
      <c r="J117" s="1030">
        <f t="shared" si="33"/>
        <v>0.69259999999999999</v>
      </c>
      <c r="K117" s="1030">
        <f t="shared" si="33"/>
        <v>0.69259999999999999</v>
      </c>
      <c r="L117" s="1030">
        <f t="shared" si="33"/>
        <v>0.69259999999999999</v>
      </c>
      <c r="M117" s="1031">
        <f t="shared" si="33"/>
        <v>0.69259999999999999</v>
      </c>
    </row>
    <row r="118" spans="1:13" ht="13.5" thickBot="1">
      <c r="A118" s="1033" t="s">
        <v>903</v>
      </c>
      <c r="B118" s="1034">
        <f>ROUND(0.7275-0.01*B113,4)</f>
        <v>0.67630000000000001</v>
      </c>
      <c r="C118" s="1034">
        <f>B118</f>
        <v>0.67630000000000001</v>
      </c>
      <c r="D118" s="1034">
        <f>ROUND(0.7043-0.012*B113,4)</f>
        <v>0.64290000000000003</v>
      </c>
      <c r="E118" s="1034">
        <f>D118</f>
        <v>0.64290000000000003</v>
      </c>
      <c r="F118" s="1034">
        <f>E118</f>
        <v>0.64290000000000003</v>
      </c>
      <c r="G118" s="1034">
        <f>ROUND(0.6299-0.0122*B113,4)</f>
        <v>0.56740000000000002</v>
      </c>
      <c r="H118" s="1034">
        <f>G118</f>
        <v>0.56740000000000002</v>
      </c>
      <c r="I118" s="1034">
        <f>ROUND(0.5667-0.0136*B113,4)</f>
        <v>0.49709999999999999</v>
      </c>
      <c r="J118" s="1034">
        <f t="shared" si="33"/>
        <v>0.49709999999999999</v>
      </c>
      <c r="K118" s="1034">
        <f t="shared" si="33"/>
        <v>0.49709999999999999</v>
      </c>
      <c r="L118" s="1034">
        <f t="shared" si="33"/>
        <v>0.49709999999999999</v>
      </c>
      <c r="M118" s="1035">
        <f t="shared" si="33"/>
        <v>0.49709999999999999</v>
      </c>
    </row>
  </sheetData>
  <sheetProtection password="C66D" sheet="1" objects="1" scenarios="1"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28" type="noConversion"/>
  <conditionalFormatting sqref="F47">
    <cfRule type="cellIs" dxfId="65" priority="5" stopIfTrue="1" operator="notEqual">
      <formula>"——"</formula>
    </cfRule>
  </conditionalFormatting>
  <conditionalFormatting sqref="F58">
    <cfRule type="cellIs" dxfId="64" priority="4" stopIfTrue="1" operator="notEqual">
      <formula>"——"</formula>
    </cfRule>
  </conditionalFormatting>
  <conditionalFormatting sqref="F69">
    <cfRule type="cellIs" dxfId="63" priority="3" stopIfTrue="1" operator="notEqual">
      <formula>"——"</formula>
    </cfRule>
  </conditionalFormatting>
  <conditionalFormatting sqref="F80">
    <cfRule type="cellIs" dxfId="62" priority="2" stopIfTrue="1" operator="notEqual">
      <formula>"——"</formula>
    </cfRule>
  </conditionalFormatting>
  <conditionalFormatting sqref="H58:H66 H47:H55 H69:H77 H80:H87">
    <cfRule type="cellIs" dxfId="61"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sheetPr>
    <tabColor rgb="FF92D050"/>
    <pageSetUpPr fitToPage="1"/>
  </sheetPr>
  <dimension ref="A1:AG76"/>
  <sheetViews>
    <sheetView topLeftCell="A16" zoomScaleNormal="100" workbookViewId="0">
      <selection activeCell="F35" sqref="F35"/>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1678</v>
      </c>
      <c r="D1" s="3101" t="s">
        <v>3119</v>
      </c>
      <c r="E1" s="2366" t="s">
        <v>870</v>
      </c>
      <c r="F1" s="2367">
        <f ca="1">J53</f>
        <v>48</v>
      </c>
      <c r="G1" s="774">
        <f>MATCH(C1,'数据-取费表'!A6:A16,0)+5</f>
        <v>7</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629</v>
      </c>
      <c r="B2" s="775">
        <f ca="1">C40+J29+L46</f>
        <v>1190811</v>
      </c>
      <c r="C2" s="2057"/>
      <c r="D2" s="2055"/>
      <c r="E2" s="2056"/>
      <c r="F2" s="2056"/>
      <c r="G2" s="1590"/>
      <c r="H2" s="2057"/>
      <c r="I2" s="2057"/>
      <c r="J2" s="2057"/>
      <c r="K2" s="2058"/>
      <c r="L2" s="2057"/>
      <c r="M2" s="2057"/>
    </row>
    <row r="3" spans="1:33" ht="18" customHeight="1" thickBot="1">
      <c r="A3" s="833" t="s">
        <v>1728</v>
      </c>
      <c r="B3" s="834">
        <f ca="1">IF(ISERROR(B2*10000/F43),0,ROUND(B2*10000/F43,0))</f>
        <v>37798</v>
      </c>
      <c r="C3" s="2057"/>
      <c r="D3" s="2055"/>
      <c r="E3" s="2056"/>
      <c r="F3" s="2056"/>
      <c r="G3" s="1590"/>
      <c r="H3" s="776" t="s">
        <v>695</v>
      </c>
      <c r="I3" s="1362"/>
      <c r="J3" s="1362"/>
      <c r="K3" s="1591"/>
      <c r="L3" s="1362"/>
      <c r="M3" s="1362"/>
    </row>
    <row r="4" spans="1:33" ht="18" customHeight="1">
      <c r="A4" s="777" t="s">
        <v>698</v>
      </c>
      <c r="B4" s="778" t="s">
        <v>631</v>
      </c>
      <c r="C4" s="778" t="s">
        <v>1731</v>
      </c>
      <c r="D4" s="778" t="s">
        <v>633</v>
      </c>
      <c r="E4" s="779" t="s">
        <v>634</v>
      </c>
      <c r="F4" s="780"/>
      <c r="G4" s="1592"/>
      <c r="H4" s="777" t="s">
        <v>698</v>
      </c>
      <c r="I4" s="778" t="s">
        <v>631</v>
      </c>
      <c r="J4" s="778" t="s">
        <v>1731</v>
      </c>
      <c r="K4" s="778" t="s">
        <v>1736</v>
      </c>
      <c r="L4" s="779" t="s">
        <v>634</v>
      </c>
      <c r="M4" s="780"/>
    </row>
    <row r="5" spans="1:33" ht="18" customHeight="1">
      <c r="A5" s="781">
        <v>1</v>
      </c>
      <c r="B5" s="782" t="s">
        <v>2459</v>
      </c>
      <c r="C5" s="55">
        <f ca="1">C6+C10+C12</f>
        <v>91878</v>
      </c>
      <c r="D5" s="2475" t="s">
        <v>2462</v>
      </c>
      <c r="E5" s="2469"/>
      <c r="F5" s="2470"/>
      <c r="G5" s="1592"/>
      <c r="H5" s="781">
        <v>1</v>
      </c>
      <c r="I5" s="782" t="s">
        <v>2459</v>
      </c>
      <c r="J5" s="55">
        <f ca="1">J6+J10+J12</f>
        <v>0</v>
      </c>
      <c r="K5" s="2475" t="s">
        <v>2462</v>
      </c>
      <c r="L5" s="2469"/>
      <c r="M5" s="2470"/>
    </row>
    <row r="6" spans="1:33" ht="18" customHeight="1">
      <c r="A6" s="1830" t="s">
        <v>1825</v>
      </c>
      <c r="B6" s="3469" t="s">
        <v>2464</v>
      </c>
      <c r="C6" s="783">
        <f ca="1">ROUND(F6*F8*F7*(1-F9)/10000,0)</f>
        <v>91763</v>
      </c>
      <c r="D6" s="2476" t="s">
        <v>2463</v>
      </c>
      <c r="E6" s="784" t="s">
        <v>637</v>
      </c>
      <c r="F6" s="785">
        <f ca="1">INDIRECT("'数据-取费表'!u"&amp;$G$1)</f>
        <v>8.4</v>
      </c>
      <c r="G6" s="1592"/>
      <c r="H6" s="2483" t="s">
        <v>1825</v>
      </c>
      <c r="I6" s="3469" t="s">
        <v>2464</v>
      </c>
      <c r="J6" s="783">
        <f ca="1">ROUND(M6*M8*M7*(1-M9)/10000,0)</f>
        <v>0</v>
      </c>
      <c r="K6" s="341" t="s">
        <v>636</v>
      </c>
      <c r="L6" s="784" t="s">
        <v>637</v>
      </c>
      <c r="M6" s="785">
        <f ca="1">INDIRECT("'数据-取费表'!z"&amp;$G$1)</f>
        <v>0</v>
      </c>
    </row>
    <row r="7" spans="1:33" ht="18" customHeight="1">
      <c r="A7" s="2479"/>
      <c r="B7" s="3470"/>
      <c r="C7" s="788"/>
      <c r="D7" s="789"/>
      <c r="E7" s="784" t="s">
        <v>1740</v>
      </c>
      <c r="F7" s="785">
        <f ca="1">IF(INDIRECT("'数据-取费表'!ah"&amp;$G$1)="",INDIRECT("'数据-取费表'!k"&amp;$G$1),INDIRECT("'数据-取费表'!ah"&amp;$G$1))</f>
        <v>315045</v>
      </c>
      <c r="G7" s="1592"/>
      <c r="H7" s="2468"/>
      <c r="I7" s="3470"/>
      <c r="J7" s="788"/>
      <c r="K7" s="789"/>
      <c r="L7" s="784" t="s">
        <v>1740</v>
      </c>
      <c r="M7" s="785">
        <f ca="1">F7</f>
        <v>315045</v>
      </c>
    </row>
    <row r="8" spans="1:33" ht="18" customHeight="1">
      <c r="A8" s="2472"/>
      <c r="B8" s="3471"/>
      <c r="C8" s="788"/>
      <c r="D8" s="789"/>
      <c r="E8" s="784" t="s">
        <v>639</v>
      </c>
      <c r="F8" s="785">
        <f ca="1">INDIRECT("'数据-取费表'!ai"&amp;$G$1)</f>
        <v>365</v>
      </c>
      <c r="G8" s="1592"/>
      <c r="H8" s="2468"/>
      <c r="I8" s="3471"/>
      <c r="J8" s="788"/>
      <c r="K8" s="789"/>
      <c r="L8" s="784" t="s">
        <v>639</v>
      </c>
      <c r="M8" s="785">
        <f ca="1">INDIRECT("'数据-取费表'!ai"&amp;$G$1)</f>
        <v>365</v>
      </c>
    </row>
    <row r="9" spans="1:33" ht="18" customHeight="1">
      <c r="A9" s="786"/>
      <c r="B9" s="3472"/>
      <c r="C9" s="788"/>
      <c r="D9" s="789"/>
      <c r="E9" s="784" t="s">
        <v>1742</v>
      </c>
      <c r="F9" s="794">
        <f ca="1">INDIRECT("'数据-取费表'!w"&amp;$G$1)</f>
        <v>0.05</v>
      </c>
      <c r="G9" s="1592"/>
      <c r="H9" s="2484"/>
      <c r="I9" s="3471"/>
      <c r="J9" s="788"/>
      <c r="K9" s="789"/>
      <c r="L9" s="795" t="s">
        <v>1742</v>
      </c>
      <c r="M9" s="796">
        <f ca="1">INDIRECT("'数据-取费表'!ab"&amp;$G$1)</f>
        <v>0</v>
      </c>
    </row>
    <row r="10" spans="1:33" ht="18" customHeight="1">
      <c r="A10" s="1830" t="s">
        <v>1826</v>
      </c>
      <c r="B10" s="2473" t="s">
        <v>2460</v>
      </c>
      <c r="C10" s="799">
        <f ca="1">ROUND(IF(F10="押一",C6/12*F11,IF(F10="押二",C6/12*2*F11,IF(F10="押三",C6/12*3*F11,C11*F11))),0)</f>
        <v>115</v>
      </c>
      <c r="D10" s="2480" t="s">
        <v>2972</v>
      </c>
      <c r="E10" s="2477" t="s">
        <v>2465</v>
      </c>
      <c r="F10" s="2600" t="s">
        <v>3118</v>
      </c>
      <c r="G10" s="1592"/>
      <c r="H10" s="2540" t="s">
        <v>1826</v>
      </c>
      <c r="I10" s="2545" t="s">
        <v>2460</v>
      </c>
      <c r="J10" s="783">
        <f ca="1">ROUND(IF(M10="押一",J6/12*M11,IF(M10="押二",J6/12*2*M11,IF(M10="押三",J6/12*3*M11,J11*M11))),0)</f>
        <v>0</v>
      </c>
      <c r="K10" s="2480" t="s">
        <v>2972</v>
      </c>
      <c r="L10" s="2477" t="s">
        <v>2465</v>
      </c>
      <c r="M10" s="2600"/>
    </row>
    <row r="11" spans="1:33" ht="18" customHeight="1">
      <c r="A11" s="790"/>
      <c r="B11" s="2474" t="s">
        <v>2574</v>
      </c>
      <c r="C11" s="2478"/>
      <c r="D11" s="789"/>
      <c r="E11" s="2477" t="s">
        <v>2457</v>
      </c>
      <c r="F11" s="796">
        <f ca="1">'数据-取费表'!B39</f>
        <v>1.4999999999999999E-2</v>
      </c>
      <c r="G11" s="1592"/>
      <c r="H11" s="2541"/>
      <c r="I11" s="2474" t="s">
        <v>2574</v>
      </c>
      <c r="J11" s="2478"/>
      <c r="K11" s="2542"/>
      <c r="L11" s="2477" t="s">
        <v>2457</v>
      </c>
      <c r="M11" s="2471">
        <f ca="1">'数据-取费表'!B39</f>
        <v>1.4999999999999999E-2</v>
      </c>
    </row>
    <row r="12" spans="1:33" ht="18" customHeight="1" thickBot="1">
      <c r="A12" s="2516" t="s">
        <v>2468</v>
      </c>
      <c r="B12" s="2517" t="s">
        <v>2461</v>
      </c>
      <c r="C12" s="2518"/>
      <c r="D12" s="2519"/>
      <c r="E12" s="2520"/>
      <c r="F12" s="2521"/>
      <c r="G12" s="1592"/>
      <c r="H12" s="2530" t="s">
        <v>2468</v>
      </c>
      <c r="I12" s="2543" t="s">
        <v>2461</v>
      </c>
      <c r="J12" s="2544"/>
      <c r="K12" s="2519"/>
      <c r="L12" s="2520"/>
      <c r="M12" s="2533"/>
    </row>
    <row r="13" spans="1:33" ht="18" customHeight="1" thickTop="1">
      <c r="A13" s="1829">
        <v>2</v>
      </c>
      <c r="B13" s="1827" t="s">
        <v>1743</v>
      </c>
      <c r="C13" s="792">
        <f ca="1">ROUND(C29*F13,0)</f>
        <v>218255</v>
      </c>
      <c r="D13" s="1834" t="s">
        <v>2298</v>
      </c>
      <c r="E13" s="1834" t="s">
        <v>643</v>
      </c>
      <c r="F13" s="2515">
        <f ca="1">INDIRECT("'数据-取费表'!y"&amp;$G$1)</f>
        <v>1</v>
      </c>
      <c r="G13" s="1592"/>
      <c r="H13" s="1829">
        <v>2</v>
      </c>
      <c r="I13" s="1827" t="s">
        <v>1743</v>
      </c>
      <c r="J13" s="1819">
        <f ca="1">ROUND(J14*J15,0)</f>
        <v>218255</v>
      </c>
      <c r="K13" s="1821" t="s">
        <v>1744</v>
      </c>
      <c r="L13" s="2531"/>
      <c r="M13" s="2532"/>
    </row>
    <row r="14" spans="1:33" ht="18" customHeight="1">
      <c r="A14" s="1648" t="s">
        <v>1832</v>
      </c>
      <c r="B14" s="784" t="s">
        <v>645</v>
      </c>
      <c r="C14" s="804">
        <f ca="1">INDIRECT("'数据-取费表'!m"&amp;$G$1)+INDIRECT("'数据-取费表'!t"&amp;$G$1)</f>
        <v>141770</v>
      </c>
      <c r="D14" s="3251" t="s">
        <v>1746</v>
      </c>
      <c r="E14" s="3252"/>
      <c r="F14" s="805"/>
      <c r="G14" s="1592"/>
      <c r="H14" s="1649" t="s">
        <v>1825</v>
      </c>
      <c r="I14" s="2231" t="s">
        <v>2825</v>
      </c>
      <c r="J14" s="53">
        <f ca="1">C29</f>
        <v>218255</v>
      </c>
      <c r="K14" s="26"/>
      <c r="L14" s="801"/>
      <c r="M14" s="802"/>
    </row>
    <row r="15" spans="1:33" s="2064" customFormat="1" ht="18" customHeight="1" thickBot="1">
      <c r="A15" s="1648" t="s">
        <v>1833</v>
      </c>
      <c r="B15" s="784" t="s">
        <v>647</v>
      </c>
      <c r="C15" s="53">
        <f ca="1">ROUND(C14*F15,0)</f>
        <v>4253</v>
      </c>
      <c r="D15" s="806" t="s">
        <v>648</v>
      </c>
      <c r="E15" s="806" t="s">
        <v>1748</v>
      </c>
      <c r="F15" s="807">
        <f>'数据-取费表'!B33</f>
        <v>0.03</v>
      </c>
      <c r="G15" s="1593"/>
      <c r="H15" s="2530" t="s">
        <v>1890</v>
      </c>
      <c r="I15" s="2525" t="s">
        <v>643</v>
      </c>
      <c r="J15" s="2534">
        <f ca="1">INDIRECT("'数据-取费表'!ad"&amp;$G$1)</f>
        <v>1</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1834</v>
      </c>
      <c r="B16" s="784" t="s">
        <v>650</v>
      </c>
      <c r="C16" s="53">
        <f ca="1">ROUND(INDIRECT("'数据-取费表'!m"&amp;$G$1)*F16,0)</f>
        <v>0</v>
      </c>
      <c r="D16" s="784" t="s">
        <v>648</v>
      </c>
      <c r="E16" s="784" t="s">
        <v>1748</v>
      </c>
      <c r="F16" s="809">
        <f ca="1">IF(INDIRECT("'数据-取费表'!c"&amp;$G$1)="住宅",'数据-取费表'!B34,0)</f>
        <v>0</v>
      </c>
      <c r="G16" s="1592"/>
      <c r="H16" s="1829" t="s">
        <v>7</v>
      </c>
      <c r="I16" s="1827" t="s">
        <v>1750</v>
      </c>
      <c r="J16" s="792">
        <f ca="1">ROUND(J17+J22+J23+J24,0)</f>
        <v>22118</v>
      </c>
      <c r="K16" s="1821" t="s">
        <v>1751</v>
      </c>
      <c r="L16" s="3255"/>
      <c r="M16" s="2470"/>
    </row>
    <row r="17" spans="1:33" s="2064" customFormat="1" ht="18" customHeight="1">
      <c r="A17" s="1648" t="s">
        <v>1888</v>
      </c>
      <c r="B17" s="784" t="s">
        <v>653</v>
      </c>
      <c r="C17" s="53">
        <f ca="1">ROUND(F17*(F43+INDIRECT("'数据-取费表'!S"&amp;$G$1))/10000,0)</f>
        <v>6301</v>
      </c>
      <c r="D17" s="784" t="s">
        <v>1752</v>
      </c>
      <c r="E17" s="784" t="s">
        <v>655</v>
      </c>
      <c r="F17" s="56">
        <f>'数据-取费表'!B35</f>
        <v>200</v>
      </c>
      <c r="G17" s="1593"/>
      <c r="H17" s="1649" t="s">
        <v>1825</v>
      </c>
      <c r="I17" s="784" t="s">
        <v>656</v>
      </c>
      <c r="J17" s="53">
        <f ca="1">ROUND(IF(项目基本情况!B11="自然人",J5*M17,J18+J19+J20),0)</f>
        <v>18407</v>
      </c>
      <c r="K17" s="3251" t="s">
        <v>657</v>
      </c>
      <c r="L17" s="3253" t="s">
        <v>658</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4" t="s">
        <v>659</v>
      </c>
      <c r="C18" s="53">
        <f ca="1">ROUND(C14*F18,0)</f>
        <v>2127</v>
      </c>
      <c r="D18" s="784" t="s">
        <v>648</v>
      </c>
      <c r="E18" s="784" t="s">
        <v>1748</v>
      </c>
      <c r="F18" s="809">
        <f>'数据-取费表'!B36</f>
        <v>1.4999999999999999E-2</v>
      </c>
      <c r="G18" s="1593"/>
      <c r="H18" s="1648" t="s">
        <v>1832</v>
      </c>
      <c r="I18" s="784" t="s">
        <v>1756</v>
      </c>
      <c r="J18" s="53">
        <f ca="1">ROUND(J5*M18/1.05,1)</f>
        <v>0</v>
      </c>
      <c r="K18" s="3253" t="s">
        <v>661</v>
      </c>
      <c r="L18" s="784" t="s">
        <v>1748</v>
      </c>
      <c r="M18" s="809">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1825</v>
      </c>
      <c r="B19" s="784" t="s">
        <v>662</v>
      </c>
      <c r="C19" s="53">
        <f ca="1">SUM(C14:C18)</f>
        <v>154451</v>
      </c>
      <c r="D19" s="261" t="s">
        <v>1758</v>
      </c>
      <c r="E19" s="3256"/>
      <c r="F19" s="56"/>
      <c r="G19" s="1592"/>
      <c r="H19" s="1648" t="s">
        <v>1833</v>
      </c>
      <c r="I19" s="784" t="s">
        <v>664</v>
      </c>
      <c r="J19" s="53">
        <f ca="1">IF(K19="按租金收入计税",ROUND(J5*M19,1),ROUND(C29*F33*0.7,1))</f>
        <v>18333.400000000001</v>
      </c>
      <c r="K19" s="811" t="s">
        <v>665</v>
      </c>
      <c r="L19" s="784" t="s">
        <v>1748</v>
      </c>
      <c r="M19" s="809">
        <f>IF(K19="按租金收入计税",'数据-取费表'!B51,'数据-取费表'!B50)</f>
        <v>1.2E-2</v>
      </c>
    </row>
    <row r="20" spans="1:33" s="2064" customFormat="1" ht="18" customHeight="1">
      <c r="A20" s="1649" t="s">
        <v>1890</v>
      </c>
      <c r="B20" s="784" t="s">
        <v>666</v>
      </c>
      <c r="C20" s="53">
        <f ca="1">ROUND(C19*F20,0)</f>
        <v>4634</v>
      </c>
      <c r="D20" s="812" t="s">
        <v>1760</v>
      </c>
      <c r="E20" s="784" t="s">
        <v>1748</v>
      </c>
      <c r="F20" s="809">
        <f>'数据-取费表'!B37</f>
        <v>0.03</v>
      </c>
      <c r="G20" s="1593"/>
      <c r="H20" s="1651" t="s">
        <v>1834</v>
      </c>
      <c r="I20" s="341" t="s">
        <v>1761</v>
      </c>
      <c r="J20" s="54">
        <f ca="1">ROUND(M20*M21/10000,0)</f>
        <v>74</v>
      </c>
      <c r="K20" s="814" t="s">
        <v>1762</v>
      </c>
      <c r="L20" s="784" t="s">
        <v>670</v>
      </c>
      <c r="M20" s="640">
        <f>'数据-取费表'!B52</f>
        <v>12</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4" t="s">
        <v>671</v>
      </c>
      <c r="C21" s="53" t="s">
        <v>1</v>
      </c>
      <c r="D21" s="812" t="s">
        <v>2299</v>
      </c>
      <c r="E21" s="784" t="s">
        <v>1766</v>
      </c>
      <c r="F21" s="809">
        <f>'数据-取费表'!B38</f>
        <v>0.03</v>
      </c>
      <c r="G21" s="1593"/>
      <c r="H21" s="2485"/>
      <c r="I21" s="793"/>
      <c r="J21" s="69"/>
      <c r="K21" s="816"/>
      <c r="L21" s="784" t="s">
        <v>674</v>
      </c>
      <c r="M21" s="785">
        <f ca="1">INDIRECT("'数据-取费表'!r"&amp;$G$1)</f>
        <v>61592.03</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4" t="s">
        <v>675</v>
      </c>
      <c r="C22" s="53"/>
      <c r="D22" s="2551" t="str">
        <f>IF(F23&lt;=1,"单利计息。","复利计息。")&amp;"建造成本、管理费用、销售费用产生的利息。"</f>
        <v>复利计息。建造成本、管理费用、销售费用产生的利息。</v>
      </c>
      <c r="E22" s="3256"/>
      <c r="F22" s="56"/>
      <c r="G22" s="1592"/>
      <c r="H22" s="1649" t="s">
        <v>1890</v>
      </c>
      <c r="I22" s="784" t="s">
        <v>676</v>
      </c>
      <c r="J22" s="53">
        <f ca="1">ROUND(J14*M22,0)</f>
        <v>3274</v>
      </c>
      <c r="K22" s="3253" t="s">
        <v>1770</v>
      </c>
      <c r="L22" s="784" t="s">
        <v>1748</v>
      </c>
      <c r="M22" s="817">
        <f ca="1">INDIRECT("'数据-取费表'!Ak"&amp;$G$1)</f>
        <v>1.4999999999999999E-2</v>
      </c>
    </row>
    <row r="23" spans="1:33" s="2064" customFormat="1" ht="18" customHeight="1">
      <c r="A23" s="1648" t="s">
        <v>1832</v>
      </c>
      <c r="B23" s="784" t="s">
        <v>2438</v>
      </c>
      <c r="C23" s="53">
        <f ca="1">ROUND(IF('数据-取费表'!B22&lt;=1,(C19+C20)*F24*F23/2,(C19+C20)*(POWER((1+F24),F23/2)-1)),0)</f>
        <v>7557</v>
      </c>
      <c r="D23" s="2550" t="str">
        <f>IF(F23&lt;=1,"(建造成本+管理费用)×利率×(建设周期÷2)","(建造成本+管理费用)×((1+利率)^(建设周期÷2)-1)")</f>
        <v>(建造成本+管理费用)×((1+利率)^(建设周期÷2)-1)</v>
      </c>
      <c r="E23" s="784" t="s">
        <v>678</v>
      </c>
      <c r="F23" s="640">
        <f>'数据-取费表'!B20</f>
        <v>2</v>
      </c>
      <c r="G23" s="1593"/>
      <c r="H23" s="1649" t="s">
        <v>1891</v>
      </c>
      <c r="I23" s="784" t="s">
        <v>679</v>
      </c>
      <c r="J23" s="53">
        <f ca="1">ROUND(J13*M23,0)</f>
        <v>437</v>
      </c>
      <c r="K23" s="3253" t="s">
        <v>680</v>
      </c>
      <c r="L23" s="784" t="s">
        <v>1748</v>
      </c>
      <c r="M23" s="818">
        <f ca="1">INDIRECT("'数据-取费表'!Al"&amp;$G$1)</f>
        <v>2E-3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4" t="s">
        <v>681</v>
      </c>
      <c r="C24" s="53">
        <f ca="1">ROUND(IF('数据-取费表'!B22&lt;=1,F21*F24*F23/2,F21*(POWER((1+F24),F23/2)-1)),4)</f>
        <v>1.4E-3</v>
      </c>
      <c r="D24" s="2550" t="str">
        <f>IF(F23&lt;=1,"销售费用×利率×(建设周期÷2)","销售费用×((1+利率)^(建设周期÷2)-1)")</f>
        <v>销售费用×((1+利率)^(建设周期÷2)-1)</v>
      </c>
      <c r="E24" s="784" t="s">
        <v>682</v>
      </c>
      <c r="F24" s="819">
        <f ca="1">'数据-取费表'!B40</f>
        <v>4.7500000000000001E-2</v>
      </c>
      <c r="G24" s="1593"/>
      <c r="H24" s="2530" t="s">
        <v>1892</v>
      </c>
      <c r="I24" s="2525" t="s">
        <v>666</v>
      </c>
      <c r="J24" s="2523">
        <f ca="1">ROUND(J5*M24,0)</f>
        <v>0</v>
      </c>
      <c r="K24" s="2524" t="s">
        <v>1775</v>
      </c>
      <c r="L24" s="2525" t="s">
        <v>1748</v>
      </c>
      <c r="M24" s="2521">
        <f ca="1">INDIRECT("'数据-取费表'!Am"&amp;$G$1)</f>
        <v>0.02</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4" t="s">
        <v>684</v>
      </c>
      <c r="C25" s="53"/>
      <c r="D25" s="261" t="s">
        <v>1776</v>
      </c>
      <c r="E25" s="3256"/>
      <c r="F25" s="56"/>
      <c r="G25" s="1592"/>
      <c r="H25" s="1829" t="s">
        <v>1777</v>
      </c>
      <c r="I25" s="2986" t="s">
        <v>2822</v>
      </c>
      <c r="J25" s="792">
        <f ca="1">J5-J16</f>
        <v>-22118</v>
      </c>
      <c r="K25" s="2527" t="s">
        <v>700</v>
      </c>
      <c r="L25" s="2528"/>
      <c r="M25" s="2529"/>
    </row>
    <row r="26" spans="1:33" ht="18" customHeight="1">
      <c r="A26" s="1648" t="s">
        <v>1832</v>
      </c>
      <c r="B26" s="784" t="s">
        <v>2439</v>
      </c>
      <c r="C26" s="53">
        <f ca="1">ROUND((C19+C20)*F26,0)</f>
        <v>31817</v>
      </c>
      <c r="D26" s="812" t="s">
        <v>701</v>
      </c>
      <c r="E26" s="795" t="s">
        <v>702</v>
      </c>
      <c r="F26" s="794">
        <f ca="1">INDIRECT("'数据-取费表'!q"&amp;$G$1)</f>
        <v>0.2</v>
      </c>
      <c r="G26" s="1592"/>
      <c r="H26" s="2481" t="s">
        <v>1781</v>
      </c>
      <c r="I26" s="2232" t="s">
        <v>2827</v>
      </c>
      <c r="J26" s="783">
        <f ca="1">IF(J5&lt;&gt;0,ROUND(J25*(1-((1+M28)/(1+M26))^M27)/(M26-M28),0),0)</f>
        <v>0</v>
      </c>
      <c r="K26" s="814" t="s">
        <v>1782</v>
      </c>
      <c r="L26" s="784" t="s">
        <v>2420</v>
      </c>
      <c r="M26" s="794">
        <f ca="1">INDIRECT("'数据-取费表'!I"&amp;$G$1)</f>
        <v>5.5E-2</v>
      </c>
    </row>
    <row r="27" spans="1:33" ht="18" customHeight="1">
      <c r="A27" s="1648" t="s">
        <v>1833</v>
      </c>
      <c r="B27" s="784" t="s">
        <v>686</v>
      </c>
      <c r="C27" s="53">
        <f ca="1">ROUND(F21*F26,4)</f>
        <v>6.0000000000000001E-3</v>
      </c>
      <c r="D27" s="812" t="s">
        <v>1783</v>
      </c>
      <c r="E27" s="806"/>
      <c r="F27" s="807"/>
      <c r="G27" s="1592"/>
      <c r="H27" s="2482"/>
      <c r="I27" s="787"/>
      <c r="J27" s="788"/>
      <c r="K27" s="821" t="s">
        <v>707</v>
      </c>
      <c r="L27" s="784" t="s">
        <v>708</v>
      </c>
      <c r="M27" s="822">
        <f ca="1">INDIRECT("'数据-取费表'!ag"&amp;$G$1)</f>
        <v>-2</v>
      </c>
    </row>
    <row r="28" spans="1:33" s="2064" customFormat="1" ht="18" customHeight="1">
      <c r="A28" s="1650" t="s">
        <v>1842</v>
      </c>
      <c r="B28" s="784" t="s">
        <v>687</v>
      </c>
      <c r="C28" s="53">
        <f>ROUND(F28/(1+'数据-取费表'!C42),4)</f>
        <v>5.33E-2</v>
      </c>
      <c r="D28" s="812" t="s">
        <v>2300</v>
      </c>
      <c r="E28" s="784" t="s">
        <v>1748</v>
      </c>
      <c r="F28" s="809">
        <f>'数据-取费表'!B41</f>
        <v>5.6000000000000001E-2</v>
      </c>
      <c r="G28" s="1593"/>
      <c r="H28" s="1829"/>
      <c r="I28" s="791"/>
      <c r="J28" s="792"/>
      <c r="K28" s="816"/>
      <c r="L28" s="784" t="s">
        <v>1787</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1893</v>
      </c>
      <c r="B29" s="2520" t="s">
        <v>2301</v>
      </c>
      <c r="C29" s="2523">
        <f ca="1">ROUND((C19+C20+C23+C26)/(1-F21-C24-C27-C28),0)</f>
        <v>218255</v>
      </c>
      <c r="D29" s="2524"/>
      <c r="E29" s="2525"/>
      <c r="F29" s="2526"/>
      <c r="G29" s="1593"/>
      <c r="H29" s="823" t="s">
        <v>1788</v>
      </c>
      <c r="I29" s="824" t="s">
        <v>1789</v>
      </c>
      <c r="J29" s="825">
        <f ca="1">ROUND(J26/(1+F40)^F41,0)</f>
        <v>0</v>
      </c>
      <c r="K29" s="826" t="s">
        <v>688</v>
      </c>
      <c r="L29" s="827"/>
      <c r="M29" s="828">
        <f ca="1">INDIRECT("'数据-取费表'!k"&amp;$G$1)</f>
        <v>315045</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7</v>
      </c>
      <c r="B30" s="1827" t="s">
        <v>1750</v>
      </c>
      <c r="C30" s="792">
        <f ca="1">ROUND(C31+C36+C37+C38,0)</f>
        <v>21547</v>
      </c>
      <c r="D30" s="1821" t="s">
        <v>1751</v>
      </c>
      <c r="E30" s="3255"/>
      <c r="F30" s="2470"/>
      <c r="G30" s="2062"/>
      <c r="H30" s="2065"/>
      <c r="I30" s="2066"/>
      <c r="J30" s="2067"/>
      <c r="K30" s="2068"/>
      <c r="L30" s="2069"/>
      <c r="M30" s="2070"/>
    </row>
    <row r="31" spans="1:33" ht="18" customHeight="1">
      <c r="A31" s="1649" t="s">
        <v>1825</v>
      </c>
      <c r="B31" s="784" t="s">
        <v>656</v>
      </c>
      <c r="C31" s="53">
        <f ca="1">ROUND(IF(项目基本情况!B11="自然人",C5*F31,C32+C33+C34),1)</f>
        <v>15999.5</v>
      </c>
      <c r="D31" s="3251" t="s">
        <v>657</v>
      </c>
      <c r="E31" s="3253" t="s">
        <v>690</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1832</v>
      </c>
      <c r="B32" s="784" t="s">
        <v>1756</v>
      </c>
      <c r="C32" s="53">
        <f ca="1">ROUND(C5*F32/1.05,1)</f>
        <v>4900.2</v>
      </c>
      <c r="D32" s="3253" t="s">
        <v>661</v>
      </c>
      <c r="E32" s="784" t="s">
        <v>1748</v>
      </c>
      <c r="F32" s="809">
        <f>'数据-取费表'!B41</f>
        <v>5.6000000000000001E-2</v>
      </c>
      <c r="G32" s="2062"/>
      <c r="H32" s="2071"/>
      <c r="I32" s="2072"/>
      <c r="J32" s="2073"/>
      <c r="K32" s="2074"/>
      <c r="L32" s="2075"/>
      <c r="M32" s="2076"/>
    </row>
    <row r="33" spans="1:18" ht="18" customHeight="1">
      <c r="A33" s="1648" t="s">
        <v>1833</v>
      </c>
      <c r="B33" s="784" t="s">
        <v>664</v>
      </c>
      <c r="C33" s="53">
        <f ca="1">IF(D33="按租金收入计税",ROUND(C5*F33,1),IF(D33="按房产原值计税",ROUND(C29*F33*0.7,1),INDIRECT("'数据-取费表'!Aj"&amp;$G$1)))</f>
        <v>11025.4</v>
      </c>
      <c r="D33" s="811" t="s">
        <v>3121</v>
      </c>
      <c r="E33" s="784" t="s">
        <v>1748</v>
      </c>
      <c r="F33" s="809">
        <f>IF(D33="按租金收入计税",'数据-取费表'!B51,'数据-取费表'!B50)</f>
        <v>0.12</v>
      </c>
      <c r="G33" s="2062"/>
      <c r="H33" s="2077"/>
      <c r="I33" s="2077"/>
      <c r="J33" s="2077"/>
      <c r="K33" s="2078"/>
      <c r="L33" s="2077"/>
      <c r="M33" s="2077"/>
    </row>
    <row r="34" spans="1:18" ht="18" customHeight="1">
      <c r="A34" s="1651" t="s">
        <v>1834</v>
      </c>
      <c r="B34" s="341" t="s">
        <v>1761</v>
      </c>
      <c r="C34" s="54">
        <f ca="1">ROUND(F34*F35/10000,1)</f>
        <v>73.900000000000006</v>
      </c>
      <c r="D34" s="814" t="s">
        <v>1762</v>
      </c>
      <c r="E34" s="784" t="s">
        <v>670</v>
      </c>
      <c r="F34" s="640">
        <f>'数据-取费表'!B52</f>
        <v>12</v>
      </c>
      <c r="G34" s="2062"/>
      <c r="H34" s="2065"/>
      <c r="I34" s="835" t="s">
        <v>1814</v>
      </c>
      <c r="J34" s="836"/>
      <c r="K34" s="2080"/>
      <c r="L34" s="2079"/>
      <c r="M34" s="2079"/>
    </row>
    <row r="35" spans="1:18" ht="18" customHeight="1">
      <c r="A35" s="815"/>
      <c r="B35" s="793"/>
      <c r="C35" s="69"/>
      <c r="D35" s="816"/>
      <c r="E35" s="784" t="s">
        <v>674</v>
      </c>
      <c r="F35" s="785">
        <f ca="1">INDIRECT("'数据-取费表'!r"&amp;$G$1)</f>
        <v>61592.03</v>
      </c>
      <c r="G35" s="2062"/>
      <c r="H35" s="2065"/>
      <c r="I35" s="837" t="s">
        <v>1815</v>
      </c>
      <c r="J35" s="838">
        <f ca="1">ROUND(C13*J36,0)</f>
        <v>17460</v>
      </c>
      <c r="K35" s="2078"/>
      <c r="L35" s="2077"/>
      <c r="M35" s="2077"/>
    </row>
    <row r="36" spans="1:18" ht="18" customHeight="1">
      <c r="A36" s="1649" t="s">
        <v>1890</v>
      </c>
      <c r="B36" s="784" t="s">
        <v>676</v>
      </c>
      <c r="C36" s="53">
        <f ca="1">ROUND(C29*F36,1)</f>
        <v>3273.8</v>
      </c>
      <c r="D36" s="3253" t="s">
        <v>691</v>
      </c>
      <c r="E36" s="784" t="s">
        <v>1748</v>
      </c>
      <c r="F36" s="817">
        <f ca="1">INDIRECT("'数据-取费表'!Ak"&amp;$G$1)</f>
        <v>1.4999999999999999E-2</v>
      </c>
      <c r="G36" s="2062"/>
      <c r="H36" s="2077"/>
      <c r="I36" s="839" t="s">
        <v>1816</v>
      </c>
      <c r="J36" s="840">
        <f ca="1">INDIRECT("'数据-取费表'!j"&amp;$G$1)</f>
        <v>0.08</v>
      </c>
      <c r="K36" s="2082"/>
      <c r="L36" s="2077"/>
      <c r="M36" s="2077"/>
    </row>
    <row r="37" spans="1:18" ht="18" customHeight="1">
      <c r="A37" s="1649" t="s">
        <v>1891</v>
      </c>
      <c r="B37" s="784" t="s">
        <v>679</v>
      </c>
      <c r="C37" s="53">
        <f ca="1">ROUND(C13*F37,1)</f>
        <v>436.5</v>
      </c>
      <c r="D37" s="3253" t="s">
        <v>680</v>
      </c>
      <c r="E37" s="784" t="s">
        <v>1748</v>
      </c>
      <c r="F37" s="818">
        <f ca="1">INDIRECT("'数据-取费表'!Al"&amp;$G$1)</f>
        <v>2E-3</v>
      </c>
      <c r="G37" s="2062"/>
      <c r="H37" s="2077"/>
      <c r="I37" s="841" t="s">
        <v>1817</v>
      </c>
      <c r="J37" s="842"/>
      <c r="K37" s="2082"/>
      <c r="L37" s="2077"/>
      <c r="M37" s="2077"/>
    </row>
    <row r="38" spans="1:18" ht="18" customHeight="1" thickBot="1">
      <c r="A38" s="2530" t="s">
        <v>1892</v>
      </c>
      <c r="B38" s="2525" t="s">
        <v>666</v>
      </c>
      <c r="C38" s="2523">
        <f ca="1">ROUND(C5*F38,1)</f>
        <v>1837.6</v>
      </c>
      <c r="D38" s="2524" t="s">
        <v>1775</v>
      </c>
      <c r="E38" s="2525" t="s">
        <v>1748</v>
      </c>
      <c r="F38" s="2521">
        <f ca="1">INDIRECT("'数据-取费表'!Am"&amp;$G$1)</f>
        <v>0.02</v>
      </c>
      <c r="G38" s="2062"/>
      <c r="H38" s="2077"/>
      <c r="I38" s="843" t="s">
        <v>1818</v>
      </c>
      <c r="J38" s="844"/>
      <c r="K38" s="2083"/>
      <c r="L38" s="2077"/>
      <c r="M38" s="2077"/>
    </row>
    <row r="39" spans="1:18" ht="24.6" customHeight="1" thickTop="1">
      <c r="A39" s="1829" t="s">
        <v>1777</v>
      </c>
      <c r="B39" s="2986" t="s">
        <v>2822</v>
      </c>
      <c r="C39" s="792">
        <f ca="1">C5-C30</f>
        <v>70331</v>
      </c>
      <c r="D39" s="2527" t="s">
        <v>700</v>
      </c>
      <c r="E39" s="2528"/>
      <c r="F39" s="2529"/>
      <c r="G39" s="2062"/>
      <c r="H39" s="2077"/>
      <c r="I39" s="837" t="s">
        <v>1819</v>
      </c>
      <c r="J39" s="845">
        <f ca="1">ROUND(J35/C39,3)</f>
        <v>0.248</v>
      </c>
      <c r="K39" s="2083"/>
      <c r="L39" s="2077"/>
      <c r="M39" s="2077"/>
    </row>
    <row r="40" spans="1:18" ht="18" customHeight="1">
      <c r="A40" s="781" t="s">
        <v>1781</v>
      </c>
      <c r="B40" s="2232" t="s">
        <v>2302</v>
      </c>
      <c r="C40" s="783">
        <f ca="1">ROUND(C39*(1-((1+F42)/(1+F40))^F41)/(F40-F42),0)</f>
        <v>1190811</v>
      </c>
      <c r="D40" s="814" t="s">
        <v>1782</v>
      </c>
      <c r="E40" s="784" t="s">
        <v>2420</v>
      </c>
      <c r="F40" s="794">
        <f ca="1">INDIRECT("'数据-取费表'!I"&amp;$G$1)</f>
        <v>5.5E-2</v>
      </c>
      <c r="G40" s="2062"/>
      <c r="H40" s="2062"/>
      <c r="I40" s="837" t="s">
        <v>1820</v>
      </c>
      <c r="J40" s="845">
        <f ca="1">1-J39</f>
        <v>0.752</v>
      </c>
      <c r="K40" s="2083"/>
      <c r="L40" s="2062"/>
      <c r="M40" s="2062"/>
    </row>
    <row r="41" spans="1:18" ht="18" customHeight="1">
      <c r="A41" s="786"/>
      <c r="B41" s="787"/>
      <c r="C41" s="788"/>
      <c r="D41" s="821" t="s">
        <v>1809</v>
      </c>
      <c r="E41" s="784" t="s">
        <v>708</v>
      </c>
      <c r="F41" s="822">
        <f ca="1">IF(INDIRECT("'数据-取费表'!af"&amp;$G$1)=0,INDIRECT("'数据-取费表'!ae"&amp;$G$1),INDIRECT("'数据-取费表'!af"&amp;$G$1))</f>
        <v>50</v>
      </c>
      <c r="G41" s="2062"/>
      <c r="H41" s="1988"/>
      <c r="I41" s="843" t="s">
        <v>1821</v>
      </c>
      <c r="J41" s="846"/>
      <c r="K41" s="2082"/>
      <c r="L41" s="1988"/>
      <c r="M41" s="1988"/>
    </row>
    <row r="42" spans="1:18" ht="18" customHeight="1">
      <c r="A42" s="790"/>
      <c r="B42" s="791"/>
      <c r="C42" s="792"/>
      <c r="D42" s="816"/>
      <c r="E42" s="784" t="s">
        <v>1787</v>
      </c>
      <c r="F42" s="794">
        <f ca="1">INDIRECT("'数据-取费表'!v"&amp;$G$1)</f>
        <v>0</v>
      </c>
      <c r="G42" s="2062"/>
      <c r="H42" s="1988"/>
      <c r="I42" s="847" t="s">
        <v>1822</v>
      </c>
      <c r="J42" s="845">
        <f ca="1">ROUND(C13/C40,3)</f>
        <v>0.183</v>
      </c>
      <c r="K42" s="2082"/>
      <c r="L42" s="1988"/>
      <c r="M42" s="1988"/>
    </row>
    <row r="43" spans="1:18" ht="18" customHeight="1" thickBot="1">
      <c r="A43" s="823" t="s">
        <v>1788</v>
      </c>
      <c r="B43" s="824" t="s">
        <v>1811</v>
      </c>
      <c r="C43" s="825">
        <f ca="1">ROUND(C40*10000/F43,0)</f>
        <v>37798</v>
      </c>
      <c r="D43" s="826" t="s">
        <v>1812</v>
      </c>
      <c r="E43" s="827" t="s">
        <v>1813</v>
      </c>
      <c r="F43" s="828">
        <f ca="1">INDIRECT("'数据-取费表'!k"&amp;$G$1)</f>
        <v>315045</v>
      </c>
      <c r="G43" s="2062"/>
      <c r="H43" s="1988"/>
      <c r="I43" s="847" t="s">
        <v>1823</v>
      </c>
      <c r="J43" s="848">
        <f ca="1">1-J42</f>
        <v>0.81699999999999995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53">
        <f ca="1">C67-C40</f>
        <v>-1254880</v>
      </c>
      <c r="D46" s="2085"/>
      <c r="E46" s="2085"/>
      <c r="F46" s="2085"/>
      <c r="I46" s="2357" t="s">
        <v>2344</v>
      </c>
      <c r="J46" s="2358"/>
      <c r="K46" s="2359"/>
      <c r="L46" s="3136">
        <f>IF(OR(M47="住宅",D1="土地（套用方法）"),0,IF(L48&gt;J51,L60,J60))</f>
        <v>0</v>
      </c>
      <c r="O46" s="2373" t="s">
        <v>2411</v>
      </c>
      <c r="P46" s="1592"/>
      <c r="Q46" s="1604"/>
      <c r="R46" s="1592"/>
    </row>
    <row r="47" spans="1:18" s="2059" customFormat="1" ht="18" customHeight="1" thickBot="1">
      <c r="A47" s="2351">
        <v>1</v>
      </c>
      <c r="B47" s="2352" t="s">
        <v>635</v>
      </c>
      <c r="C47" s="2553">
        <f ca="1">C48+C52+C54</f>
        <v>0</v>
      </c>
      <c r="D47" s="2085"/>
      <c r="E47" s="2085"/>
      <c r="F47" s="2085"/>
      <c r="I47" s="3126" t="s">
        <v>2345</v>
      </c>
      <c r="J47" s="2360" t="s">
        <v>3024</v>
      </c>
      <c r="K47" s="3133" t="s">
        <v>2350</v>
      </c>
      <c r="L47" s="3137">
        <f ca="1">INDIRECT("'数据-取费表'!d"&amp;$G$1)</f>
        <v>50</v>
      </c>
      <c r="M47" s="1604" t="str">
        <f>IF(ISNUMBER(FIND("住宅",C1)),"住宅","非住宅")</f>
        <v>非住宅</v>
      </c>
      <c r="O47" s="2374" t="s">
        <v>2376</v>
      </c>
      <c r="P47" s="2375" t="s">
        <v>2377</v>
      </c>
      <c r="Q47" s="2376" t="s">
        <v>2378</v>
      </c>
      <c r="R47" s="2375" t="s">
        <v>2379</v>
      </c>
    </row>
    <row r="48" spans="1:18" s="2059" customFormat="1" ht="18" customHeight="1" thickBot="1">
      <c r="A48" s="2621" t="s">
        <v>1871</v>
      </c>
      <c r="B48" s="2622" t="s">
        <v>2539</v>
      </c>
      <c r="C48" s="2353">
        <f ca="1">ROUND(F48*F50*F49*(1-F51)/10000,0)</f>
        <v>0</v>
      </c>
      <c r="D48" s="2354" t="s">
        <v>636</v>
      </c>
      <c r="E48" s="2355" t="s">
        <v>2297</v>
      </c>
      <c r="F48" s="2356"/>
      <c r="G48" s="2090"/>
      <c r="I48" s="3102" t="s">
        <v>2346</v>
      </c>
      <c r="J48" s="2361" t="s">
        <v>2351</v>
      </c>
      <c r="K48" s="3134" t="s">
        <v>2352</v>
      </c>
      <c r="L48" s="1908">
        <f ca="1">INDIRECT("'数据-取费表'!f"&amp;$G$1)</f>
        <v>50</v>
      </c>
      <c r="O48" s="2377" t="s">
        <v>2380</v>
      </c>
      <c r="P48" s="2378" t="s">
        <v>2406</v>
      </c>
      <c r="Q48" s="2379">
        <f ca="1">C40+J29</f>
        <v>1190811</v>
      </c>
      <c r="R48" s="2378" t="s">
        <v>2381</v>
      </c>
    </row>
    <row r="49" spans="1:18" s="2059" customFormat="1" ht="18" customHeight="1" thickBot="1">
      <c r="A49" s="786"/>
      <c r="B49" s="787"/>
      <c r="C49" s="788"/>
      <c r="D49" s="789"/>
      <c r="E49" s="784" t="s">
        <v>1740</v>
      </c>
      <c r="F49" s="785">
        <f ca="1">F7</f>
        <v>315045</v>
      </c>
      <c r="G49" s="2090"/>
      <c r="H49" s="2093"/>
      <c r="I49" s="3102" t="s">
        <v>2347</v>
      </c>
      <c r="J49" s="2362"/>
      <c r="K49" s="3135" t="s">
        <v>2353</v>
      </c>
      <c r="L49" s="2363"/>
      <c r="O49" s="2377" t="s">
        <v>2382</v>
      </c>
      <c r="P49" s="2378" t="s">
        <v>2407</v>
      </c>
      <c r="Q49" s="2379" t="str">
        <f ca="1">J60</f>
        <v>0</v>
      </c>
      <c r="R49" s="2378" t="s">
        <v>2383</v>
      </c>
    </row>
    <row r="50" spans="1:18" s="2059" customFormat="1" ht="18" customHeight="1" thickBot="1">
      <c r="A50" s="786"/>
      <c r="B50" s="787"/>
      <c r="C50" s="788"/>
      <c r="D50" s="789"/>
      <c r="E50" s="784" t="s">
        <v>639</v>
      </c>
      <c r="F50" s="785">
        <f ca="1">F8</f>
        <v>365</v>
      </c>
      <c r="G50" s="2095"/>
      <c r="H50" s="2093"/>
      <c r="I50" s="3102" t="s">
        <v>2348</v>
      </c>
      <c r="J50" s="3130">
        <f>SUMPRODUCT((I63:I65=J47)*(J62:L62=J48)*(J63:L65))</f>
        <v>60</v>
      </c>
      <c r="K50" s="3135" t="s">
        <v>2354</v>
      </c>
      <c r="L50" s="2363"/>
      <c r="O50" s="2380" t="s">
        <v>2384</v>
      </c>
      <c r="P50" s="2378" t="s">
        <v>2408</v>
      </c>
      <c r="Q50" s="2379">
        <f ca="1">C29</f>
        <v>218255</v>
      </c>
      <c r="R50" s="2378" t="s">
        <v>2381</v>
      </c>
    </row>
    <row r="51" spans="1:18" s="2059" customFormat="1" ht="18" customHeight="1" thickBot="1">
      <c r="A51" s="786"/>
      <c r="B51" s="787"/>
      <c r="C51" s="788"/>
      <c r="D51" s="789"/>
      <c r="E51" s="784" t="s">
        <v>640</v>
      </c>
      <c r="F51" s="2350"/>
      <c r="H51" s="2093"/>
      <c r="I51" s="3127" t="s">
        <v>2349</v>
      </c>
      <c r="J51" s="3131">
        <f>IF(J49="",J50,J49+J50-YEAR('数据-取费表'!B2))</f>
        <v>60</v>
      </c>
      <c r="K51" s="3102" t="s">
        <v>2355</v>
      </c>
      <c r="L51" s="3138">
        <f ca="1">ROUND(-PV(INDIRECT("'数据-取费表'!h"&amp;$G$1),L48,(C39-C13*J36),0),0)</f>
        <v>1135776</v>
      </c>
      <c r="O51" s="2380" t="s">
        <v>2385</v>
      </c>
      <c r="P51" s="2378" t="s">
        <v>2386</v>
      </c>
      <c r="Q51" s="2381" t="e">
        <f ca="1">J58</f>
        <v>#VALUE!</v>
      </c>
      <c r="R51" s="2382"/>
    </row>
    <row r="52" spans="1:18" s="2059" customFormat="1" ht="18" customHeight="1" thickBot="1">
      <c r="A52" s="781" t="s">
        <v>2537</v>
      </c>
      <c r="B52" s="2473" t="s">
        <v>2460</v>
      </c>
      <c r="C52" s="799">
        <f ca="1">ROUND(IF(F52="押一",C48/12*F11,IF(F52="押二",C48/12*2*F11,IF(F52="押三",C48/12*3*F11,C53*F11))),0)</f>
        <v>0</v>
      </c>
      <c r="D52" s="2480" t="s">
        <v>2972</v>
      </c>
      <c r="E52" s="2477" t="s">
        <v>2465</v>
      </c>
      <c r="F52" s="2600"/>
      <c r="I52" s="3128" t="s">
        <v>2422</v>
      </c>
      <c r="J52" s="2364"/>
      <c r="K52" s="3128" t="s">
        <v>2421</v>
      </c>
      <c r="L52" s="2364"/>
      <c r="O52" s="2380" t="s">
        <v>2387</v>
      </c>
      <c r="P52" s="2378" t="s">
        <v>2388</v>
      </c>
      <c r="Q52" s="2381">
        <f>J52</f>
        <v>0</v>
      </c>
      <c r="R52" s="2382"/>
    </row>
    <row r="53" spans="1:18" s="2059" customFormat="1" ht="39.75" customHeight="1" thickBot="1">
      <c r="A53" s="786"/>
      <c r="B53" s="2474" t="s">
        <v>2574</v>
      </c>
      <c r="C53" s="2478"/>
      <c r="D53" s="2480"/>
      <c r="E53" s="2477"/>
      <c r="F53" s="800"/>
      <c r="I53" s="3129" t="s">
        <v>2976</v>
      </c>
      <c r="J53" s="3132">
        <f ca="1">IF(M47="住宅",IF(D1="——",MAX(J51,L48),MAX(J51,L48-'数据-取费表'!B20)),IF(D1="——",MIN(J51,L48),MIN(J51,L48-'数据-取费表'!B20)))</f>
        <v>48</v>
      </c>
      <c r="K53" s="3467" t="s">
        <v>2964</v>
      </c>
      <c r="L53" s="3468"/>
      <c r="O53" s="2380" t="s">
        <v>2389</v>
      </c>
      <c r="P53" s="2378" t="s">
        <v>2390</v>
      </c>
      <c r="Q53" s="2379">
        <f ca="1">J53</f>
        <v>48</v>
      </c>
      <c r="R53" s="2378" t="s">
        <v>2391</v>
      </c>
    </row>
    <row r="54" spans="1:18" s="2059" customFormat="1" ht="18" customHeight="1" thickBot="1">
      <c r="A54" s="2516" t="s">
        <v>2468</v>
      </c>
      <c r="B54" s="2517" t="s">
        <v>2461</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2392</v>
      </c>
      <c r="P54" s="2378" t="s">
        <v>2409</v>
      </c>
      <c r="Q54" s="2379">
        <f ca="1">Q48+Q49</f>
        <v>1190811</v>
      </c>
      <c r="R54" s="2382" t="s">
        <v>2393</v>
      </c>
    </row>
    <row r="55" spans="1:18" s="2059" customFormat="1" ht="18" customHeight="1" thickTop="1" thickBot="1">
      <c r="A55" s="797">
        <v>2</v>
      </c>
      <c r="B55" s="798" t="s">
        <v>644</v>
      </c>
      <c r="C55" s="799">
        <f ca="1">C13</f>
        <v>218255</v>
      </c>
      <c r="D55" s="795"/>
      <c r="E55" s="795"/>
      <c r="F55" s="800"/>
      <c r="I55" s="3141" t="s">
        <v>2356</v>
      </c>
      <c r="J55" s="3077" t="e">
        <f ca="1">ROUND(IF(J47="钢混",J57/J50,1-(1-2%)*(J50-J57)/J50),3)</f>
        <v>#VALUE!</v>
      </c>
      <c r="K55" s="3142" t="s">
        <v>2357</v>
      </c>
      <c r="L55" s="2365"/>
      <c r="O55" s="2383" t="s">
        <v>2412</v>
      </c>
      <c r="P55" s="1592"/>
      <c r="Q55" s="1604"/>
      <c r="R55" s="1592"/>
    </row>
    <row r="56" spans="1:18" s="2059" customFormat="1" ht="42.75" customHeight="1" thickBot="1">
      <c r="A56" s="1650"/>
      <c r="B56" s="2231" t="s">
        <v>2301</v>
      </c>
      <c r="C56" s="53">
        <f ca="1">C29</f>
        <v>218255</v>
      </c>
      <c r="D56" s="3253"/>
      <c r="E56" s="784"/>
      <c r="F56" s="809"/>
      <c r="I56" s="3143" t="s">
        <v>2358</v>
      </c>
      <c r="J56" s="3153" t="s">
        <v>1679</v>
      </c>
      <c r="K56" s="3102" t="s">
        <v>2363</v>
      </c>
      <c r="L56" s="1908" t="str">
        <f ca="1">IF(L48&lt;J51,"——",L48-J51)</f>
        <v>——</v>
      </c>
      <c r="O56" s="2374" t="s">
        <v>2376</v>
      </c>
      <c r="P56" s="2375" t="s">
        <v>2377</v>
      </c>
      <c r="Q56" s="2376" t="s">
        <v>2378</v>
      </c>
      <c r="R56" s="2375" t="s">
        <v>2379</v>
      </c>
    </row>
    <row r="57" spans="1:18" s="2059" customFormat="1" ht="28.5" customHeight="1" thickBot="1">
      <c r="A57" s="797" t="s">
        <v>7</v>
      </c>
      <c r="B57" s="798" t="s">
        <v>651</v>
      </c>
      <c r="C57" s="799">
        <f ca="1">ROUND(C58+C63+C64+C65,0)</f>
        <v>3784</v>
      </c>
      <c r="D57" s="26" t="s">
        <v>1751</v>
      </c>
      <c r="E57" s="3256"/>
      <c r="F57" s="56"/>
      <c r="I57" s="3144" t="s">
        <v>2359</v>
      </c>
      <c r="J57" s="3145" t="str">
        <f ca="1">IF(OR(M47="住宅",J51&lt;L48,J56="是"),"——",J51-L48)</f>
        <v>——</v>
      </c>
      <c r="K57" s="3102" t="s">
        <v>2364</v>
      </c>
      <c r="L57" s="1908" t="str">
        <f ca="1">IF(L48&lt;J51,"——",IF(L55="比较法",L49,IF(L55="基准地价",L50,L51)))</f>
        <v>——</v>
      </c>
      <c r="O57" s="2377" t="s">
        <v>2380</v>
      </c>
      <c r="P57" s="2378" t="s">
        <v>2406</v>
      </c>
      <c r="Q57" s="2379">
        <f ca="1">C40+J29</f>
        <v>1190811</v>
      </c>
      <c r="R57" s="2378" t="s">
        <v>2381</v>
      </c>
    </row>
    <row r="58" spans="1:18" s="2059" customFormat="1" ht="28.5" customHeight="1" thickBot="1">
      <c r="A58" s="1649" t="s">
        <v>1825</v>
      </c>
      <c r="B58" s="784" t="s">
        <v>656</v>
      </c>
      <c r="C58" s="53">
        <f ca="1">ROUND(IF(项目基本情况!B11="自然人",C47*F58,C59+C60+C61),1)</f>
        <v>73.900000000000006</v>
      </c>
      <c r="D58" s="3251" t="s">
        <v>657</v>
      </c>
      <c r="E58" s="3253" t="s">
        <v>690</v>
      </c>
      <c r="F58" s="810" t="str">
        <f ca="1">IF(项目基本情况!B11="企业","",IF(INDIRECT("'数据-取费表'!c"&amp;$G$1)="住宅",5%,IF(F48*F49*F50/12/(1+'数据-取费表'!C42)&gt;20000,12%,7%)))</f>
        <v/>
      </c>
      <c r="I58" s="3144" t="s">
        <v>2360</v>
      </c>
      <c r="J58" s="3078" t="e">
        <f ca="1">IF(J55&lt;0.4,0.4,J55)</f>
        <v>#VALUE!</v>
      </c>
      <c r="K58" s="3102" t="s">
        <v>2365</v>
      </c>
      <c r="L58" s="1908" t="e">
        <f ca="1">ROUND(POWER(1+L52,L47-L48)*(POWER(1+L52,L48)-1)/(POWER(1+L52,L47)-1),4)</f>
        <v>#DIV/0!</v>
      </c>
      <c r="O58" s="2377" t="s">
        <v>2382</v>
      </c>
      <c r="P58" s="2378" t="s">
        <v>2413</v>
      </c>
      <c r="Q58" s="2379">
        <f ca="1">L60</f>
        <v>0</v>
      </c>
      <c r="R58" s="2382" t="s">
        <v>2415</v>
      </c>
    </row>
    <row r="59" spans="1:18" s="2059" customFormat="1" ht="28.5" customHeight="1" thickBot="1">
      <c r="A59" s="1648" t="s">
        <v>1832</v>
      </c>
      <c r="B59" s="784" t="s">
        <v>660</v>
      </c>
      <c r="C59" s="53">
        <f ca="1">ROUND(C47*F59/1.05,1)</f>
        <v>0</v>
      </c>
      <c r="D59" s="3253" t="s">
        <v>661</v>
      </c>
      <c r="E59" s="784" t="s">
        <v>1748</v>
      </c>
      <c r="F59" s="809">
        <f t="shared" ref="F59:F65" si="0">F32</f>
        <v>5.6000000000000001E-2</v>
      </c>
      <c r="I59" s="3144" t="s">
        <v>2361</v>
      </c>
      <c r="J59" s="3145" t="str">
        <f ca="1">IF(OR(M47="住宅",J51&lt;L48,J56="是"),"——",ROUND(C29*J58,0))</f>
        <v>——</v>
      </c>
      <c r="K59" s="3102"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2384</v>
      </c>
      <c r="P59" s="2378" t="s">
        <v>2414</v>
      </c>
      <c r="Q59" s="2379">
        <f>IF(L55="比较法",L49,IF(L55="基准地价",L50,0))</f>
        <v>0</v>
      </c>
      <c r="R59" s="2378" t="s">
        <v>2381</v>
      </c>
    </row>
    <row r="60" spans="1:18" s="2059" customFormat="1" ht="18" customHeight="1" thickBot="1">
      <c r="A60" s="1648" t="s">
        <v>1833</v>
      </c>
      <c r="B60" s="784" t="s">
        <v>664</v>
      </c>
      <c r="C60" s="53">
        <f ca="1">IF(D60="按租金收入计税",ROUND(C47*F60,1),IF(D60="按房产原值计税",ROUND(C56*F60*0.7,1),INDIRECT("'数据-取费表'!Aj"&amp;$G$1)))</f>
        <v>0</v>
      </c>
      <c r="D60" s="3253" t="str">
        <f>D33</f>
        <v>按租金收入计税</v>
      </c>
      <c r="E60" s="784" t="s">
        <v>1748</v>
      </c>
      <c r="F60" s="809">
        <f t="shared" si="0"/>
        <v>0.12</v>
      </c>
      <c r="I60" s="3146" t="s">
        <v>2362</v>
      </c>
      <c r="J60" s="3147" t="str">
        <f ca="1">IF(OR(M47="住宅",J51&lt;L48,J56="是"),"0",ROUND(J59/(1+J52)^J53,0))</f>
        <v>0</v>
      </c>
      <c r="K60" s="3148" t="s">
        <v>2367</v>
      </c>
      <c r="L60" s="3147">
        <f ca="1">IF(OR(M47="住宅",L48&lt;J51),0,ROUND(L57*(L58/L59-1),0))</f>
        <v>0</v>
      </c>
      <c r="O60" s="2380" t="s">
        <v>2385</v>
      </c>
      <c r="P60" s="2378" t="s">
        <v>2394</v>
      </c>
      <c r="Q60" s="2381">
        <f>L52</f>
        <v>0</v>
      </c>
      <c r="R60" s="2382"/>
    </row>
    <row r="61" spans="1:18" s="2059" customFormat="1" ht="18" customHeight="1" thickBot="1">
      <c r="A61" s="1651" t="s">
        <v>1834</v>
      </c>
      <c r="B61" s="341" t="s">
        <v>668</v>
      </c>
      <c r="C61" s="54">
        <f ca="1">ROUND(F61*F62/10000,1)</f>
        <v>73.900000000000006</v>
      </c>
      <c r="D61" s="814" t="s">
        <v>669</v>
      </c>
      <c r="E61" s="784" t="s">
        <v>670</v>
      </c>
      <c r="F61" s="640">
        <f t="shared" si="0"/>
        <v>12</v>
      </c>
      <c r="K61" s="2086"/>
      <c r="O61" s="2380" t="s">
        <v>2387</v>
      </c>
      <c r="P61" s="2378" t="s">
        <v>2395</v>
      </c>
      <c r="Q61" s="2379" t="e">
        <f ca="1">L58</f>
        <v>#DIV/0!</v>
      </c>
      <c r="R61" s="2382" t="s">
        <v>2396</v>
      </c>
    </row>
    <row r="62" spans="1:18" s="2059" customFormat="1" ht="15.75" thickBot="1">
      <c r="A62" s="815"/>
      <c r="B62" s="793"/>
      <c r="C62" s="69"/>
      <c r="D62" s="816"/>
      <c r="E62" s="784" t="s">
        <v>674</v>
      </c>
      <c r="F62" s="785">
        <f t="shared" ca="1" si="0"/>
        <v>61592.03</v>
      </c>
      <c r="I62" s="3149" t="s">
        <v>2368</v>
      </c>
      <c r="J62" s="3150" t="s">
        <v>2369</v>
      </c>
      <c r="K62" s="3150" t="s">
        <v>2370</v>
      </c>
      <c r="L62" s="3150" t="s">
        <v>2351</v>
      </c>
      <c r="M62" s="3151" t="s">
        <v>2940</v>
      </c>
      <c r="O62" s="2380" t="s">
        <v>2389</v>
      </c>
      <c r="P62" s="2378" t="str">
        <f>K59</f>
        <v>建设期及建筑物耐用年限下的土地年期修正系数Kn</v>
      </c>
      <c r="Q62" s="2379" t="e">
        <f ca="1">L59</f>
        <v>#DIV/0!</v>
      </c>
      <c r="R62" s="2382" t="s">
        <v>2398</v>
      </c>
    </row>
    <row r="63" spans="1:18" s="2059" customFormat="1" ht="15.75" thickBot="1">
      <c r="A63" s="1649" t="s">
        <v>1890</v>
      </c>
      <c r="B63" s="784" t="s">
        <v>676</v>
      </c>
      <c r="C63" s="53">
        <f ca="1">ROUND(C56*F63,1)</f>
        <v>3273.8</v>
      </c>
      <c r="D63" s="3253" t="s">
        <v>691</v>
      </c>
      <c r="E63" s="784" t="s">
        <v>1748</v>
      </c>
      <c r="F63" s="817">
        <f t="shared" ca="1" si="0"/>
        <v>1.4999999999999999E-2</v>
      </c>
      <c r="I63" s="3149" t="s">
        <v>2371</v>
      </c>
      <c r="J63" s="3150">
        <v>70</v>
      </c>
      <c r="K63" s="3150">
        <v>50</v>
      </c>
      <c r="L63" s="3150">
        <v>80</v>
      </c>
      <c r="M63" s="3152">
        <v>0.02</v>
      </c>
      <c r="O63" s="2377" t="s">
        <v>2392</v>
      </c>
      <c r="P63" s="2378" t="s">
        <v>2409</v>
      </c>
      <c r="Q63" s="2379">
        <f ca="1">Q57+Q58</f>
        <v>1190811</v>
      </c>
      <c r="R63" s="2382" t="s">
        <v>2393</v>
      </c>
    </row>
    <row r="64" spans="1:18" s="2059" customFormat="1" ht="16.5" thickBot="1">
      <c r="A64" s="1649" t="s">
        <v>1891</v>
      </c>
      <c r="B64" s="784" t="s">
        <v>679</v>
      </c>
      <c r="C64" s="53">
        <f ca="1">ROUND(C55*F64,1)</f>
        <v>436.5</v>
      </c>
      <c r="D64" s="3253" t="s">
        <v>680</v>
      </c>
      <c r="E64" s="784" t="s">
        <v>1748</v>
      </c>
      <c r="F64" s="818">
        <f t="shared" ca="1" si="0"/>
        <v>2E-3</v>
      </c>
      <c r="I64" s="3149" t="s">
        <v>2372</v>
      </c>
      <c r="J64" s="3150">
        <v>50</v>
      </c>
      <c r="K64" s="3150">
        <v>35</v>
      </c>
      <c r="L64" s="3150">
        <v>60</v>
      </c>
      <c r="M64" s="846">
        <v>0</v>
      </c>
      <c r="O64" s="2383" t="s">
        <v>2416</v>
      </c>
      <c r="P64" s="1592"/>
      <c r="Q64" s="1604"/>
      <c r="R64" s="1592"/>
    </row>
    <row r="65" spans="1:18" s="2059" customFormat="1" ht="15.75" thickBot="1">
      <c r="A65" s="1649" t="s">
        <v>1892</v>
      </c>
      <c r="B65" s="784" t="s">
        <v>666</v>
      </c>
      <c r="C65" s="53">
        <f ca="1">ROUND(C47*F65,1)</f>
        <v>0</v>
      </c>
      <c r="D65" s="3253" t="s">
        <v>683</v>
      </c>
      <c r="E65" s="784" t="s">
        <v>1748</v>
      </c>
      <c r="F65" s="794">
        <f t="shared" ca="1" si="0"/>
        <v>0.02</v>
      </c>
      <c r="I65" s="3149" t="s">
        <v>2373</v>
      </c>
      <c r="J65" s="3150">
        <v>40</v>
      </c>
      <c r="K65" s="3150">
        <v>30</v>
      </c>
      <c r="L65" s="3150">
        <v>50</v>
      </c>
      <c r="M65" s="3152">
        <v>0.02</v>
      </c>
      <c r="O65" s="2374" t="s">
        <v>2376</v>
      </c>
      <c r="P65" s="2375" t="s">
        <v>2377</v>
      </c>
      <c r="Q65" s="2376" t="s">
        <v>2378</v>
      </c>
      <c r="R65" s="2375" t="s">
        <v>2379</v>
      </c>
    </row>
    <row r="66" spans="1:18" s="2059" customFormat="1" ht="24.75" thickBot="1">
      <c r="A66" s="797" t="s">
        <v>1777</v>
      </c>
      <c r="B66" s="2987" t="s">
        <v>2822</v>
      </c>
      <c r="C66" s="799">
        <f ca="1">C47-C57</f>
        <v>-3784</v>
      </c>
      <c r="D66" s="3251" t="s">
        <v>700</v>
      </c>
      <c r="E66" s="3254"/>
      <c r="F66" s="820"/>
      <c r="K66" s="2086"/>
      <c r="O66" s="2377" t="s">
        <v>2380</v>
      </c>
      <c r="P66" s="2378" t="s">
        <v>2406</v>
      </c>
      <c r="Q66" s="2379">
        <f ca="1">C40+J29</f>
        <v>1190811</v>
      </c>
      <c r="R66" s="2378" t="s">
        <v>2381</v>
      </c>
    </row>
    <row r="67" spans="1:18" s="2059" customFormat="1" ht="20.25" thickBot="1">
      <c r="A67" s="781" t="s">
        <v>1781</v>
      </c>
      <c r="B67" s="2232" t="s">
        <v>2302</v>
      </c>
      <c r="C67" s="783">
        <f ca="1">ROUND(C66*(1-((1+F69)/(1+F67))^F68)/(F67-F69),0)</f>
        <v>-64069</v>
      </c>
      <c r="D67" s="814" t="s">
        <v>704</v>
      </c>
      <c r="E67" s="784" t="s">
        <v>705</v>
      </c>
      <c r="F67" s="794">
        <f ca="1">F40</f>
        <v>5.5E-2</v>
      </c>
      <c r="K67" s="2086"/>
      <c r="O67" s="2377" t="s">
        <v>2382</v>
      </c>
      <c r="P67" s="2378" t="s">
        <v>2413</v>
      </c>
      <c r="Q67" s="2379">
        <f ca="1">L60</f>
        <v>0</v>
      </c>
      <c r="R67" s="2382" t="s">
        <v>2415</v>
      </c>
    </row>
    <row r="68" spans="1:18" ht="21.75" thickBot="1">
      <c r="A68" s="786"/>
      <c r="B68" s="787"/>
      <c r="C68" s="788"/>
      <c r="D68" s="821" t="s">
        <v>1809</v>
      </c>
      <c r="E68" s="784" t="s">
        <v>708</v>
      </c>
      <c r="F68" s="822">
        <f ca="1">F41</f>
        <v>50</v>
      </c>
      <c r="O68" s="2380" t="s">
        <v>2384</v>
      </c>
      <c r="P68" s="2378" t="s">
        <v>2414</v>
      </c>
      <c r="Q68" s="2384">
        <f ca="1">L51</f>
        <v>1135776</v>
      </c>
      <c r="R68" s="2385" t="s">
        <v>2417</v>
      </c>
    </row>
    <row r="69" spans="1:18" ht="20.25" thickBot="1">
      <c r="A69" s="790"/>
      <c r="B69" s="791"/>
      <c r="C69" s="792"/>
      <c r="D69" s="816"/>
      <c r="E69" s="784" t="s">
        <v>710</v>
      </c>
      <c r="F69" s="2350"/>
      <c r="O69" s="2380" t="s">
        <v>2385</v>
      </c>
      <c r="P69" s="2386" t="s">
        <v>2399</v>
      </c>
      <c r="Q69" s="2379">
        <f ca="1">ROUND(Q70-Q71*Q72,0)</f>
        <v>52871</v>
      </c>
      <c r="R69" s="2382"/>
    </row>
    <row r="70" spans="1:18" ht="15.75" thickBot="1">
      <c r="A70" s="823" t="s">
        <v>1788</v>
      </c>
      <c r="B70" s="824" t="s">
        <v>1811</v>
      </c>
      <c r="C70" s="825">
        <f ca="1">ROUND(C67*10000/F70,0)</f>
        <v>-2034</v>
      </c>
      <c r="D70" s="826" t="s">
        <v>1812</v>
      </c>
      <c r="E70" s="827" t="s">
        <v>1813</v>
      </c>
      <c r="F70" s="828">
        <f ca="1">F43</f>
        <v>315045</v>
      </c>
      <c r="O70" s="2380" t="s">
        <v>2400</v>
      </c>
      <c r="P70" s="2386" t="s">
        <v>2401</v>
      </c>
      <c r="Q70" s="2379">
        <f ca="1">C39</f>
        <v>70331</v>
      </c>
      <c r="R70" s="2378" t="s">
        <v>2381</v>
      </c>
    </row>
    <row r="71" spans="1:18" ht="15.75" thickBot="1">
      <c r="O71" s="2380" t="s">
        <v>2402</v>
      </c>
      <c r="P71" s="2386" t="s">
        <v>2403</v>
      </c>
      <c r="Q71" s="2379">
        <f ca="1">C13</f>
        <v>218255</v>
      </c>
      <c r="R71" s="2378" t="s">
        <v>2381</v>
      </c>
    </row>
    <row r="72" spans="1:18" ht="15.75" thickBot="1">
      <c r="O72" s="2380" t="s">
        <v>2404</v>
      </c>
      <c r="P72" s="2386" t="s">
        <v>2405</v>
      </c>
      <c r="Q72" s="2381">
        <f ca="1">J36</f>
        <v>0.08</v>
      </c>
      <c r="R72" s="2382"/>
    </row>
    <row r="73" spans="1:18" ht="15.75" thickBot="1">
      <c r="O73" s="2380" t="s">
        <v>2387</v>
      </c>
      <c r="P73" s="2378" t="s">
        <v>2394</v>
      </c>
      <c r="Q73" s="2381">
        <f>L52</f>
        <v>0</v>
      </c>
      <c r="R73" s="2382"/>
    </row>
    <row r="74" spans="1:18" ht="20.25" thickBot="1">
      <c r="O74" s="2380" t="s">
        <v>2389</v>
      </c>
      <c r="P74" s="2378" t="s">
        <v>2395</v>
      </c>
      <c r="Q74" s="2379" t="e">
        <f ca="1">L58</f>
        <v>#DIV/0!</v>
      </c>
      <c r="R74" s="2382" t="s">
        <v>2396</v>
      </c>
    </row>
    <row r="75" spans="1:18" ht="15.75" thickBot="1">
      <c r="O75" s="2380" t="s">
        <v>2418</v>
      </c>
      <c r="P75" s="2378" t="str">
        <f>K59</f>
        <v>建设期及建筑物耐用年限下的土地年期修正系数Kn</v>
      </c>
      <c r="Q75" s="2379" t="e">
        <f ca="1">L59</f>
        <v>#DIV/0!</v>
      </c>
      <c r="R75" s="2382" t="s">
        <v>2398</v>
      </c>
    </row>
    <row r="76" spans="1:18" ht="15.75" thickBot="1">
      <c r="O76" s="2377" t="s">
        <v>2392</v>
      </c>
      <c r="P76" s="2378" t="s">
        <v>2409</v>
      </c>
      <c r="Q76" s="2379">
        <f ca="1">Q66+Q67</f>
        <v>1190811</v>
      </c>
      <c r="R76" s="2382"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0" priority="7">
      <formula>$L$48&gt;$J$51</formula>
    </cfRule>
  </conditionalFormatting>
  <conditionalFormatting sqref="I55">
    <cfRule type="expression" dxfId="59" priority="6">
      <formula>$J$51&gt;$L$48</formula>
    </cfRule>
  </conditionalFormatting>
  <conditionalFormatting sqref="I60">
    <cfRule type="expression" dxfId="58" priority="5">
      <formula>$J$51&gt;$L$48</formula>
    </cfRule>
  </conditionalFormatting>
  <conditionalFormatting sqref="K60">
    <cfRule type="expression" dxfId="57" priority="4">
      <formula>$L$48&gt;$J$51</formula>
    </cfRule>
  </conditionalFormatting>
  <conditionalFormatting sqref="C11">
    <cfRule type="expression" dxfId="56" priority="3">
      <formula>$F$10="自定义"</formula>
    </cfRule>
  </conditionalFormatting>
  <conditionalFormatting sqref="J11">
    <cfRule type="expression" dxfId="55" priority="2">
      <formula>$M$10="自定义"</formula>
    </cfRule>
  </conditionalFormatting>
  <conditionalFormatting sqref="C53">
    <cfRule type="expression" dxfId="5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0866141732283472" right="0.70866141732283472" top="0.74803149606299213" bottom="0.74803149606299213" header="0.31496062992125984" footer="0.31496062992125984"/>
  <pageSetup paperSize="9" scale="82" orientation="portrait" r:id="rId1"/>
  <legacyDrawing r:id="rId2"/>
</worksheet>
</file>

<file path=xl/worksheets/sheet37.xml><?xml version="1.0" encoding="utf-8"?>
<worksheet xmlns="http://schemas.openxmlformats.org/spreadsheetml/2006/main" xmlns:r="http://schemas.openxmlformats.org/officeDocument/2006/relationships">
  <sheetPr>
    <tabColor rgb="FF92D050"/>
  </sheetPr>
  <dimension ref="A1:AE38"/>
  <sheetViews>
    <sheetView workbookViewId="0">
      <selection sqref="A1:K37"/>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788" t="s">
        <v>1678</v>
      </c>
      <c r="C1" s="2104"/>
      <c r="D1" s="2104"/>
      <c r="E1" s="2104"/>
      <c r="F1" s="2104"/>
      <c r="G1" s="2104"/>
      <c r="H1" s="2104"/>
      <c r="I1" s="2104"/>
      <c r="J1" s="2104"/>
      <c r="K1" s="422">
        <f>MATCH(B1,'数据-取费表'!A6:A16,0)+5</f>
        <v>7</v>
      </c>
    </row>
    <row r="2" spans="1:31" s="2041" customFormat="1" ht="18" customHeight="1">
      <c r="A2" s="2101" t="s">
        <v>467</v>
      </c>
      <c r="B2" s="2105">
        <f ca="1">C36</f>
        <v>655759</v>
      </c>
      <c r="C2" s="2104"/>
      <c r="D2" s="2104"/>
      <c r="E2" s="2104"/>
      <c r="F2" s="2104"/>
      <c r="G2" s="2104"/>
      <c r="H2" s="2104"/>
      <c r="I2" s="2104"/>
      <c r="J2" s="2104"/>
      <c r="K2" s="2104"/>
    </row>
    <row r="3" spans="1:31" s="2041" customFormat="1" ht="18" customHeight="1">
      <c r="A3" s="2106" t="s">
        <v>1685</v>
      </c>
      <c r="B3" s="2107">
        <f ca="1">ROUND(B2*10000/IF(B1="",'数据-汇总表'!E3,INDIRECT("'数据-取费表'!K"&amp;$K$1)),0)</f>
        <v>20815</v>
      </c>
      <c r="C3" s="2104"/>
      <c r="D3" s="2104"/>
      <c r="E3" s="2104"/>
      <c r="F3" s="2104"/>
      <c r="G3" s="2104"/>
      <c r="H3" s="2104"/>
      <c r="I3" s="2104"/>
      <c r="J3" s="2104"/>
      <c r="K3" s="2104"/>
    </row>
    <row r="4" spans="1:31" s="2041" customFormat="1" ht="18" customHeight="1">
      <c r="A4" s="426" t="s">
        <v>468</v>
      </c>
      <c r="B4" s="427">
        <f ca="1">ROUND(B2*10000/IF(B1="",'数据-汇总表'!D3,INDIRECT("'数据-取费表'!R"&amp;$K$1)),0)</f>
        <v>106468</v>
      </c>
      <c r="C4" s="428"/>
      <c r="D4" s="422"/>
      <c r="E4" s="422"/>
      <c r="F4" s="422"/>
      <c r="G4" s="422"/>
      <c r="H4" s="422"/>
      <c r="I4" s="422"/>
      <c r="J4" s="422"/>
      <c r="K4" s="422"/>
    </row>
    <row r="5" spans="1:31" s="2041" customFormat="1" ht="18" customHeight="1" thickBot="1">
      <c r="A5" s="429"/>
      <c r="B5" s="430">
        <f ca="1">ROUND(B2/(IF(B1="",'数据-汇总表'!D3,INDIRECT("'数据-取费表'!R"&amp;$K$1))/666.67),0)</f>
        <v>7098</v>
      </c>
      <c r="C5" s="431" t="s">
        <v>469</v>
      </c>
      <c r="D5" s="422"/>
      <c r="E5" s="422"/>
      <c r="F5" s="422"/>
      <c r="G5" s="422"/>
      <c r="H5" s="422"/>
      <c r="I5" s="422"/>
      <c r="J5" s="422"/>
      <c r="K5" s="422"/>
    </row>
    <row r="6" spans="1:31" s="2111" customFormat="1" ht="16.5" customHeight="1">
      <c r="A6" s="2807" t="s">
        <v>1843</v>
      </c>
      <c r="B6" s="2808"/>
      <c r="C6" s="2809">
        <f ca="1">SUM(C10:K10)</f>
        <v>1190811</v>
      </c>
      <c r="D6" s="2808"/>
      <c r="E6" s="2808"/>
      <c r="F6" s="2808"/>
      <c r="G6" s="2808"/>
      <c r="H6" s="2808"/>
      <c r="I6" s="2808"/>
      <c r="J6" s="2808"/>
      <c r="K6" s="2810"/>
    </row>
    <row r="7" spans="1:31" s="2113" customFormat="1" ht="15">
      <c r="A7" s="2811" t="s">
        <v>470</v>
      </c>
      <c r="B7" s="2812" t="s">
        <v>471</v>
      </c>
      <c r="C7" s="436" t="s">
        <v>1678</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13">
        <f ca="1">'不动产收益法-办公'!C43</f>
        <v>37798</v>
      </c>
      <c r="D8" s="2813"/>
      <c r="E8" s="2813"/>
      <c r="F8" s="2813"/>
      <c r="G8" s="2813"/>
      <c r="H8" s="2813"/>
      <c r="I8" s="2813"/>
      <c r="J8" s="2813"/>
      <c r="K8" s="2814"/>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SUMIF('数据-汇总表'!$C19:$C33,'剩余法-办公'!C7,'数据-汇总表'!$E19:$E33)</f>
        <v>315045</v>
      </c>
      <c r="D9" s="441">
        <f>SUMIF('数据-汇总表'!$C19:$C33,'剩余法-办公'!D7,'数据-汇总表'!$E19:$E33)</f>
        <v>0</v>
      </c>
      <c r="E9" s="441">
        <f>SUMIF('数据-汇总表'!$C19:$C33,'剩余法-办公'!E7,'数据-汇总表'!$E19:$E33)</f>
        <v>0</v>
      </c>
      <c r="F9" s="441">
        <f>SUMIF('数据-汇总表'!$C19:$C33,'剩余法-办公'!F7,'数据-汇总表'!$E19:$E33)</f>
        <v>0</v>
      </c>
      <c r="G9" s="441">
        <f>SUMIF('数据-汇总表'!$C19:$C33,'剩余法-办公'!G7,'数据-汇总表'!$E19:$E33)</f>
        <v>0</v>
      </c>
      <c r="H9" s="441">
        <f>SUMIF('数据-汇总表'!$C19:$C33,'剩余法-办公'!H7,'数据-汇总表'!$E19:$E33)</f>
        <v>0</v>
      </c>
      <c r="I9" s="441">
        <f>SUMIF('数据-汇总表'!$C19:$C33,'剩余法-办公'!I7,'数据-汇总表'!$E19:$E33)</f>
        <v>0</v>
      </c>
      <c r="J9" s="441">
        <f>SUMIF('数据-汇总表'!$C19:$C33,'剩余法-办公'!J7,'数据-汇总表'!$E19:$E33)</f>
        <v>0</v>
      </c>
      <c r="K9" s="442">
        <f>SUMIF('数据-汇总表'!$C19:$C33,'剩余法-办公'!K7,'数据-汇总表'!$E19:$E33)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5" t="s">
        <v>1848</v>
      </c>
      <c r="B10" s="2801" t="s">
        <v>474</v>
      </c>
      <c r="C10" s="3005">
        <f ca="1">'不动产收益法-办公'!B2</f>
        <v>1190811</v>
      </c>
      <c r="D10" s="3005"/>
      <c r="E10" s="3005"/>
      <c r="F10" s="2816"/>
      <c r="G10" s="2816"/>
      <c r="H10" s="2816"/>
      <c r="I10" s="2816"/>
      <c r="J10" s="2816"/>
      <c r="K10" s="2817"/>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8" t="s">
        <v>1844</v>
      </c>
      <c r="B11" s="2808"/>
      <c r="C11" s="2808"/>
      <c r="D11" s="2808"/>
      <c r="E11" s="2808"/>
      <c r="F11" s="2808"/>
      <c r="G11" s="2808"/>
      <c r="H11" s="2808"/>
      <c r="I11" s="2808"/>
      <c r="J11" s="2808"/>
      <c r="K11" s="2810"/>
    </row>
    <row r="12" spans="1:31" s="2085" customFormat="1" ht="13.5" customHeight="1">
      <c r="A12" s="2819" t="s">
        <v>470</v>
      </c>
      <c r="B12" s="2791" t="s">
        <v>471</v>
      </c>
      <c r="C12" s="2820" t="s">
        <v>475</v>
      </c>
      <c r="D12" s="3179" t="s">
        <v>476</v>
      </c>
      <c r="E12" s="3179" t="s">
        <v>477</v>
      </c>
      <c r="F12" s="3179" t="s">
        <v>478</v>
      </c>
      <c r="G12" s="2791"/>
      <c r="H12" s="2792"/>
      <c r="I12" s="2792"/>
      <c r="J12" s="2792"/>
      <c r="K12" s="2793"/>
    </row>
    <row r="13" spans="1:31" s="2116" customFormat="1" ht="13.5" customHeight="1">
      <c r="A13" s="2821" t="s">
        <v>1849</v>
      </c>
      <c r="B13" s="2822" t="s">
        <v>479</v>
      </c>
      <c r="C13" s="450">
        <f ca="1">IF(B1="",'数据-取费表'!P16,INDIRECT("'数据-取费表'!p"&amp;$K$1)+INDIRECT("'数据-取费表'!t"&amp;$K$1))</f>
        <v>141770</v>
      </c>
      <c r="D13" s="2823"/>
      <c r="E13" s="2824"/>
      <c r="F13" s="2825"/>
      <c r="G13" s="2791"/>
      <c r="H13" s="2792"/>
      <c r="I13" s="2792"/>
      <c r="J13" s="2792"/>
      <c r="K13" s="2793"/>
    </row>
    <row r="14" spans="1:31" s="2116" customFormat="1" ht="13.5" customHeight="1">
      <c r="A14" s="2821" t="s">
        <v>1850</v>
      </c>
      <c r="B14" s="2822" t="s">
        <v>480</v>
      </c>
      <c r="C14" s="53">
        <f ca="1">ROUND(C13*F14,0)</f>
        <v>4253</v>
      </c>
      <c r="D14" s="2823"/>
      <c r="E14" s="2824"/>
      <c r="F14" s="2826">
        <f>'数据-取费表'!B33</f>
        <v>0.03</v>
      </c>
      <c r="G14" s="2791" t="s">
        <v>481</v>
      </c>
      <c r="H14" s="2792"/>
      <c r="I14" s="2792"/>
      <c r="J14" s="2792"/>
      <c r="K14" s="2793"/>
    </row>
    <row r="15" spans="1:31" s="2116"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v>
      </c>
      <c r="G15" s="2791" t="s">
        <v>483</v>
      </c>
      <c r="H15" s="2792"/>
      <c r="I15" s="2792"/>
      <c r="J15" s="2792"/>
      <c r="K15" s="2793"/>
    </row>
    <row r="16" spans="1:31" s="2117" customFormat="1" ht="13.5" customHeight="1">
      <c r="A16" s="2821" t="s">
        <v>1852</v>
      </c>
      <c r="B16" s="2822" t="s">
        <v>484</v>
      </c>
      <c r="C16" s="53">
        <f ca="1">ROUND(D16*E16/10000,0)</f>
        <v>6301</v>
      </c>
      <c r="D16" s="2823">
        <f ca="1">IF(B1="",'数据-汇总表'!E3,INDIRECT("'数据-取费表'!K"&amp;$K$1)+INDIRECT("'数据-取费表'!S"&amp;$K$1))</f>
        <v>315045</v>
      </c>
      <c r="E16" s="53">
        <f>'数据-取费表'!B35</f>
        <v>200</v>
      </c>
      <c r="F16" s="2826"/>
      <c r="G16" s="2791"/>
      <c r="H16" s="2792"/>
      <c r="I16" s="2792"/>
      <c r="J16" s="2792"/>
      <c r="K16" s="2793"/>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1" t="s">
        <v>1853</v>
      </c>
      <c r="B17" s="2822" t="s">
        <v>485</v>
      </c>
      <c r="C17" s="2827">
        <f ca="1">ROUND(C13*F17,0)</f>
        <v>2127</v>
      </c>
      <c r="D17" s="475"/>
      <c r="E17" s="2827"/>
      <c r="F17" s="2828">
        <f>'数据-取费表'!B36</f>
        <v>1.4999999999999999E-2</v>
      </c>
      <c r="G17" s="261" t="s">
        <v>486</v>
      </c>
      <c r="H17" s="2794"/>
      <c r="I17" s="2794"/>
      <c r="J17" s="2794"/>
      <c r="K17" s="279"/>
    </row>
    <row r="18" spans="1:14" s="2116" customFormat="1" ht="13.5" customHeight="1">
      <c r="A18" s="2829" t="s">
        <v>1854</v>
      </c>
      <c r="B18" s="2830" t="s">
        <v>487</v>
      </c>
      <c r="C18" s="2831">
        <f ca="1">SUM(C13:C17)</f>
        <v>154451</v>
      </c>
      <c r="D18" s="2832"/>
      <c r="E18" s="468"/>
      <c r="F18" s="468"/>
      <c r="G18" s="2795" t="s">
        <v>2431</v>
      </c>
      <c r="H18" s="2796"/>
      <c r="I18" s="2796"/>
      <c r="J18" s="2796"/>
      <c r="K18" s="2797"/>
    </row>
    <row r="19" spans="1:14" s="2116" customFormat="1" ht="13.5" customHeight="1">
      <c r="A19" s="2829" t="s">
        <v>1855</v>
      </c>
      <c r="B19" s="2830" t="s">
        <v>488</v>
      </c>
      <c r="C19" s="3179">
        <f ca="1">ROUND(D19*E19/10000,0)</f>
        <v>630</v>
      </c>
      <c r="D19" s="2833">
        <f ca="1">D16</f>
        <v>315045</v>
      </c>
      <c r="E19" s="3179">
        <f>'数据-取费表'!B32</f>
        <v>20</v>
      </c>
      <c r="F19" s="468"/>
      <c r="G19" s="2791" t="s">
        <v>489</v>
      </c>
      <c r="H19" s="2792"/>
      <c r="I19" s="2796"/>
      <c r="J19" s="2796"/>
      <c r="K19" s="2797"/>
    </row>
    <row r="20" spans="1:14" s="2116" customFormat="1" ht="13.5" customHeight="1">
      <c r="A20" s="2829" t="s">
        <v>1856</v>
      </c>
      <c r="B20" s="2830" t="s">
        <v>490</v>
      </c>
      <c r="C20" s="3179">
        <f ca="1">C21+C22-IF(B1="",'数据-取费表'!B29,IF(G20="已全部缴纳",C21+C22,H20))</f>
        <v>6301</v>
      </c>
      <c r="D20" s="2833"/>
      <c r="E20" s="3179"/>
      <c r="F20" s="2834"/>
      <c r="G20" s="3064" t="s">
        <v>3039</v>
      </c>
      <c r="H20" s="2789"/>
      <c r="I20" s="2790" t="s">
        <v>2652</v>
      </c>
      <c r="J20" s="2796"/>
      <c r="K20" s="2797"/>
    </row>
    <row r="21" spans="1:14" s="2116" customFormat="1" ht="13.5" customHeight="1">
      <c r="A21" s="2821" t="s">
        <v>1857</v>
      </c>
      <c r="B21" s="2822" t="s">
        <v>491</v>
      </c>
      <c r="C21" s="53">
        <f ca="1">ROUND(D21*E21/10000,0)</f>
        <v>0</v>
      </c>
      <c r="D21" s="2823">
        <f ca="1">IF(B1="",'数据-汇总表'!E5,IF(INDIRECT("'数据-取费表'!c"&amp;$K$1)="住宅",INDIRECT("'数据-取费表'!k"&amp;$K$1),0))</f>
        <v>0</v>
      </c>
      <c r="E21" s="53">
        <f>'数据-取费表'!B27</f>
        <v>160</v>
      </c>
      <c r="F21" s="2826"/>
      <c r="G21" s="26"/>
      <c r="H21" s="51"/>
      <c r="I21" s="51"/>
      <c r="J21" s="51"/>
      <c r="K21" s="2798"/>
    </row>
    <row r="22" spans="1:14" s="2116" customFormat="1" ht="13.5" customHeight="1">
      <c r="A22" s="2821" t="s">
        <v>1858</v>
      </c>
      <c r="B22" s="2822" t="s">
        <v>492</v>
      </c>
      <c r="C22" s="53">
        <f ca="1">ROUND(D22*E22/10000,0)</f>
        <v>6301</v>
      </c>
      <c r="D22" s="2823">
        <f ca="1">IF(B1="",'数据-汇总表'!E6,IF(INDIRECT("'数据-取费表'!c"&amp;$K$1)="住宅",INDIRECT("'数据-取费表'!s"&amp;$K$1),INDIRECT("'数据-取费表'!k"&amp;$K$1)+INDIRECT("'数据-取费表'!s"&amp;$K$1)))</f>
        <v>315045</v>
      </c>
      <c r="E22" s="53">
        <f>'数据-取费表'!B28</f>
        <v>200</v>
      </c>
      <c r="F22" s="2826"/>
      <c r="G22" s="26"/>
      <c r="H22" s="51"/>
      <c r="I22" s="51"/>
      <c r="J22" s="51"/>
      <c r="K22" s="2798"/>
    </row>
    <row r="23" spans="1:14" s="2116" customFormat="1" ht="13.5" customHeight="1">
      <c r="A23" s="2829" t="s">
        <v>1859</v>
      </c>
      <c r="B23" s="3011" t="s">
        <v>2833</v>
      </c>
      <c r="C23" s="2831">
        <f ca="1">ROUND((C18+C19+C20)*F23,0)</f>
        <v>4841</v>
      </c>
      <c r="D23" s="468"/>
      <c r="E23" s="468"/>
      <c r="F23" s="2835">
        <f>'数据-取费表'!B37</f>
        <v>0.03</v>
      </c>
      <c r="G23" s="2791" t="s">
        <v>2432</v>
      </c>
      <c r="H23" s="2792"/>
      <c r="I23" s="2792"/>
      <c r="J23" s="2792"/>
      <c r="K23" s="2793"/>
      <c r="L23" s="2118"/>
      <c r="M23" s="2118"/>
      <c r="N23" s="2118"/>
    </row>
    <row r="24" spans="1:14" s="2116" customFormat="1" ht="13.5" customHeight="1">
      <c r="A24" s="2829" t="s">
        <v>1860</v>
      </c>
      <c r="B24" s="3011" t="s">
        <v>2836</v>
      </c>
      <c r="C24" s="2831">
        <f ca="1">ROUND(C6*F24,0)</f>
        <v>35724</v>
      </c>
      <c r="D24" s="475"/>
      <c r="E24" s="473"/>
      <c r="F24" s="2835">
        <f>'数据-取费表'!B38</f>
        <v>0.03</v>
      </c>
      <c r="G24" s="2800" t="s">
        <v>499</v>
      </c>
      <c r="H24" s="2794"/>
      <c r="I24" s="2794"/>
      <c r="J24" s="2794"/>
      <c r="K24" s="279"/>
      <c r="L24" s="2118"/>
      <c r="M24" s="2118"/>
      <c r="N24" s="2118"/>
    </row>
    <row r="25" spans="1:14" s="2119" customFormat="1" ht="13.5" customHeight="1">
      <c r="A25" s="2829" t="s">
        <v>1861</v>
      </c>
      <c r="B25" s="3011" t="s">
        <v>2834</v>
      </c>
      <c r="C25" s="467">
        <f>ROUND(F25/(1+'数据-取费表'!C42),4)</f>
        <v>2.9000000000000001E-2</v>
      </c>
      <c r="D25" s="462" t="s">
        <v>2828</v>
      </c>
      <c r="E25" s="469"/>
      <c r="F25" s="2835">
        <f>'数据-取费表'!B48+'数据-取费表'!B49</f>
        <v>3.0499999999999999E-2</v>
      </c>
      <c r="G25" s="2799" t="s">
        <v>2290</v>
      </c>
      <c r="H25" s="2792"/>
      <c r="I25" s="2792"/>
      <c r="J25" s="2792"/>
      <c r="K25" s="2793"/>
    </row>
    <row r="26" spans="1:14" s="2118" customFormat="1" ht="13.5" customHeight="1">
      <c r="A26" s="2829" t="s">
        <v>1862</v>
      </c>
      <c r="B26" s="3012" t="s">
        <v>2835</v>
      </c>
      <c r="C26" s="2836">
        <f ca="1">C28</f>
        <v>9592</v>
      </c>
      <c r="D26" s="467">
        <f ca="1">C27</f>
        <v>0.10009999999999999</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6"/>
      <c r="I26" s="2796"/>
      <c r="J26" s="2796"/>
      <c r="K26" s="2797"/>
    </row>
    <row r="27" spans="1:14" s="2120" customFormat="1" ht="13.5" customHeight="1">
      <c r="A27" s="803" t="s">
        <v>1857</v>
      </c>
      <c r="B27" s="2837" t="s">
        <v>496</v>
      </c>
      <c r="C27" s="2838">
        <f ca="1">ROUND(IF('数据-取费表'!B22&lt;=1,(1+C25)*F26*'数据-取费表'!B24,(1+C25)*(POWER((1+F26),'数据-取费表'!B24)-1)),4)</f>
        <v>0.10009999999999999</v>
      </c>
      <c r="D27" s="472"/>
      <c r="E27" s="473"/>
      <c r="F27" s="474"/>
      <c r="G27" s="2551" t="str">
        <f>IF('数据-取费表'!B22&lt;=1,"（1+取得税费率/(1+5%)）×年利率×建设期","（1+取得税费率）/(1+5%)×((1+年利率)^建设期-1)")</f>
        <v>（1+取得税费率）/(1+5%)×((1+年利率)^建设期-1)</v>
      </c>
      <c r="H27" s="2794"/>
      <c r="I27" s="2794"/>
      <c r="J27" s="2794"/>
      <c r="K27" s="279"/>
    </row>
    <row r="28" spans="1:14" s="2120" customFormat="1" ht="13.5" customHeight="1">
      <c r="A28" s="803" t="s">
        <v>1858</v>
      </c>
      <c r="B28" s="2837" t="s">
        <v>2837</v>
      </c>
      <c r="C28" s="2839">
        <f ca="1">ROUND(IF('数据-取费表'!B22&lt;=1,(C18+C19+C20+C23+C24)*F26*'数据-取费表'!B24/2,(C18+C19+C20+C23+C24)*(POWER((1+F26),'数据-取费表'!B24/2)-1)),0)</f>
        <v>9592</v>
      </c>
      <c r="D28" s="472"/>
      <c r="E28" s="473"/>
      <c r="F28" s="474"/>
      <c r="G28" s="2551" t="str">
        <f>IF('数据-取费表'!B22&lt;=1,"（1）-（4）项×年利率×建设期÷2","（1）-（4）项×((1+年利率)^(建设期÷2)-1)")</f>
        <v>（1）-（4）项×((1+年利率)^(建设期÷2)-1)</v>
      </c>
      <c r="H28" s="2794"/>
      <c r="I28" s="2794"/>
      <c r="J28" s="2794"/>
      <c r="K28" s="279"/>
    </row>
    <row r="29" spans="1:14" s="2120" customFormat="1" ht="13.5" customHeight="1">
      <c r="A29" s="2840" t="s">
        <v>1863</v>
      </c>
      <c r="B29" s="2830" t="s">
        <v>497</v>
      </c>
      <c r="C29" s="2831">
        <f ca="1">ROUND(C6*F29/(1+'数据-取费表'!C42),0)</f>
        <v>63510</v>
      </c>
      <c r="D29" s="468"/>
      <c r="E29" s="468"/>
      <c r="F29" s="3013">
        <f>'数据-取费表'!B41</f>
        <v>5.6000000000000001E-2</v>
      </c>
      <c r="G29" s="2800" t="s">
        <v>498</v>
      </c>
      <c r="H29" s="2792"/>
      <c r="I29" s="2792"/>
      <c r="J29" s="2792"/>
      <c r="K29" s="2793"/>
    </row>
    <row r="30" spans="1:14" s="2121" customFormat="1" ht="13.5" customHeight="1">
      <c r="A30" s="1635" t="s">
        <v>1864</v>
      </c>
      <c r="B30" s="2841" t="s">
        <v>500</v>
      </c>
      <c r="C30" s="2836">
        <f ca="1">C31</f>
        <v>275049</v>
      </c>
      <c r="D30" s="477">
        <f ca="1">C32</f>
        <v>0.12909999999999999</v>
      </c>
      <c r="E30" s="469" t="s">
        <v>495</v>
      </c>
      <c r="F30" s="471"/>
      <c r="G30" s="2799" t="s">
        <v>2970</v>
      </c>
      <c r="H30" s="2792"/>
      <c r="I30" s="2792"/>
      <c r="J30" s="2792"/>
      <c r="K30" s="2793"/>
    </row>
    <row r="31" spans="1:14" s="2120" customFormat="1" ht="13.5" customHeight="1">
      <c r="A31" s="803" t="s">
        <v>1857</v>
      </c>
      <c r="B31" s="2837"/>
      <c r="C31" s="450">
        <f ca="1">C18+C19+C20+C23+C24+C26+C29</f>
        <v>275049</v>
      </c>
      <c r="D31" s="472"/>
      <c r="E31" s="473"/>
      <c r="F31" s="474"/>
      <c r="G31" s="261"/>
      <c r="H31" s="2794"/>
      <c r="I31" s="2794"/>
      <c r="J31" s="2794"/>
      <c r="K31" s="279"/>
    </row>
    <row r="32" spans="1:14" s="2120" customFormat="1" ht="13.5" customHeight="1">
      <c r="A32" s="803" t="s">
        <v>1858</v>
      </c>
      <c r="B32" s="2837"/>
      <c r="C32" s="53">
        <f ca="1">ROUND(C25+D26,4)</f>
        <v>0.12909999999999999</v>
      </c>
      <c r="D32" s="472"/>
      <c r="E32" s="473"/>
      <c r="F32" s="474"/>
      <c r="G32" s="261"/>
      <c r="H32" s="2794"/>
      <c r="I32" s="2794"/>
      <c r="J32" s="2794"/>
      <c r="K32" s="279"/>
    </row>
    <row r="33" spans="1:11" s="2122" customFormat="1" ht="13.5" customHeight="1">
      <c r="A33" s="3010" t="s">
        <v>2832</v>
      </c>
      <c r="B33" s="3008" t="s">
        <v>2830</v>
      </c>
      <c r="C33" s="478">
        <f ca="1">C35</f>
        <v>40389</v>
      </c>
      <c r="D33" s="467">
        <f ca="1">C34</f>
        <v>0.20580000000000001</v>
      </c>
      <c r="E33" s="469" t="s">
        <v>495</v>
      </c>
      <c r="F33" s="479">
        <f ca="1">IF(B1="",'数据-取费表'!Q16,INDIRECT("'数据-取费表'!q"&amp;$K$1))</f>
        <v>0.2</v>
      </c>
      <c r="G33" s="2795"/>
      <c r="H33" s="2796"/>
      <c r="I33" s="2796"/>
      <c r="J33" s="2796"/>
      <c r="K33" s="2797"/>
    </row>
    <row r="34" spans="1:11" s="2123" customFormat="1" ht="13.5" customHeight="1">
      <c r="A34" s="375" t="s">
        <v>1857</v>
      </c>
      <c r="B34" s="2842" t="s">
        <v>501</v>
      </c>
      <c r="C34" s="472">
        <f ca="1">ROUND((1+C25)*F33,4)</f>
        <v>0.20580000000000001</v>
      </c>
      <c r="D34" s="472"/>
      <c r="E34" s="473"/>
      <c r="F34" s="480"/>
      <c r="G34" s="261" t="s">
        <v>2291</v>
      </c>
      <c r="H34" s="2794"/>
      <c r="I34" s="2794"/>
      <c r="J34" s="2794"/>
      <c r="K34" s="279"/>
    </row>
    <row r="35" spans="1:11" s="2123" customFormat="1" ht="13.5" customHeight="1" thickBot="1">
      <c r="A35" s="1636" t="s">
        <v>1858</v>
      </c>
      <c r="B35" s="3009" t="s">
        <v>2838</v>
      </c>
      <c r="C35" s="1628">
        <f ca="1">ROUND((C18+C19+C20+C23+C24)*F33,0)</f>
        <v>40389</v>
      </c>
      <c r="D35" s="1629"/>
      <c r="E35" s="2843"/>
      <c r="F35" s="1630"/>
      <c r="G35" s="2801"/>
      <c r="H35" s="2802"/>
      <c r="I35" s="2802"/>
      <c r="J35" s="2802"/>
      <c r="K35" s="2803"/>
    </row>
    <row r="36" spans="1:11" s="2085" customFormat="1" ht="13.5" customHeight="1" thickBot="1">
      <c r="A36" s="284" t="s">
        <v>1845</v>
      </c>
      <c r="B36" s="2805"/>
      <c r="C36" s="2844">
        <f ca="1">ROUND((C6-C30-C33)/(1+D30+D33),0)</f>
        <v>655759</v>
      </c>
      <c r="D36" s="2805"/>
      <c r="E36" s="2805"/>
      <c r="F36" s="2805"/>
      <c r="G36" s="2804" t="s">
        <v>2839</v>
      </c>
      <c r="H36" s="2805"/>
      <c r="I36" s="2805"/>
      <c r="J36" s="2805"/>
      <c r="K36" s="2806"/>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0866141732283472" right="0.70866141732283472" top="0.74803149606299213" bottom="0.74803149606299213" header="0.31496062992125984" footer="0.31496062992125984"/>
  <pageSetup paperSize="9" scale="90" fitToHeight="0" orientation="landscape" r:id="rId1"/>
</worksheet>
</file>

<file path=xl/worksheets/sheet38.xml><?xml version="1.0" encoding="utf-8"?>
<worksheet xmlns="http://schemas.openxmlformats.org/spreadsheetml/2006/main" xmlns:r="http://schemas.openxmlformats.org/officeDocument/2006/relationships">
  <sheetPr codeName="Sheet24">
    <tabColor rgb="FF92D050"/>
    <pageSetUpPr fitToPage="1"/>
  </sheetPr>
  <dimension ref="A1:AC853"/>
  <sheetViews>
    <sheetView topLeftCell="A21" zoomScale="80" zoomScaleNormal="80" workbookViewId="0">
      <selection activeCell="I40" sqref="I40"/>
    </sheetView>
  </sheetViews>
  <sheetFormatPr defaultColWidth="9" defaultRowHeight="14.25"/>
  <cols>
    <col min="1" max="1" width="10.5" style="1336" customWidth="1"/>
    <col min="2" max="2" width="15.75" style="1336" customWidth="1"/>
    <col min="3" max="3" width="18.8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t="s">
        <v>1678</v>
      </c>
      <c r="E1" s="506"/>
      <c r="F1" s="2786" t="s">
        <v>2855</v>
      </c>
      <c r="G1" s="1601" t="s">
        <v>721</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3" t="s">
        <v>467</v>
      </c>
      <c r="B2" s="850">
        <f>ROUND(B3*D3/10000,0)</f>
        <v>265</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9" t="s">
        <v>519</v>
      </c>
      <c r="B3" s="510">
        <f>C50</f>
        <v>8.4</v>
      </c>
      <c r="C3" s="852" t="s">
        <v>722</v>
      </c>
      <c r="D3" s="851">
        <f>SUMIF('数据-汇总表'!$C19:$C33,D1,'数据-汇总表'!$E19:$E33)</f>
        <v>315045</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521</v>
      </c>
      <c r="B4" s="513"/>
      <c r="C4" s="3486" t="s">
        <v>522</v>
      </c>
      <c r="D4" s="3487"/>
      <c r="E4" s="3488" t="s">
        <v>523</v>
      </c>
      <c r="F4" s="3489"/>
      <c r="G4" s="3486" t="s">
        <v>524</v>
      </c>
      <c r="H4" s="3487"/>
      <c r="I4" s="3486" t="s">
        <v>525</v>
      </c>
      <c r="J4" s="3487"/>
      <c r="K4" s="514" t="s">
        <v>526</v>
      </c>
      <c r="L4" s="2133"/>
      <c r="M4" s="2134"/>
      <c r="N4" s="2134"/>
      <c r="O4" s="2134"/>
      <c r="P4" s="3560" t="s">
        <v>527</v>
      </c>
      <c r="Q4" s="3491"/>
      <c r="R4" s="3496" t="s">
        <v>523</v>
      </c>
      <c r="S4" s="3497"/>
      <c r="T4" s="3496" t="s">
        <v>524</v>
      </c>
      <c r="U4" s="3497"/>
      <c r="V4" s="3502" t="s">
        <v>525</v>
      </c>
      <c r="W4" s="3502"/>
      <c r="X4" s="1567"/>
      <c r="Y4" s="3496" t="s">
        <v>527</v>
      </c>
      <c r="Z4" s="3497"/>
      <c r="AA4" s="3483" t="s">
        <v>523</v>
      </c>
      <c r="AB4" s="3483" t="s">
        <v>524</v>
      </c>
      <c r="AC4" s="3483" t="s">
        <v>525</v>
      </c>
    </row>
    <row r="5" spans="1:29" ht="15" customHeight="1">
      <c r="A5" s="515"/>
      <c r="B5" s="516"/>
      <c r="C5" s="3510" t="s">
        <v>2926</v>
      </c>
      <c r="D5" s="3506"/>
      <c r="E5" s="3513" t="s">
        <v>3122</v>
      </c>
      <c r="F5" s="3514"/>
      <c r="G5" s="3513" t="s">
        <v>3122</v>
      </c>
      <c r="H5" s="3514"/>
      <c r="I5" s="3513" t="s">
        <v>3122</v>
      </c>
      <c r="J5" s="3514"/>
      <c r="K5" s="514"/>
      <c r="L5" s="2133"/>
      <c r="M5" s="2134"/>
      <c r="N5" s="2134"/>
      <c r="O5" s="2134"/>
      <c r="P5" s="3561"/>
      <c r="Q5" s="3493"/>
      <c r="R5" s="3498"/>
      <c r="S5" s="3499"/>
      <c r="T5" s="3498"/>
      <c r="U5" s="3499"/>
      <c r="V5" s="3502"/>
      <c r="W5" s="3502"/>
      <c r="X5" s="1567"/>
      <c r="Y5" s="3498"/>
      <c r="Z5" s="3499"/>
      <c r="AA5" s="3484"/>
      <c r="AB5" s="3484"/>
      <c r="AC5" s="3484"/>
    </row>
    <row r="6" spans="1:29" ht="15.75" thickBot="1">
      <c r="A6" s="517"/>
      <c r="B6" s="518"/>
      <c r="C6" s="3503" t="s">
        <v>2930</v>
      </c>
      <c r="D6" s="3504"/>
      <c r="E6" s="3511" t="s">
        <v>2930</v>
      </c>
      <c r="F6" s="3512"/>
      <c r="G6" s="3503" t="s">
        <v>2930</v>
      </c>
      <c r="H6" s="3504"/>
      <c r="I6" s="3503" t="s">
        <v>2930</v>
      </c>
      <c r="J6" s="3504"/>
      <c r="K6" s="514" t="s">
        <v>528</v>
      </c>
      <c r="L6" s="2133"/>
      <c r="M6" s="2134"/>
      <c r="N6" s="2134"/>
      <c r="O6" s="2134"/>
      <c r="P6" s="3562"/>
      <c r="Q6" s="3495"/>
      <c r="R6" s="3498"/>
      <c r="S6" s="3499"/>
      <c r="T6" s="3500"/>
      <c r="U6" s="3501"/>
      <c r="V6" s="3502"/>
      <c r="W6" s="3502"/>
      <c r="X6" s="1567"/>
      <c r="Y6" s="3500"/>
      <c r="Z6" s="3501"/>
      <c r="AA6" s="3485"/>
      <c r="AB6" s="3485"/>
      <c r="AC6" s="3485"/>
    </row>
    <row r="7" spans="1:29" s="1219" customFormat="1" ht="15.75" thickBot="1">
      <c r="A7" s="2891"/>
      <c r="B7" s="2898" t="s">
        <v>529</v>
      </c>
      <c r="C7" s="519">
        <f>'数据-取费表'!B2</f>
        <v>43388</v>
      </c>
      <c r="D7" s="520">
        <v>100</v>
      </c>
      <c r="E7" s="521">
        <v>43374</v>
      </c>
      <c r="F7" s="522">
        <f>SUMIF(59:59,YEAR(E7)&amp;"-"&amp;MONTH(E7),60:60)</f>
        <v>100</v>
      </c>
      <c r="G7" s="521">
        <v>43374</v>
      </c>
      <c r="H7" s="520">
        <f>SUMIF(59:59,YEAR(G7)&amp;"-"&amp;MONTH(G7),60:60)</f>
        <v>100</v>
      </c>
      <c r="I7" s="521">
        <v>43374</v>
      </c>
      <c r="J7" s="520">
        <f>SUMIF(59:59,YEAR(I7)&amp;"-"&amp;MONTH(I7),60:60)</f>
        <v>100</v>
      </c>
      <c r="K7" s="524"/>
      <c r="L7" s="2135"/>
      <c r="M7" s="2136"/>
      <c r="N7" s="2136"/>
      <c r="O7" s="2136"/>
      <c r="P7" s="3509" t="s">
        <v>530</v>
      </c>
      <c r="Q7" s="3509"/>
      <c r="R7" s="1568" t="s">
        <v>8</v>
      </c>
      <c r="S7" s="1569">
        <f t="shared" ref="S7:S15" si="0">F7</f>
        <v>100</v>
      </c>
      <c r="T7" s="1568" t="s">
        <v>8</v>
      </c>
      <c r="U7" s="1569">
        <f t="shared" ref="U7:U15" si="1">H7</f>
        <v>100</v>
      </c>
      <c r="V7" s="1568" t="s">
        <v>8</v>
      </c>
      <c r="W7" s="1569">
        <f t="shared" ref="W7:W15" si="2">J7</f>
        <v>100</v>
      </c>
      <c r="X7" s="1570"/>
      <c r="Y7" s="3507" t="s">
        <v>530</v>
      </c>
      <c r="Z7" s="3508"/>
      <c r="AA7" s="1571">
        <f>D7/F7</f>
        <v>1</v>
      </c>
      <c r="AB7" s="1571">
        <f>D7/H7</f>
        <v>1</v>
      </c>
      <c r="AC7" s="1571">
        <f>D7/J7</f>
        <v>1</v>
      </c>
    </row>
    <row r="8" spans="1:29" s="1219" customFormat="1" ht="15.75" thickBot="1">
      <c r="A8" s="2892"/>
      <c r="B8" s="2899" t="s">
        <v>531</v>
      </c>
      <c r="C8" s="525" t="s">
        <v>576</v>
      </c>
      <c r="D8" s="520">
        <v>100</v>
      </c>
      <c r="E8" s="525" t="s">
        <v>3037</v>
      </c>
      <c r="F8" s="522">
        <f>SUMIF(62:62,E8,63:63)-SUMIF(62:62,C8,63:63)+100</f>
        <v>100</v>
      </c>
      <c r="G8" s="525" t="s">
        <v>3037</v>
      </c>
      <c r="H8" s="520">
        <f>SUMIF(62:62,G8,63:63)-SUMIF(62:62,C8,63:63)+100</f>
        <v>100</v>
      </c>
      <c r="I8" s="525" t="s">
        <v>3037</v>
      </c>
      <c r="J8" s="520">
        <f>SUMIF(62:62,I8,63:63)-SUMIF(62:62,C8,63:63)+100</f>
        <v>100</v>
      </c>
      <c r="K8" s="524"/>
      <c r="L8" s="2135"/>
      <c r="M8" s="2136"/>
      <c r="N8" s="2136"/>
      <c r="O8" s="2136"/>
      <c r="P8" s="3509" t="s">
        <v>533</v>
      </c>
      <c r="Q8" s="3508"/>
      <c r="R8" s="1568" t="s">
        <v>8</v>
      </c>
      <c r="S8" s="1569">
        <f t="shared" si="0"/>
        <v>100</v>
      </c>
      <c r="T8" s="1568" t="s">
        <v>8</v>
      </c>
      <c r="U8" s="1569">
        <f t="shared" si="1"/>
        <v>100</v>
      </c>
      <c r="V8" s="1568" t="s">
        <v>8</v>
      </c>
      <c r="W8" s="1569">
        <f t="shared" si="2"/>
        <v>100</v>
      </c>
      <c r="X8" s="1570"/>
      <c r="Y8" s="3507" t="s">
        <v>533</v>
      </c>
      <c r="Z8" s="3508"/>
      <c r="AA8" s="1571">
        <f t="shared" ref="AA8:AA47" si="3">D8/F8</f>
        <v>1</v>
      </c>
      <c r="AB8" s="1571">
        <f t="shared" ref="AB8:AB47" si="4">D8/H8</f>
        <v>1</v>
      </c>
      <c r="AC8" s="1571">
        <f t="shared" ref="AC8:AC47" si="5">D8/J8</f>
        <v>1</v>
      </c>
    </row>
    <row r="9" spans="1:29" s="1219" customFormat="1" ht="15">
      <c r="A9" s="2893"/>
      <c r="B9" s="2900" t="s">
        <v>2757</v>
      </c>
      <c r="C9" s="3200" t="s">
        <v>3040</v>
      </c>
      <c r="D9" s="254">
        <v>100</v>
      </c>
      <c r="E9" s="3201" t="s">
        <v>3040</v>
      </c>
      <c r="F9" s="254">
        <f>SUMIF(64:64,E9,65:65)-SUMIF(64:64,C9,65:65)+100</f>
        <v>100</v>
      </c>
      <c r="G9" s="3201" t="s">
        <v>3040</v>
      </c>
      <c r="H9" s="254">
        <f>SUMIF(64:64,G9,65:65)-SUMIF(64:64,C9,65:65)+100</f>
        <v>100</v>
      </c>
      <c r="I9" s="3201" t="s">
        <v>3040</v>
      </c>
      <c r="J9" s="254">
        <f>SUMIF(64:64,I9,65:65)-SUMIF(64:64,C9,65:65)+100</f>
        <v>100</v>
      </c>
      <c r="K9" s="524"/>
      <c r="L9" s="2135"/>
      <c r="M9" s="2136"/>
      <c r="N9" s="2136"/>
      <c r="O9" s="2136"/>
      <c r="P9" s="3473" t="s">
        <v>535</v>
      </c>
      <c r="Q9" s="1151" t="str">
        <f t="shared" ref="Q9:Q15" si="6">B9</f>
        <v>用途</v>
      </c>
      <c r="R9" s="1568" t="s">
        <v>8</v>
      </c>
      <c r="S9" s="1569">
        <f t="shared" si="0"/>
        <v>100</v>
      </c>
      <c r="T9" s="1568" t="s">
        <v>8</v>
      </c>
      <c r="U9" s="1569">
        <f t="shared" si="1"/>
        <v>100</v>
      </c>
      <c r="V9" s="1568" t="s">
        <v>8</v>
      </c>
      <c r="W9" s="1569">
        <f t="shared" si="2"/>
        <v>100</v>
      </c>
      <c r="X9" s="1570"/>
      <c r="Y9" s="3434" t="s">
        <v>536</v>
      </c>
      <c r="Z9" s="1150" t="str">
        <f t="shared" ref="Z9:Z15" si="7">Q9</f>
        <v>用途</v>
      </c>
      <c r="AA9" s="1571">
        <f t="shared" si="3"/>
        <v>1</v>
      </c>
      <c r="AB9" s="1571">
        <f t="shared" si="4"/>
        <v>1</v>
      </c>
      <c r="AC9" s="1571">
        <f t="shared" si="5"/>
        <v>1</v>
      </c>
    </row>
    <row r="10" spans="1:29" s="1337" customFormat="1" ht="27.75" thickBot="1">
      <c r="A10" s="2894"/>
      <c r="B10" s="2899" t="s">
        <v>2758</v>
      </c>
      <c r="C10" s="861" t="s">
        <v>3015</v>
      </c>
      <c r="D10" s="255">
        <v>100</v>
      </c>
      <c r="E10" s="861" t="s">
        <v>3015</v>
      </c>
      <c r="F10" s="255">
        <f>SUMIF(66:66,E10,67:67)-SUMIF(66:66,C10,67:67)+100</f>
        <v>100</v>
      </c>
      <c r="G10" s="861" t="s">
        <v>3015</v>
      </c>
      <c r="H10" s="255">
        <f>SUMIF(66:66,G10,67:67)-SUMIF(66:66,C10,67:67)+100</f>
        <v>100</v>
      </c>
      <c r="I10" s="861" t="s">
        <v>3015</v>
      </c>
      <c r="J10" s="255">
        <f>SUMIF(66:66,I10,67:67)-SUMIF(66:66,C10,67:67)+100</f>
        <v>100</v>
      </c>
      <c r="K10" s="584">
        <v>0.5</v>
      </c>
      <c r="L10" s="2138"/>
      <c r="M10" s="2178"/>
      <c r="N10" s="2178"/>
      <c r="O10" s="2178"/>
      <c r="P10" s="3473"/>
      <c r="Q10" s="1151" t="str">
        <f t="shared" si="6"/>
        <v>土地使用年限（年）</v>
      </c>
      <c r="R10" s="1568" t="s">
        <v>8</v>
      </c>
      <c r="S10" s="1569">
        <f t="shared" si="0"/>
        <v>100</v>
      </c>
      <c r="T10" s="1568" t="s">
        <v>8</v>
      </c>
      <c r="U10" s="1569">
        <f t="shared" si="1"/>
        <v>100</v>
      </c>
      <c r="V10" s="1568" t="s">
        <v>8</v>
      </c>
      <c r="W10" s="1569">
        <f t="shared" si="2"/>
        <v>100</v>
      </c>
      <c r="X10" s="1570"/>
      <c r="Y10" s="3434"/>
      <c r="Z10" s="1150" t="str">
        <f t="shared" si="7"/>
        <v>土地使用年限（年）</v>
      </c>
      <c r="AA10" s="1571">
        <f t="shared" si="3"/>
        <v>1</v>
      </c>
      <c r="AB10" s="1571">
        <f t="shared" si="4"/>
        <v>1</v>
      </c>
      <c r="AC10" s="1571">
        <f t="shared" si="5"/>
        <v>1</v>
      </c>
    </row>
    <row r="11" spans="1:29" ht="15" hidden="1">
      <c r="A11" s="2895"/>
      <c r="B11" s="2899" t="s">
        <v>2759</v>
      </c>
      <c r="C11" s="533">
        <v>1</v>
      </c>
      <c r="D11" s="255">
        <v>100</v>
      </c>
      <c r="E11" s="533">
        <v>1</v>
      </c>
      <c r="F11" s="255">
        <f>LOOKUP(E11,69:69,70:70)-LOOKUP(C11,69:69,70:70)+100</f>
        <v>100</v>
      </c>
      <c r="G11" s="534">
        <v>1</v>
      </c>
      <c r="H11" s="255">
        <f>LOOKUP(G11,69:69,70:70)-LOOKUP(C11,69:69,70:70)+100</f>
        <v>100</v>
      </c>
      <c r="I11" s="533">
        <v>1</v>
      </c>
      <c r="J11" s="255">
        <f>LOOKUP(I11,69:69,70:70)-LOOKUP(C11,69:69,70:70)+100</f>
        <v>100</v>
      </c>
      <c r="K11" s="584"/>
      <c r="L11" s="2140"/>
      <c r="M11" s="2134"/>
      <c r="N11" s="2134"/>
      <c r="O11" s="2134"/>
      <c r="P11" s="3473"/>
      <c r="Q11" s="1151" t="str">
        <f t="shared" si="6"/>
        <v>容积率</v>
      </c>
      <c r="R11" s="1568" t="s">
        <v>8</v>
      </c>
      <c r="S11" s="1569">
        <f t="shared" si="0"/>
        <v>100</v>
      </c>
      <c r="T11" s="1568" t="s">
        <v>8</v>
      </c>
      <c r="U11" s="1569">
        <f t="shared" si="1"/>
        <v>100</v>
      </c>
      <c r="V11" s="1568" t="s">
        <v>8</v>
      </c>
      <c r="W11" s="1569">
        <f t="shared" si="2"/>
        <v>100</v>
      </c>
      <c r="X11" s="1570"/>
      <c r="Y11" s="3434"/>
      <c r="Z11" s="1150" t="str">
        <f t="shared" si="7"/>
        <v>容积率</v>
      </c>
      <c r="AA11" s="1571">
        <f t="shared" si="3"/>
        <v>1</v>
      </c>
      <c r="AB11" s="1571">
        <f t="shared" si="4"/>
        <v>1</v>
      </c>
      <c r="AC11" s="1571">
        <f t="shared" si="5"/>
        <v>1</v>
      </c>
    </row>
    <row r="12" spans="1:29" s="1219" customFormat="1" ht="15" hidden="1">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73"/>
      <c r="Q12" s="1151">
        <f t="shared" si="6"/>
        <v>111</v>
      </c>
      <c r="R12" s="1568" t="s">
        <v>8</v>
      </c>
      <c r="S12" s="1569">
        <f t="shared" si="0"/>
        <v>100</v>
      </c>
      <c r="T12" s="1568" t="s">
        <v>8</v>
      </c>
      <c r="U12" s="1569">
        <f t="shared" si="1"/>
        <v>100</v>
      </c>
      <c r="V12" s="1568" t="s">
        <v>8</v>
      </c>
      <c r="W12" s="1569">
        <f t="shared" si="2"/>
        <v>100</v>
      </c>
      <c r="X12" s="1570"/>
      <c r="Y12" s="3434"/>
      <c r="Z12" s="1150">
        <f t="shared" si="7"/>
        <v>111</v>
      </c>
      <c r="AA12" s="1571">
        <f>D12/F12</f>
        <v>1</v>
      </c>
      <c r="AB12" s="1571">
        <f>D12/H12</f>
        <v>1</v>
      </c>
      <c r="AC12" s="1571">
        <f>D12/J12</f>
        <v>1</v>
      </c>
    </row>
    <row r="13" spans="1:29" ht="15" hidden="1">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73"/>
      <c r="Q13" s="1151">
        <f t="shared" si="6"/>
        <v>111</v>
      </c>
      <c r="R13" s="1568" t="s">
        <v>8</v>
      </c>
      <c r="S13" s="1569">
        <f t="shared" si="0"/>
        <v>100</v>
      </c>
      <c r="T13" s="1568" t="s">
        <v>8</v>
      </c>
      <c r="U13" s="1569">
        <f t="shared" si="1"/>
        <v>100</v>
      </c>
      <c r="V13" s="1568" t="s">
        <v>8</v>
      </c>
      <c r="W13" s="1569">
        <f t="shared" si="2"/>
        <v>100</v>
      </c>
      <c r="X13" s="1570"/>
      <c r="Y13" s="3434"/>
      <c r="Z13" s="1150">
        <f t="shared" si="7"/>
        <v>111</v>
      </c>
      <c r="AA13" s="1571">
        <f t="shared" si="3"/>
        <v>1</v>
      </c>
      <c r="AB13" s="1571">
        <f t="shared" si="4"/>
        <v>1</v>
      </c>
      <c r="AC13" s="1571">
        <f t="shared" si="5"/>
        <v>1</v>
      </c>
    </row>
    <row r="14" spans="1:29" ht="15.75" hidden="1"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73"/>
      <c r="Q14" s="1151">
        <f t="shared" si="6"/>
        <v>111</v>
      </c>
      <c r="R14" s="1568" t="s">
        <v>8</v>
      </c>
      <c r="S14" s="1569">
        <f t="shared" si="0"/>
        <v>100</v>
      </c>
      <c r="T14" s="1568" t="s">
        <v>8</v>
      </c>
      <c r="U14" s="1569">
        <f t="shared" si="1"/>
        <v>100</v>
      </c>
      <c r="V14" s="1568" t="s">
        <v>8</v>
      </c>
      <c r="W14" s="1569">
        <f t="shared" si="2"/>
        <v>100</v>
      </c>
      <c r="X14" s="1570"/>
      <c r="Y14" s="3434"/>
      <c r="Z14" s="1150">
        <f t="shared" si="7"/>
        <v>111</v>
      </c>
      <c r="AA14" s="1571">
        <f t="shared" si="3"/>
        <v>1</v>
      </c>
      <c r="AB14" s="1571">
        <f t="shared" si="4"/>
        <v>1</v>
      </c>
      <c r="AC14" s="1571">
        <f t="shared" si="5"/>
        <v>1</v>
      </c>
    </row>
    <row r="15" spans="1:29" ht="57">
      <c r="A15" s="2889" t="s">
        <v>2755</v>
      </c>
      <c r="B15" s="547" t="s">
        <v>542</v>
      </c>
      <c r="C15" s="548" t="str">
        <f>估价对象房地状况!C5</f>
        <v>估价对象位于酒仙桥商圈，周边办公楼项目较多，入驻率高，办公集聚程度较好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78" t="s">
        <v>540</v>
      </c>
      <c r="Q15" s="1572" t="str">
        <f t="shared" si="6"/>
        <v>办公集聚程度</v>
      </c>
      <c r="R15" s="1573" t="s">
        <v>8</v>
      </c>
      <c r="S15" s="1574">
        <f t="shared" si="0"/>
        <v>100</v>
      </c>
      <c r="T15" s="1573" t="s">
        <v>8</v>
      </c>
      <c r="U15" s="1574">
        <f t="shared" si="1"/>
        <v>100</v>
      </c>
      <c r="V15" s="1573" t="s">
        <v>8</v>
      </c>
      <c r="W15" s="1574">
        <f t="shared" si="2"/>
        <v>100</v>
      </c>
      <c r="X15" s="1567"/>
      <c r="Y15" s="3478" t="s">
        <v>540</v>
      </c>
      <c r="Z15" s="1575" t="str">
        <f t="shared" si="7"/>
        <v>办公集聚程度</v>
      </c>
      <c r="AA15" s="1576">
        <f t="shared" si="3"/>
        <v>1</v>
      </c>
      <c r="AB15" s="1576">
        <f t="shared" si="4"/>
        <v>1</v>
      </c>
      <c r="AC15" s="1576">
        <f t="shared" si="5"/>
        <v>1</v>
      </c>
    </row>
    <row r="16" spans="1:29" ht="15">
      <c r="A16" s="532"/>
      <c r="B16" s="553"/>
      <c r="C16" s="554" t="s">
        <v>3018</v>
      </c>
      <c r="D16" s="555"/>
      <c r="E16" s="554" t="s">
        <v>3018</v>
      </c>
      <c r="F16" s="555"/>
      <c r="G16" s="554" t="s">
        <v>3018</v>
      </c>
      <c r="H16" s="559"/>
      <c r="I16" s="554" t="s">
        <v>3018</v>
      </c>
      <c r="J16" s="555"/>
      <c r="K16" s="899"/>
      <c r="L16" s="2142"/>
      <c r="M16" s="2134"/>
      <c r="N16" s="2134"/>
      <c r="O16" s="2134"/>
      <c r="P16" s="3479"/>
      <c r="Q16" s="1572"/>
      <c r="R16" s="1573"/>
      <c r="S16" s="1574"/>
      <c r="T16" s="1573"/>
      <c r="U16" s="1574"/>
      <c r="V16" s="1573"/>
      <c r="W16" s="1574"/>
      <c r="X16" s="1567"/>
      <c r="Y16" s="3479"/>
      <c r="Z16" s="1575"/>
      <c r="AA16" s="1576">
        <v>1</v>
      </c>
      <c r="AB16" s="1576">
        <v>1</v>
      </c>
      <c r="AC16" s="1576">
        <v>1</v>
      </c>
    </row>
    <row r="17" spans="1:29" ht="128.25">
      <c r="A17" s="532"/>
      <c r="B17" s="560" t="s">
        <v>296</v>
      </c>
      <c r="C17" s="573" t="str">
        <f>估价对象房地状况!C6</f>
        <v>估价对象周边有445路、516路、659路、983路等多条公交线路经过，距14号线地铁（将台站）约300米，道路状况较好、公共交通通达情况较好、综合评价交通便捷度较好。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79"/>
      <c r="Q17" s="1572" t="str">
        <f>B17</f>
        <v>交通便捷度</v>
      </c>
      <c r="R17" s="1573" t="s">
        <v>8</v>
      </c>
      <c r="S17" s="1574">
        <f>F17</f>
        <v>100</v>
      </c>
      <c r="T17" s="1573" t="s">
        <v>8</v>
      </c>
      <c r="U17" s="1574">
        <f>H17</f>
        <v>100</v>
      </c>
      <c r="V17" s="1573" t="s">
        <v>8</v>
      </c>
      <c r="W17" s="1574">
        <f>J17</f>
        <v>100</v>
      </c>
      <c r="X17" s="1567"/>
      <c r="Y17" s="3479"/>
      <c r="Z17" s="1575" t="str">
        <f>Q17</f>
        <v>交通便捷度</v>
      </c>
      <c r="AA17" s="1576">
        <f t="shared" si="3"/>
        <v>1</v>
      </c>
      <c r="AB17" s="1576">
        <f t="shared" si="4"/>
        <v>1</v>
      </c>
      <c r="AC17" s="1576">
        <f t="shared" si="5"/>
        <v>1</v>
      </c>
    </row>
    <row r="18" spans="1:29" ht="15">
      <c r="A18" s="532"/>
      <c r="B18" s="566"/>
      <c r="C18" s="567" t="s">
        <v>3018</v>
      </c>
      <c r="D18" s="559"/>
      <c r="E18" s="554" t="s">
        <v>3018</v>
      </c>
      <c r="F18" s="559"/>
      <c r="G18" s="554" t="s">
        <v>3018</v>
      </c>
      <c r="H18" s="555"/>
      <c r="I18" s="554" t="s">
        <v>3018</v>
      </c>
      <c r="J18" s="555"/>
      <c r="K18" s="899"/>
      <c r="L18" s="2142"/>
      <c r="M18" s="2134"/>
      <c r="N18" s="2134"/>
      <c r="O18" s="2134"/>
      <c r="P18" s="3479"/>
      <c r="Q18" s="1572"/>
      <c r="R18" s="1573"/>
      <c r="S18" s="1574"/>
      <c r="T18" s="1573"/>
      <c r="U18" s="1574"/>
      <c r="V18" s="1573"/>
      <c r="W18" s="1574"/>
      <c r="X18" s="1567"/>
      <c r="Y18" s="3479"/>
      <c r="Z18" s="1575"/>
      <c r="AA18" s="1576">
        <v>1</v>
      </c>
      <c r="AB18" s="1576">
        <v>1</v>
      </c>
      <c r="AC18" s="1576">
        <v>1</v>
      </c>
    </row>
    <row r="19" spans="1:29" ht="42.75">
      <c r="A19" s="532"/>
      <c r="B19" s="2582" t="s">
        <v>2547</v>
      </c>
      <c r="C19" s="573" t="str">
        <f>估价对象房地状况!C7</f>
        <v>估价对象所在区域公共配套设施齐备度较好</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79"/>
      <c r="Q19" s="1572" t="str">
        <f>B19</f>
        <v>公共配套设施</v>
      </c>
      <c r="R19" s="1573" t="s">
        <v>8</v>
      </c>
      <c r="S19" s="1574">
        <f>F19</f>
        <v>100</v>
      </c>
      <c r="T19" s="1573" t="s">
        <v>8</v>
      </c>
      <c r="U19" s="1574">
        <f>H19</f>
        <v>100</v>
      </c>
      <c r="V19" s="1573" t="s">
        <v>8</v>
      </c>
      <c r="W19" s="1574">
        <f>J19</f>
        <v>100</v>
      </c>
      <c r="X19" s="1567"/>
      <c r="Y19" s="3479"/>
      <c r="Z19" s="1575" t="str">
        <f>Q19</f>
        <v>公共配套设施</v>
      </c>
      <c r="AA19" s="1576">
        <f t="shared" si="3"/>
        <v>1</v>
      </c>
      <c r="AB19" s="1576">
        <f t="shared" si="4"/>
        <v>1</v>
      </c>
      <c r="AC19" s="1576">
        <f t="shared" si="5"/>
        <v>1</v>
      </c>
    </row>
    <row r="20" spans="1:29" ht="15">
      <c r="A20" s="532"/>
      <c r="B20" s="566"/>
      <c r="C20" s="554" t="s">
        <v>3018</v>
      </c>
      <c r="D20" s="555"/>
      <c r="E20" s="554" t="s">
        <v>3018</v>
      </c>
      <c r="F20" s="555"/>
      <c r="G20" s="554" t="s">
        <v>3018</v>
      </c>
      <c r="H20" s="555"/>
      <c r="I20" s="554" t="s">
        <v>3018</v>
      </c>
      <c r="J20" s="555"/>
      <c r="K20" s="899"/>
      <c r="L20" s="2142"/>
      <c r="M20" s="2134"/>
      <c r="N20" s="2134"/>
      <c r="O20" s="2134"/>
      <c r="P20" s="3479"/>
      <c r="Q20" s="1572"/>
      <c r="R20" s="1573"/>
      <c r="S20" s="1574"/>
      <c r="T20" s="1573"/>
      <c r="U20" s="1574"/>
      <c r="V20" s="1573"/>
      <c r="W20" s="1574"/>
      <c r="X20" s="1567"/>
      <c r="Y20" s="3479"/>
      <c r="Z20" s="1575"/>
      <c r="AA20" s="1576">
        <v>1</v>
      </c>
      <c r="AB20" s="1576">
        <v>1</v>
      </c>
      <c r="AC20" s="1576">
        <v>1</v>
      </c>
    </row>
    <row r="21" spans="1:29" ht="42.75">
      <c r="A21" s="532"/>
      <c r="B21" s="2570" t="s">
        <v>2559</v>
      </c>
      <c r="C21" s="573" t="str">
        <f>估价对象房地状况!C8</f>
        <v>估价对象所在区域基础设施水平达到七通一平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79"/>
      <c r="Q21" s="2558" t="str">
        <f>B21</f>
        <v>基础设施水平</v>
      </c>
      <c r="R21" s="1573" t="s">
        <v>8</v>
      </c>
      <c r="S21" s="1574">
        <f>F21</f>
        <v>100</v>
      </c>
      <c r="T21" s="1573" t="s">
        <v>8</v>
      </c>
      <c r="U21" s="1574">
        <f>H21</f>
        <v>100</v>
      </c>
      <c r="V21" s="1573" t="s">
        <v>8</v>
      </c>
      <c r="W21" s="1574">
        <f>J21</f>
        <v>100</v>
      </c>
      <c r="X21" s="2560"/>
      <c r="Y21" s="3479"/>
      <c r="Z21" s="2559" t="str">
        <f>Q21</f>
        <v>基础设施水平</v>
      </c>
      <c r="AA21" s="1576">
        <f t="shared" ref="AA21" si="8">D21/F21</f>
        <v>1</v>
      </c>
      <c r="AB21" s="1576">
        <f t="shared" ref="AB21" si="9">D21/H21</f>
        <v>1</v>
      </c>
      <c r="AC21" s="1576">
        <f t="shared" ref="AC21" si="10">D21/J21</f>
        <v>1</v>
      </c>
    </row>
    <row r="22" spans="1:29" ht="15">
      <c r="A22" s="532"/>
      <c r="B22" s="578"/>
      <c r="C22" s="3257" t="s">
        <v>3020</v>
      </c>
      <c r="D22" s="555"/>
      <c r="E22" s="567" t="s">
        <v>3020</v>
      </c>
      <c r="F22" s="555"/>
      <c r="G22" s="567" t="s">
        <v>3020</v>
      </c>
      <c r="H22" s="555"/>
      <c r="I22" s="567" t="s">
        <v>3020</v>
      </c>
      <c r="J22" s="555"/>
      <c r="K22" s="2581"/>
      <c r="L22" s="2142"/>
      <c r="M22" s="2134"/>
      <c r="N22" s="2134"/>
      <c r="O22" s="2134"/>
      <c r="P22" s="3479"/>
      <c r="Q22" s="2558"/>
      <c r="R22" s="1573"/>
      <c r="S22" s="1574"/>
      <c r="T22" s="1573"/>
      <c r="U22" s="1574"/>
      <c r="V22" s="1573"/>
      <c r="W22" s="1574"/>
      <c r="X22" s="2560"/>
      <c r="Y22" s="3479"/>
      <c r="Z22" s="2559"/>
      <c r="AA22" s="1576">
        <v>1</v>
      </c>
      <c r="AB22" s="1576">
        <v>1</v>
      </c>
      <c r="AC22" s="1576">
        <v>1</v>
      </c>
    </row>
    <row r="23" spans="1:29" ht="42.75">
      <c r="A23" s="532"/>
      <c r="B23" s="560" t="s">
        <v>778</v>
      </c>
      <c r="C23" s="573" t="str">
        <f>估价对象房地状况!C9</f>
        <v>区域自然环境：；人文环境；综合评价环境状况较好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79"/>
      <c r="Q23" s="1572" t="str">
        <f>B23</f>
        <v>环境质量</v>
      </c>
      <c r="R23" s="1573" t="s">
        <v>8</v>
      </c>
      <c r="S23" s="1574">
        <f>F23</f>
        <v>100</v>
      </c>
      <c r="T23" s="1573" t="s">
        <v>8</v>
      </c>
      <c r="U23" s="1574">
        <f>H23</f>
        <v>100</v>
      </c>
      <c r="V23" s="1573" t="s">
        <v>8</v>
      </c>
      <c r="W23" s="1574">
        <f>J23</f>
        <v>100</v>
      </c>
      <c r="X23" s="1567"/>
      <c r="Y23" s="3479"/>
      <c r="Z23" s="1575" t="str">
        <f>Q23</f>
        <v>环境质量</v>
      </c>
      <c r="AA23" s="1576">
        <f t="shared" si="3"/>
        <v>1</v>
      </c>
      <c r="AB23" s="1576">
        <f t="shared" si="4"/>
        <v>1</v>
      </c>
      <c r="AC23" s="1576">
        <f t="shared" si="5"/>
        <v>1</v>
      </c>
    </row>
    <row r="24" spans="1:29" ht="15">
      <c r="A24" s="532"/>
      <c r="B24" s="578"/>
      <c r="C24" s="554" t="s">
        <v>3018</v>
      </c>
      <c r="D24" s="555"/>
      <c r="E24" s="554" t="s">
        <v>3018</v>
      </c>
      <c r="F24" s="555"/>
      <c r="G24" s="554" t="s">
        <v>3018</v>
      </c>
      <c r="H24" s="555"/>
      <c r="I24" s="554" t="s">
        <v>3018</v>
      </c>
      <c r="J24" s="555"/>
      <c r="K24" s="899"/>
      <c r="L24" s="2142"/>
      <c r="M24" s="2134"/>
      <c r="N24" s="2134"/>
      <c r="O24" s="2134"/>
      <c r="P24" s="3479"/>
      <c r="Q24" s="1572"/>
      <c r="R24" s="1573"/>
      <c r="S24" s="1574"/>
      <c r="T24" s="1573"/>
      <c r="U24" s="1574"/>
      <c r="V24" s="1573"/>
      <c r="W24" s="1574"/>
      <c r="X24" s="1567"/>
      <c r="Y24" s="3479"/>
      <c r="Z24" s="1575"/>
      <c r="AA24" s="1576">
        <v>1</v>
      </c>
      <c r="AB24" s="1576">
        <v>1</v>
      </c>
      <c r="AC24" s="1576">
        <v>1</v>
      </c>
    </row>
    <row r="25" spans="1:29" ht="27">
      <c r="A25" s="515"/>
      <c r="B25" s="560" t="s">
        <v>548</v>
      </c>
      <c r="C25" s="3210" t="s">
        <v>3047</v>
      </c>
      <c r="D25" s="540">
        <v>100</v>
      </c>
      <c r="E25" s="3210" t="s">
        <v>3047</v>
      </c>
      <c r="F25" s="540">
        <f>SUMIF(87:87,E26,88:88)-SUMIF(87:87,C26,88:88)+100</f>
        <v>100</v>
      </c>
      <c r="G25" s="3210" t="s">
        <v>3047</v>
      </c>
      <c r="H25" s="540">
        <f>SUMIF(87:87,G26,88:88)-SUMIF(87:87,C26,88:88)+100</f>
        <v>100</v>
      </c>
      <c r="I25" s="3210" t="s">
        <v>3047</v>
      </c>
      <c r="J25" s="540">
        <f>SUMIF(87:87,I26,88:88)-SUMIF(87:87,C26,88:88)+100</f>
        <v>100</v>
      </c>
      <c r="K25" s="898">
        <v>0.5</v>
      </c>
      <c r="L25" s="2142"/>
      <c r="M25" s="2134"/>
      <c r="N25" s="2134"/>
      <c r="O25" s="2134"/>
      <c r="P25" s="3479"/>
      <c r="Q25" s="1572" t="str">
        <f>B25</f>
        <v>毗邻道路的类型与等级</v>
      </c>
      <c r="R25" s="1573" t="s">
        <v>8</v>
      </c>
      <c r="S25" s="1574">
        <f>F25</f>
        <v>100</v>
      </c>
      <c r="T25" s="1573" t="s">
        <v>8</v>
      </c>
      <c r="U25" s="1574">
        <f>H25</f>
        <v>100</v>
      </c>
      <c r="V25" s="1573" t="s">
        <v>8</v>
      </c>
      <c r="W25" s="1574">
        <f>J25</f>
        <v>100</v>
      </c>
      <c r="X25" s="1567"/>
      <c r="Y25" s="3479"/>
      <c r="Z25" s="1575" t="str">
        <f>Q25</f>
        <v>毗邻道路的类型与等级</v>
      </c>
      <c r="AA25" s="1576">
        <f t="shared" si="3"/>
        <v>1</v>
      </c>
      <c r="AB25" s="1576">
        <f t="shared" si="4"/>
        <v>1</v>
      </c>
      <c r="AC25" s="1576">
        <f t="shared" si="5"/>
        <v>1</v>
      </c>
    </row>
    <row r="26" spans="1:29" ht="15">
      <c r="A26" s="515"/>
      <c r="B26" s="566"/>
      <c r="C26" s="580" t="s">
        <v>3044</v>
      </c>
      <c r="D26" s="540"/>
      <c r="E26" s="583" t="s">
        <v>3044</v>
      </c>
      <c r="F26" s="540"/>
      <c r="G26" s="580" t="s">
        <v>3044</v>
      </c>
      <c r="H26" s="540"/>
      <c r="I26" s="583" t="s">
        <v>3044</v>
      </c>
      <c r="J26" s="540"/>
      <c r="K26" s="899"/>
      <c r="L26" s="2142"/>
      <c r="M26" s="2134"/>
      <c r="N26" s="2134"/>
      <c r="O26" s="2134"/>
      <c r="P26" s="3479"/>
      <c r="Q26" s="1572"/>
      <c r="R26" s="1573"/>
      <c r="S26" s="1574"/>
      <c r="T26" s="1573"/>
      <c r="U26" s="1574"/>
      <c r="V26" s="1573"/>
      <c r="W26" s="1574"/>
      <c r="X26" s="1567"/>
      <c r="Y26" s="3479"/>
      <c r="Z26" s="1575"/>
      <c r="AA26" s="1576">
        <v>1</v>
      </c>
      <c r="AB26" s="1576">
        <v>1</v>
      </c>
      <c r="AC26" s="1576">
        <v>1</v>
      </c>
    </row>
    <row r="27" spans="1:29" ht="15.75" thickBot="1">
      <c r="A27" s="532"/>
      <c r="B27" s="566" t="s">
        <v>761</v>
      </c>
      <c r="C27" s="3211" t="s">
        <v>3048</v>
      </c>
      <c r="D27" s="540">
        <v>100</v>
      </c>
      <c r="E27" s="3211" t="s">
        <v>3123</v>
      </c>
      <c r="F27" s="540">
        <f>SUMIF(89:89,E27,90:90)-SUMIF(89:89,C27,90:90)+100</f>
        <v>99</v>
      </c>
      <c r="G27" s="3211" t="s">
        <v>3048</v>
      </c>
      <c r="H27" s="540">
        <f>SUMIF(89:89,G27,90:90)-SUMIF(89:89,C27,90:90)+100</f>
        <v>100</v>
      </c>
      <c r="I27" s="3211" t="s">
        <v>3048</v>
      </c>
      <c r="J27" s="540">
        <f>SUMIF(89:89,I27,90:90)-SUMIF(89:89,C27,90:90)+100</f>
        <v>100</v>
      </c>
      <c r="K27" s="584">
        <v>1</v>
      </c>
      <c r="L27" s="2142"/>
      <c r="M27" s="2134"/>
      <c r="N27" s="2134"/>
      <c r="O27" s="2134"/>
      <c r="P27" s="3479"/>
      <c r="Q27" s="1572" t="str">
        <f t="shared" ref="Q27:Q47" si="11">B27</f>
        <v>楼层</v>
      </c>
      <c r="R27" s="1573" t="s">
        <v>8</v>
      </c>
      <c r="S27" s="1574">
        <f>F27</f>
        <v>99</v>
      </c>
      <c r="T27" s="1573" t="s">
        <v>8</v>
      </c>
      <c r="U27" s="1574">
        <f>H27</f>
        <v>100</v>
      </c>
      <c r="V27" s="1573" t="s">
        <v>8</v>
      </c>
      <c r="W27" s="1574">
        <f>J27</f>
        <v>100</v>
      </c>
      <c r="X27" s="1567"/>
      <c r="Y27" s="3479"/>
      <c r="Z27" s="1575" t="str">
        <f>Q27</f>
        <v>楼层</v>
      </c>
      <c r="AA27" s="1576">
        <f t="shared" si="3"/>
        <v>1.0101010101010102</v>
      </c>
      <c r="AB27" s="1576">
        <f t="shared" si="4"/>
        <v>1</v>
      </c>
      <c r="AC27" s="1576">
        <f t="shared" si="5"/>
        <v>1</v>
      </c>
    </row>
    <row r="28" spans="1:29" s="1219" customFormat="1" ht="15.75" hidden="1" thickBot="1">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79"/>
      <c r="Q28" s="1151" t="str">
        <f t="shared" si="11"/>
        <v>朝向</v>
      </c>
      <c r="R28" s="1568" t="s">
        <v>8</v>
      </c>
      <c r="S28" s="1569">
        <f>F28</f>
        <v>100</v>
      </c>
      <c r="T28" s="1568" t="s">
        <v>8</v>
      </c>
      <c r="U28" s="1569">
        <f>H28</f>
        <v>100</v>
      </c>
      <c r="V28" s="1568" t="s">
        <v>8</v>
      </c>
      <c r="W28" s="1569">
        <f>J28</f>
        <v>100</v>
      </c>
      <c r="X28" s="1570"/>
      <c r="Y28" s="3479"/>
      <c r="Z28" s="1150" t="str">
        <f>Q28</f>
        <v>朝向</v>
      </c>
      <c r="AA28" s="1576">
        <f>D28/F28</f>
        <v>1</v>
      </c>
      <c r="AB28" s="1576">
        <f>D28/H28</f>
        <v>1</v>
      </c>
      <c r="AC28" s="1576">
        <f>D28/J28</f>
        <v>1</v>
      </c>
    </row>
    <row r="29" spans="1:29" ht="15" hidden="1">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79"/>
      <c r="Q29" s="1572">
        <f t="shared" si="11"/>
        <v>111</v>
      </c>
      <c r="R29" s="1573" t="s">
        <v>8</v>
      </c>
      <c r="S29" s="1574">
        <f t="shared" ref="S29:S47" si="12">F29</f>
        <v>100</v>
      </c>
      <c r="T29" s="1573" t="s">
        <v>8</v>
      </c>
      <c r="U29" s="1574">
        <f t="shared" ref="U29:U47" si="13">H29</f>
        <v>100</v>
      </c>
      <c r="V29" s="1573" t="s">
        <v>8</v>
      </c>
      <c r="W29" s="1574">
        <f t="shared" ref="W29:W47" si="14">J29</f>
        <v>100</v>
      </c>
      <c r="X29" s="1567"/>
      <c r="Y29" s="3479"/>
      <c r="Z29" s="1575">
        <f t="shared" ref="Z29:Z47" si="15">Q29</f>
        <v>111</v>
      </c>
      <c r="AA29" s="1576">
        <f t="shared" si="3"/>
        <v>1</v>
      </c>
      <c r="AB29" s="1576">
        <f t="shared" si="4"/>
        <v>1</v>
      </c>
      <c r="AC29" s="1576">
        <f t="shared" si="5"/>
        <v>1</v>
      </c>
    </row>
    <row r="30" spans="1:29" ht="15" hidden="1">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79"/>
      <c r="Q30" s="1572">
        <f t="shared" si="11"/>
        <v>111</v>
      </c>
      <c r="R30" s="1573" t="s">
        <v>8</v>
      </c>
      <c r="S30" s="1574">
        <f t="shared" si="12"/>
        <v>100</v>
      </c>
      <c r="T30" s="1573" t="s">
        <v>8</v>
      </c>
      <c r="U30" s="1574">
        <f t="shared" si="13"/>
        <v>100</v>
      </c>
      <c r="V30" s="1573" t="s">
        <v>8</v>
      </c>
      <c r="W30" s="1574">
        <f t="shared" si="14"/>
        <v>100</v>
      </c>
      <c r="X30" s="1567"/>
      <c r="Y30" s="3479"/>
      <c r="Z30" s="1575">
        <f t="shared" si="15"/>
        <v>111</v>
      </c>
      <c r="AA30" s="1576">
        <f t="shared" si="3"/>
        <v>1</v>
      </c>
      <c r="AB30" s="1576">
        <f t="shared" si="4"/>
        <v>1</v>
      </c>
      <c r="AC30" s="1576">
        <f t="shared" si="5"/>
        <v>1</v>
      </c>
    </row>
    <row r="31" spans="1:29" ht="15" hidden="1">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79"/>
      <c r="Q31" s="1572">
        <f t="shared" si="11"/>
        <v>111</v>
      </c>
      <c r="R31" s="1573" t="s">
        <v>8</v>
      </c>
      <c r="S31" s="1574">
        <f t="shared" si="12"/>
        <v>100</v>
      </c>
      <c r="T31" s="1573" t="s">
        <v>8</v>
      </c>
      <c r="U31" s="1574">
        <f t="shared" si="13"/>
        <v>100</v>
      </c>
      <c r="V31" s="1573" t="s">
        <v>8</v>
      </c>
      <c r="W31" s="1574">
        <f t="shared" si="14"/>
        <v>100</v>
      </c>
      <c r="X31" s="1567"/>
      <c r="Y31" s="3479"/>
      <c r="Z31" s="1575">
        <f t="shared" si="15"/>
        <v>111</v>
      </c>
      <c r="AA31" s="1576">
        <f t="shared" si="3"/>
        <v>1</v>
      </c>
      <c r="AB31" s="1576">
        <f t="shared" si="4"/>
        <v>1</v>
      </c>
      <c r="AC31" s="1576">
        <f t="shared" si="5"/>
        <v>1</v>
      </c>
    </row>
    <row r="32" spans="1:29" ht="15.75" hidden="1"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79"/>
      <c r="Q32" s="1572">
        <f t="shared" si="11"/>
        <v>111</v>
      </c>
      <c r="R32" s="1573" t="s">
        <v>8</v>
      </c>
      <c r="S32" s="1574">
        <f t="shared" si="12"/>
        <v>100</v>
      </c>
      <c r="T32" s="1573" t="s">
        <v>8</v>
      </c>
      <c r="U32" s="1574">
        <f t="shared" si="13"/>
        <v>100</v>
      </c>
      <c r="V32" s="1573" t="s">
        <v>8</v>
      </c>
      <c r="W32" s="1574">
        <f t="shared" si="14"/>
        <v>100</v>
      </c>
      <c r="X32" s="1567"/>
      <c r="Y32" s="3479"/>
      <c r="Z32" s="1575">
        <f t="shared" si="15"/>
        <v>111</v>
      </c>
      <c r="AA32" s="1576">
        <f t="shared" si="3"/>
        <v>1</v>
      </c>
      <c r="AB32" s="1576">
        <f t="shared" si="4"/>
        <v>1</v>
      </c>
      <c r="AC32" s="1576">
        <f t="shared" si="5"/>
        <v>1</v>
      </c>
    </row>
    <row r="33" spans="1:29" ht="15">
      <c r="A33" s="2886" t="s">
        <v>2756</v>
      </c>
      <c r="B33" s="172" t="s">
        <v>780</v>
      </c>
      <c r="C33" s="3212" t="s">
        <v>3049</v>
      </c>
      <c r="D33" s="597">
        <v>100</v>
      </c>
      <c r="E33" s="3212" t="s">
        <v>3049</v>
      </c>
      <c r="F33" s="575">
        <f>SUMIF(101:101,E33,102:102)-SUMIF(101:101,C33,102:102)+100</f>
        <v>100</v>
      </c>
      <c r="G33" s="3212" t="s">
        <v>3049</v>
      </c>
      <c r="H33" s="540">
        <f>SUMIF(101:101,G33,102:102)-SUMIF(101:101,C33,102:102)+100</f>
        <v>100</v>
      </c>
      <c r="I33" s="3212" t="s">
        <v>3049</v>
      </c>
      <c r="J33" s="597">
        <f>SUMIF(101:101,I33,102:102)-SUMIF(101:101,C33,102:102)+100</f>
        <v>100</v>
      </c>
      <c r="K33" s="584"/>
      <c r="L33" s="2142"/>
      <c r="M33" s="2134"/>
      <c r="N33" s="2134"/>
      <c r="O33" s="2134"/>
      <c r="P33" s="3480" t="s">
        <v>550</v>
      </c>
      <c r="Q33" s="1572" t="str">
        <f t="shared" si="11"/>
        <v>建筑类型</v>
      </c>
      <c r="R33" s="1573" t="s">
        <v>8</v>
      </c>
      <c r="S33" s="1574">
        <f t="shared" si="12"/>
        <v>100</v>
      </c>
      <c r="T33" s="1573" t="s">
        <v>8</v>
      </c>
      <c r="U33" s="1574">
        <f t="shared" si="13"/>
        <v>100</v>
      </c>
      <c r="V33" s="1573" t="s">
        <v>8</v>
      </c>
      <c r="W33" s="1574">
        <f t="shared" si="14"/>
        <v>100</v>
      </c>
      <c r="X33" s="1567"/>
      <c r="Y33" s="3481" t="s">
        <v>550</v>
      </c>
      <c r="Z33" s="1575" t="str">
        <f t="shared" si="15"/>
        <v>建筑类型</v>
      </c>
      <c r="AA33" s="1576">
        <f t="shared" si="3"/>
        <v>1</v>
      </c>
      <c r="AB33" s="1576">
        <f t="shared" si="4"/>
        <v>1</v>
      </c>
      <c r="AC33" s="1576">
        <f t="shared" si="5"/>
        <v>1</v>
      </c>
    </row>
    <row r="34" spans="1:29" s="1338" customFormat="1" ht="15">
      <c r="A34" s="603"/>
      <c r="B34" s="527" t="s">
        <v>726</v>
      </c>
      <c r="C34" s="880">
        <f>'数据-基础表'!K14</f>
        <v>315045</v>
      </c>
      <c r="D34" s="255">
        <v>100</v>
      </c>
      <c r="E34" s="534">
        <v>430</v>
      </c>
      <c r="F34" s="863">
        <f>LOOKUP(E34,104:104,105:105)-LOOKUP(C34,104:104,105:105)+100</f>
        <v>105</v>
      </c>
      <c r="G34" s="533">
        <v>430</v>
      </c>
      <c r="H34" s="255">
        <f>LOOKUP(G34,104:104,105:105)-LOOKUP(C34,104:104,105:105)+100</f>
        <v>105</v>
      </c>
      <c r="I34" s="533">
        <v>400</v>
      </c>
      <c r="J34" s="255">
        <f>LOOKUP(I34,104:104,105:105)-LOOKUP(C34,104:104,105:105)+100</f>
        <v>105</v>
      </c>
      <c r="K34" s="581"/>
      <c r="L34" s="2140"/>
      <c r="M34" s="2171"/>
      <c r="N34" s="2171"/>
      <c r="O34" s="2171"/>
      <c r="P34" s="3481"/>
      <c r="Q34" s="1605" t="str">
        <f t="shared" si="11"/>
        <v>项目建筑规模</v>
      </c>
      <c r="R34" s="1577" t="s">
        <v>8</v>
      </c>
      <c r="S34" s="1578">
        <f t="shared" si="12"/>
        <v>105</v>
      </c>
      <c r="T34" s="1577" t="s">
        <v>8</v>
      </c>
      <c r="U34" s="1578">
        <f t="shared" si="13"/>
        <v>105</v>
      </c>
      <c r="V34" s="1577" t="s">
        <v>8</v>
      </c>
      <c r="W34" s="1578">
        <f t="shared" si="14"/>
        <v>105</v>
      </c>
      <c r="X34" s="1579"/>
      <c r="Y34" s="3481"/>
      <c r="Z34" s="1580" t="str">
        <f t="shared" si="15"/>
        <v>项目建筑规模</v>
      </c>
      <c r="AA34" s="1576">
        <f t="shared" si="3"/>
        <v>0.95238095238095233</v>
      </c>
      <c r="AB34" s="1576">
        <f t="shared" si="4"/>
        <v>0.95238095238095233</v>
      </c>
      <c r="AC34" s="1576">
        <f t="shared" si="5"/>
        <v>0.95238095238095233</v>
      </c>
    </row>
    <row r="35" spans="1:29" ht="15">
      <c r="A35" s="594"/>
      <c r="B35" s="527" t="s">
        <v>727</v>
      </c>
      <c r="C35" s="3214" t="s">
        <v>3051</v>
      </c>
      <c r="D35" s="540">
        <v>100</v>
      </c>
      <c r="E35" s="3214" t="s">
        <v>3051</v>
      </c>
      <c r="F35" s="575">
        <f>SUMIF(106:106,E35,107:107)-SUMIF(106:106,C35,107:107)+100</f>
        <v>100</v>
      </c>
      <c r="G35" s="3214" t="s">
        <v>3051</v>
      </c>
      <c r="H35" s="540">
        <f>SUMIF(106:106,G35,107:107)-SUMIF(106:106,C35,107:107)+100</f>
        <v>100</v>
      </c>
      <c r="I35" s="3214" t="s">
        <v>3051</v>
      </c>
      <c r="J35" s="540">
        <f>SUMIF(106:106,I35,107:107)-SUMIF(106:106,C35,107:107)+100</f>
        <v>100</v>
      </c>
      <c r="K35" s="584"/>
      <c r="L35" s="2142"/>
      <c r="M35" s="2134"/>
      <c r="N35" s="2134"/>
      <c r="O35" s="2134"/>
      <c r="P35" s="3481"/>
      <c r="Q35" s="1572" t="str">
        <f t="shared" si="11"/>
        <v>建筑结构</v>
      </c>
      <c r="R35" s="1573" t="s">
        <v>8</v>
      </c>
      <c r="S35" s="1574">
        <f t="shared" si="12"/>
        <v>100</v>
      </c>
      <c r="T35" s="1573" t="s">
        <v>8</v>
      </c>
      <c r="U35" s="1574">
        <f t="shared" si="13"/>
        <v>100</v>
      </c>
      <c r="V35" s="1573" t="s">
        <v>8</v>
      </c>
      <c r="W35" s="1574">
        <f t="shared" si="14"/>
        <v>100</v>
      </c>
      <c r="X35" s="1567"/>
      <c r="Y35" s="3481"/>
      <c r="Z35" s="1575" t="str">
        <f t="shared" si="15"/>
        <v>建筑结构</v>
      </c>
      <c r="AA35" s="1576">
        <f t="shared" si="3"/>
        <v>1</v>
      </c>
      <c r="AB35" s="1576">
        <f t="shared" si="4"/>
        <v>1</v>
      </c>
      <c r="AC35" s="1576">
        <f t="shared" si="5"/>
        <v>1</v>
      </c>
    </row>
    <row r="36" spans="1:29" ht="15">
      <c r="A36" s="594"/>
      <c r="B36" s="527" t="s">
        <v>763</v>
      </c>
      <c r="C36" s="3214" t="s">
        <v>3052</v>
      </c>
      <c r="D36" s="540">
        <v>100</v>
      </c>
      <c r="E36" s="3214" t="s">
        <v>3052</v>
      </c>
      <c r="F36" s="575">
        <f>SUMIF(108:108,E36,109:109)-SUMIF(108:108,C36,109:109)+100</f>
        <v>100</v>
      </c>
      <c r="G36" s="3214" t="s">
        <v>3052</v>
      </c>
      <c r="H36" s="540">
        <f>SUMIF(108:108,G36,109:109)-SUMIF(108:108,C36,109:109)+100</f>
        <v>100</v>
      </c>
      <c r="I36" s="3214" t="s">
        <v>3052</v>
      </c>
      <c r="J36" s="540">
        <f>SUMIF(108:108,I36,109:109)-SUMIF(108:108,C36,109:109)+100</f>
        <v>100</v>
      </c>
      <c r="K36" s="584"/>
      <c r="L36" s="2142"/>
      <c r="M36" s="2134"/>
      <c r="N36" s="2134"/>
      <c r="O36" s="2134"/>
      <c r="P36" s="3481"/>
      <c r="Q36" s="1572" t="str">
        <f t="shared" si="11"/>
        <v>公共部分装修</v>
      </c>
      <c r="R36" s="1573" t="s">
        <v>8</v>
      </c>
      <c r="S36" s="1574">
        <f t="shared" si="12"/>
        <v>100</v>
      </c>
      <c r="T36" s="1573" t="s">
        <v>8</v>
      </c>
      <c r="U36" s="1574">
        <f t="shared" si="13"/>
        <v>100</v>
      </c>
      <c r="V36" s="1573" t="s">
        <v>8</v>
      </c>
      <c r="W36" s="1574">
        <f t="shared" si="14"/>
        <v>100</v>
      </c>
      <c r="X36" s="1567"/>
      <c r="Y36" s="3481"/>
      <c r="Z36" s="1575" t="str">
        <f t="shared" si="15"/>
        <v>公共部分装修</v>
      </c>
      <c r="AA36" s="1576">
        <f t="shared" si="3"/>
        <v>1</v>
      </c>
      <c r="AB36" s="1576">
        <f t="shared" si="4"/>
        <v>1</v>
      </c>
      <c r="AC36" s="1576">
        <f t="shared" si="5"/>
        <v>1</v>
      </c>
    </row>
    <row r="37" spans="1:29" ht="15">
      <c r="A37" s="594"/>
      <c r="B37" s="527" t="s">
        <v>764</v>
      </c>
      <c r="C37" s="883">
        <v>1</v>
      </c>
      <c r="D37" s="540">
        <v>100</v>
      </c>
      <c r="E37" s="883">
        <v>1</v>
      </c>
      <c r="F37" s="575">
        <f>LOOKUP(E37,111:111,112:112)-LOOKUP(C37,111:111,112:112)+100</f>
        <v>100</v>
      </c>
      <c r="G37" s="883">
        <v>1</v>
      </c>
      <c r="H37" s="575">
        <f>LOOKUP(G37,111:111,112:112)-LOOKUP(C37,111:111,112:112)+100</f>
        <v>100</v>
      </c>
      <c r="I37" s="883">
        <v>1</v>
      </c>
      <c r="J37" s="540">
        <f>LOOKUP(I37,111:111,112:112)-LOOKUP(C37,111:111,112:112)+100</f>
        <v>100</v>
      </c>
      <c r="K37" s="584">
        <v>1</v>
      </c>
      <c r="L37" s="2142"/>
      <c r="M37" s="2134"/>
      <c r="N37" s="2134"/>
      <c r="O37" s="2134"/>
      <c r="P37" s="3481"/>
      <c r="Q37" s="1572" t="str">
        <f t="shared" si="11"/>
        <v>成新度</v>
      </c>
      <c r="R37" s="1573" t="s">
        <v>8</v>
      </c>
      <c r="S37" s="1574">
        <f t="shared" si="12"/>
        <v>100</v>
      </c>
      <c r="T37" s="1573" t="s">
        <v>8</v>
      </c>
      <c r="U37" s="1574">
        <f t="shared" si="13"/>
        <v>100</v>
      </c>
      <c r="V37" s="1573" t="s">
        <v>8</v>
      </c>
      <c r="W37" s="1574">
        <f t="shared" si="14"/>
        <v>100</v>
      </c>
      <c r="X37" s="1567"/>
      <c r="Y37" s="3481"/>
      <c r="Z37" s="1575" t="str">
        <f t="shared" si="15"/>
        <v>成新度</v>
      </c>
      <c r="AA37" s="1576">
        <f t="shared" si="3"/>
        <v>1</v>
      </c>
      <c r="AB37" s="1576">
        <f t="shared" si="4"/>
        <v>1</v>
      </c>
      <c r="AC37" s="1576">
        <f t="shared" si="5"/>
        <v>1</v>
      </c>
    </row>
    <row r="38" spans="1:29" s="1219" customFormat="1" ht="15" hidden="1">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81"/>
      <c r="Q38" s="1151" t="str">
        <f t="shared" si="11"/>
        <v>写字楼等级</v>
      </c>
      <c r="R38" s="1568" t="s">
        <v>8</v>
      </c>
      <c r="S38" s="1569">
        <f t="shared" si="12"/>
        <v>100</v>
      </c>
      <c r="T38" s="1568" t="s">
        <v>8</v>
      </c>
      <c r="U38" s="1569">
        <f t="shared" si="13"/>
        <v>100</v>
      </c>
      <c r="V38" s="1568" t="s">
        <v>8</v>
      </c>
      <c r="W38" s="1569">
        <f t="shared" si="14"/>
        <v>100</v>
      </c>
      <c r="X38" s="1570"/>
      <c r="Y38" s="3481"/>
      <c r="Z38" s="1150" t="str">
        <f t="shared" si="15"/>
        <v>写字楼等级</v>
      </c>
      <c r="AA38" s="1571">
        <f t="shared" si="3"/>
        <v>1</v>
      </c>
      <c r="AB38" s="1571">
        <f t="shared" si="4"/>
        <v>1</v>
      </c>
      <c r="AC38" s="1571">
        <f t="shared" si="5"/>
        <v>1</v>
      </c>
    </row>
    <row r="39" spans="1:29" ht="15">
      <c r="A39" s="594"/>
      <c r="B39" s="527" t="s">
        <v>782</v>
      </c>
      <c r="C39" s="3214" t="s">
        <v>3053</v>
      </c>
      <c r="D39" s="540">
        <v>100</v>
      </c>
      <c r="E39" s="3214" t="s">
        <v>3053</v>
      </c>
      <c r="F39" s="575">
        <f>SUMIF(115:115,E39,116:116)-SUMIF(115:115,C39,116:116)+100</f>
        <v>100</v>
      </c>
      <c r="G39" s="3214" t="s">
        <v>3053</v>
      </c>
      <c r="H39" s="540">
        <f>SUMIF(115:115,G39,116:116)-SUMIF(115:115,C39,116:116)+100</f>
        <v>100</v>
      </c>
      <c r="I39" s="3214" t="s">
        <v>3053</v>
      </c>
      <c r="J39" s="540">
        <f>SUMIF(115:115,I39,116:116)-SUMIF(115:115,C39,116:116)+100</f>
        <v>100</v>
      </c>
      <c r="K39" s="584"/>
      <c r="L39" s="2142"/>
      <c r="M39" s="2134"/>
      <c r="N39" s="2134"/>
      <c r="O39" s="2134"/>
      <c r="P39" s="3481" t="s">
        <v>550</v>
      </c>
      <c r="Q39" s="1572" t="str">
        <f t="shared" si="11"/>
        <v>物业管理</v>
      </c>
      <c r="R39" s="1573" t="s">
        <v>8</v>
      </c>
      <c r="S39" s="1574">
        <f t="shared" si="12"/>
        <v>100</v>
      </c>
      <c r="T39" s="1573" t="s">
        <v>8</v>
      </c>
      <c r="U39" s="1574">
        <f t="shared" si="13"/>
        <v>100</v>
      </c>
      <c r="V39" s="1573" t="s">
        <v>8</v>
      </c>
      <c r="W39" s="1574">
        <f t="shared" si="14"/>
        <v>100</v>
      </c>
      <c r="X39" s="1567"/>
      <c r="Y39" s="3481" t="s">
        <v>550</v>
      </c>
      <c r="Z39" s="1575" t="str">
        <f t="shared" si="15"/>
        <v>物业管理</v>
      </c>
      <c r="AA39" s="1576">
        <f t="shared" si="3"/>
        <v>1</v>
      </c>
      <c r="AB39" s="1576">
        <f t="shared" si="4"/>
        <v>1</v>
      </c>
      <c r="AC39" s="1576">
        <f t="shared" si="5"/>
        <v>1</v>
      </c>
    </row>
    <row r="40" spans="1:29" ht="15">
      <c r="A40" s="594"/>
      <c r="B40" s="1895" t="s">
        <v>2566</v>
      </c>
      <c r="C40" s="574" t="s">
        <v>3020</v>
      </c>
      <c r="D40" s="540">
        <v>100</v>
      </c>
      <c r="E40" s="574" t="s">
        <v>3020</v>
      </c>
      <c r="F40" s="575">
        <f>SUMIF(117:117,E40,118:118)-SUMIF(117:117,C40,118:118)+100</f>
        <v>100</v>
      </c>
      <c r="G40" s="574" t="s">
        <v>3020</v>
      </c>
      <c r="H40" s="540">
        <f>SUMIF(117:117,G40,118:118)-SUMIF(117:117,C40,118:118)+100</f>
        <v>100</v>
      </c>
      <c r="I40" s="574" t="s">
        <v>3020</v>
      </c>
      <c r="J40" s="540">
        <f>SUMIF(117:117,I40,118:118)-SUMIF(117:117,C40,118:118)+100</f>
        <v>100</v>
      </c>
      <c r="K40" s="584"/>
      <c r="L40" s="2142"/>
      <c r="M40" s="2134"/>
      <c r="N40" s="2134"/>
      <c r="O40" s="2134"/>
      <c r="P40" s="3481"/>
      <c r="Q40" s="1572" t="str">
        <f t="shared" si="11"/>
        <v>市政基础设施</v>
      </c>
      <c r="R40" s="1573" t="s">
        <v>8</v>
      </c>
      <c r="S40" s="1574">
        <f t="shared" si="12"/>
        <v>100</v>
      </c>
      <c r="T40" s="1573" t="s">
        <v>8</v>
      </c>
      <c r="U40" s="1574">
        <f t="shared" si="13"/>
        <v>100</v>
      </c>
      <c r="V40" s="1573" t="s">
        <v>8</v>
      </c>
      <c r="W40" s="1574">
        <f t="shared" si="14"/>
        <v>100</v>
      </c>
      <c r="X40" s="1567"/>
      <c r="Y40" s="3481"/>
      <c r="Z40" s="1575" t="str">
        <f t="shared" si="15"/>
        <v>市政基础设施</v>
      </c>
      <c r="AA40" s="1576">
        <f t="shared" si="3"/>
        <v>1</v>
      </c>
      <c r="AB40" s="1576">
        <f t="shared" si="4"/>
        <v>1</v>
      </c>
      <c r="AC40" s="1576">
        <f t="shared" si="5"/>
        <v>1</v>
      </c>
    </row>
    <row r="41" spans="1:29" ht="15">
      <c r="A41" s="594"/>
      <c r="B41" s="527" t="s">
        <v>767</v>
      </c>
      <c r="C41" s="3215" t="s">
        <v>3059</v>
      </c>
      <c r="D41" s="540">
        <v>100</v>
      </c>
      <c r="E41" s="3215" t="s">
        <v>3059</v>
      </c>
      <c r="F41" s="575">
        <f>SUMIF(119:119,E41,120:120)-SUMIF(119:119,C41,120:120)+100</f>
        <v>100</v>
      </c>
      <c r="G41" s="3215" t="s">
        <v>3059</v>
      </c>
      <c r="H41" s="540">
        <f>SUMIF(119:119,G41,120:120)-SUMIF(119:119,C41,120:120)+100</f>
        <v>100</v>
      </c>
      <c r="I41" s="3215" t="s">
        <v>3059</v>
      </c>
      <c r="J41" s="540">
        <f>SUMIF(119:119,I41,120:120)-SUMIF(119:119,C41,120:120)+100</f>
        <v>100</v>
      </c>
      <c r="K41" s="584"/>
      <c r="L41" s="2142"/>
      <c r="M41" s="2134"/>
      <c r="N41" s="2134"/>
      <c r="O41" s="2134"/>
      <c r="P41" s="3481"/>
      <c r="Q41" s="1572" t="str">
        <f t="shared" si="11"/>
        <v>层高</v>
      </c>
      <c r="R41" s="1573" t="s">
        <v>8</v>
      </c>
      <c r="S41" s="1574">
        <f t="shared" si="12"/>
        <v>100</v>
      </c>
      <c r="T41" s="1573" t="s">
        <v>8</v>
      </c>
      <c r="U41" s="1574">
        <f t="shared" si="13"/>
        <v>100</v>
      </c>
      <c r="V41" s="1573" t="s">
        <v>8</v>
      </c>
      <c r="W41" s="1574">
        <f t="shared" si="14"/>
        <v>100</v>
      </c>
      <c r="X41" s="1567"/>
      <c r="Y41" s="3481"/>
      <c r="Z41" s="1575" t="str">
        <f t="shared" si="15"/>
        <v>层高</v>
      </c>
      <c r="AA41" s="1576">
        <f t="shared" si="3"/>
        <v>1</v>
      </c>
      <c r="AB41" s="1576">
        <f t="shared" si="4"/>
        <v>1</v>
      </c>
      <c r="AC41" s="1576">
        <f t="shared" si="5"/>
        <v>1</v>
      </c>
    </row>
    <row r="42" spans="1:29" s="1338" customFormat="1" ht="15" hidden="1">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81"/>
      <c r="Q42" s="1605" t="str">
        <f t="shared" si="11"/>
        <v>单套建筑面积</v>
      </c>
      <c r="R42" s="1577" t="s">
        <v>8</v>
      </c>
      <c r="S42" s="1578">
        <f t="shared" si="12"/>
        <v>100</v>
      </c>
      <c r="T42" s="1577" t="s">
        <v>8</v>
      </c>
      <c r="U42" s="1578">
        <f t="shared" si="13"/>
        <v>100</v>
      </c>
      <c r="V42" s="1577" t="s">
        <v>8</v>
      </c>
      <c r="W42" s="1578">
        <f t="shared" si="14"/>
        <v>100</v>
      </c>
      <c r="X42" s="1579"/>
      <c r="Y42" s="3481"/>
      <c r="Z42" s="1580" t="str">
        <f t="shared" si="15"/>
        <v>单套建筑面积</v>
      </c>
      <c r="AA42" s="1576">
        <f t="shared" si="3"/>
        <v>1</v>
      </c>
      <c r="AB42" s="1576">
        <f t="shared" si="4"/>
        <v>1</v>
      </c>
      <c r="AC42" s="1576">
        <f t="shared" si="5"/>
        <v>1</v>
      </c>
    </row>
    <row r="43" spans="1:29" ht="15">
      <c r="A43" s="594"/>
      <c r="B43" s="527" t="s">
        <v>770</v>
      </c>
      <c r="C43" s="574" t="s">
        <v>3028</v>
      </c>
      <c r="D43" s="540">
        <v>100</v>
      </c>
      <c r="E43" s="574" t="s">
        <v>3028</v>
      </c>
      <c r="F43" s="575">
        <f>SUMIF(123:123,E43,124:124)-SUMIF(123:123,C43,124:124)+100</f>
        <v>100</v>
      </c>
      <c r="G43" s="574" t="s">
        <v>3028</v>
      </c>
      <c r="H43" s="540">
        <f>SUMIF(123:123,G43,124:124)-SUMIF(123:123,C43,124:124)+100</f>
        <v>100</v>
      </c>
      <c r="I43" s="574" t="s">
        <v>3028</v>
      </c>
      <c r="J43" s="540">
        <f>SUMIF(123:123,I43,124:124)-SUMIF(123:123,C43,124:124)+100</f>
        <v>100</v>
      </c>
      <c r="K43" s="584"/>
      <c r="L43" s="2142"/>
      <c r="M43" s="2134"/>
      <c r="N43" s="2134"/>
      <c r="O43" s="2134"/>
      <c r="P43" s="3481"/>
      <c r="Q43" s="1572" t="str">
        <f t="shared" si="11"/>
        <v>内部装修</v>
      </c>
      <c r="R43" s="1573" t="s">
        <v>8</v>
      </c>
      <c r="S43" s="1574">
        <f t="shared" si="12"/>
        <v>100</v>
      </c>
      <c r="T43" s="1573" t="s">
        <v>8</v>
      </c>
      <c r="U43" s="1574">
        <f t="shared" si="13"/>
        <v>100</v>
      </c>
      <c r="V43" s="1573" t="s">
        <v>8</v>
      </c>
      <c r="W43" s="1574">
        <f t="shared" si="14"/>
        <v>100</v>
      </c>
      <c r="X43" s="1567"/>
      <c r="Y43" s="3481"/>
      <c r="Z43" s="1575" t="str">
        <f t="shared" si="15"/>
        <v>内部装修</v>
      </c>
      <c r="AA43" s="1576">
        <f t="shared" si="3"/>
        <v>1</v>
      </c>
      <c r="AB43" s="1576">
        <f t="shared" si="4"/>
        <v>1</v>
      </c>
      <c r="AC43" s="1576">
        <f t="shared" si="5"/>
        <v>1</v>
      </c>
    </row>
    <row r="44" spans="1:29" ht="27">
      <c r="A44" s="594"/>
      <c r="B44" s="527" t="s">
        <v>735</v>
      </c>
      <c r="C44" s="574" t="s">
        <v>3018</v>
      </c>
      <c r="D44" s="540">
        <v>100</v>
      </c>
      <c r="E44" s="574" t="s">
        <v>3018</v>
      </c>
      <c r="F44" s="575">
        <f>SUMIF(125:125,#REF!,126:126)-SUMIF(125:125,E44,126:126)+100</f>
        <v>100</v>
      </c>
      <c r="G44" s="574" t="s">
        <v>3018</v>
      </c>
      <c r="H44" s="540">
        <f>SUMIF(125:125,G44,126:126)-SUMIF(125:125,E44,126:126)+100</f>
        <v>100</v>
      </c>
      <c r="I44" s="574" t="s">
        <v>3018</v>
      </c>
      <c r="J44" s="540">
        <f>SUMIF(125:125,I44,126:126)-SUMIF(125:125,E44,126:126)+100</f>
        <v>100</v>
      </c>
      <c r="K44" s="584">
        <v>100</v>
      </c>
      <c r="L44" s="2142"/>
      <c r="M44" s="2134"/>
      <c r="N44" s="2134"/>
      <c r="O44" s="2134"/>
      <c r="P44" s="3481"/>
      <c r="Q44" s="1572" t="str">
        <f t="shared" si="11"/>
        <v>内部装修维护情况</v>
      </c>
      <c r="R44" s="1573" t="s">
        <v>8</v>
      </c>
      <c r="S44" s="1574">
        <f t="shared" si="12"/>
        <v>100</v>
      </c>
      <c r="T44" s="1573" t="s">
        <v>8</v>
      </c>
      <c r="U44" s="1574">
        <f t="shared" si="13"/>
        <v>100</v>
      </c>
      <c r="V44" s="1573" t="s">
        <v>8</v>
      </c>
      <c r="W44" s="1574">
        <f t="shared" si="14"/>
        <v>100</v>
      </c>
      <c r="X44" s="1567"/>
      <c r="Y44" s="3481"/>
      <c r="Z44" s="1575" t="str">
        <f t="shared" si="15"/>
        <v>内部装修维护情况</v>
      </c>
      <c r="AA44" s="1576">
        <f t="shared" si="3"/>
        <v>1</v>
      </c>
      <c r="AB44" s="1576">
        <f t="shared" si="4"/>
        <v>1</v>
      </c>
      <c r="AC44" s="1576">
        <f t="shared" si="5"/>
        <v>1</v>
      </c>
    </row>
    <row r="45" spans="1:29" s="1219" customFormat="1" ht="15">
      <c r="A45" s="600"/>
      <c r="B45" s="3216" t="s">
        <v>3064</v>
      </c>
      <c r="C45" s="880" t="s">
        <v>3065</v>
      </c>
      <c r="D45" s="255">
        <v>100</v>
      </c>
      <c r="E45" s="3218" t="s">
        <v>3066</v>
      </c>
      <c r="F45" s="863">
        <f>SUMIF(127:127,E45,128:128)-SUMIF(127:127,C45,128:128)+100</f>
        <v>105</v>
      </c>
      <c r="G45" s="3218" t="s">
        <v>3066</v>
      </c>
      <c r="H45" s="255">
        <f>SUMIF(127:127,G45,128:128)-SUMIF(127:127,C45,128:128)+100</f>
        <v>105</v>
      </c>
      <c r="I45" s="3218" t="s">
        <v>3066</v>
      </c>
      <c r="J45" s="255">
        <f>SUMIF(127:127,I45,128:128)-SUMIF(127:127,C45,128:128)+100</f>
        <v>105</v>
      </c>
      <c r="K45" s="581"/>
      <c r="L45" s="2135"/>
      <c r="M45" s="2136"/>
      <c r="N45" s="2136"/>
      <c r="O45" s="2136"/>
      <c r="P45" s="3481"/>
      <c r="Q45" s="1151" t="str">
        <f t="shared" si="11"/>
        <v>建成年代</v>
      </c>
      <c r="R45" s="1568" t="s">
        <v>8</v>
      </c>
      <c r="S45" s="1569">
        <f t="shared" si="12"/>
        <v>105</v>
      </c>
      <c r="T45" s="1568" t="s">
        <v>8</v>
      </c>
      <c r="U45" s="1569">
        <f t="shared" si="13"/>
        <v>105</v>
      </c>
      <c r="V45" s="1568" t="s">
        <v>8</v>
      </c>
      <c r="W45" s="1569">
        <f t="shared" si="14"/>
        <v>105</v>
      </c>
      <c r="X45" s="1570"/>
      <c r="Y45" s="3481"/>
      <c r="Z45" s="1150" t="str">
        <f t="shared" si="15"/>
        <v>建成年代</v>
      </c>
      <c r="AA45" s="1571">
        <f t="shared" si="3"/>
        <v>0.95238095238095233</v>
      </c>
      <c r="AB45" s="1571">
        <f t="shared" si="4"/>
        <v>0.95238095238095233</v>
      </c>
      <c r="AC45" s="1571">
        <f t="shared" si="5"/>
        <v>0.95238095238095233</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81"/>
      <c r="Q46" s="1572">
        <f t="shared" si="11"/>
        <v>111</v>
      </c>
      <c r="R46" s="1573" t="s">
        <v>8</v>
      </c>
      <c r="S46" s="1574">
        <f t="shared" si="12"/>
        <v>100</v>
      </c>
      <c r="T46" s="1573" t="s">
        <v>8</v>
      </c>
      <c r="U46" s="1574">
        <f t="shared" si="13"/>
        <v>100</v>
      </c>
      <c r="V46" s="1573" t="s">
        <v>8</v>
      </c>
      <c r="W46" s="1574">
        <f t="shared" si="14"/>
        <v>100</v>
      </c>
      <c r="X46" s="1567"/>
      <c r="Y46" s="3481"/>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82"/>
      <c r="Q47" s="1572">
        <f t="shared" si="11"/>
        <v>111</v>
      </c>
      <c r="R47" s="1573" t="s">
        <v>8</v>
      </c>
      <c r="S47" s="1574">
        <f t="shared" si="12"/>
        <v>100</v>
      </c>
      <c r="T47" s="1573" t="s">
        <v>8</v>
      </c>
      <c r="U47" s="1574">
        <f t="shared" si="13"/>
        <v>100</v>
      </c>
      <c r="V47" s="1573" t="s">
        <v>8</v>
      </c>
      <c r="W47" s="1574">
        <f t="shared" si="14"/>
        <v>100</v>
      </c>
      <c r="X47" s="1567"/>
      <c r="Y47" s="3482"/>
      <c r="Z47" s="1575">
        <f t="shared" si="15"/>
        <v>111</v>
      </c>
      <c r="AA47" s="1576">
        <f t="shared" si="3"/>
        <v>1</v>
      </c>
      <c r="AB47" s="1576">
        <f t="shared" si="4"/>
        <v>1</v>
      </c>
      <c r="AC47" s="1576">
        <f t="shared" si="5"/>
        <v>1</v>
      </c>
    </row>
    <row r="48" spans="1:29" ht="15">
      <c r="A48" s="607" t="s">
        <v>736</v>
      </c>
      <c r="B48" s="887"/>
      <c r="C48" s="2606" t="s">
        <v>1</v>
      </c>
      <c r="D48" s="2607"/>
      <c r="E48" s="2608">
        <v>10</v>
      </c>
      <c r="F48" s="2609"/>
      <c r="G48" s="2610">
        <v>8.5</v>
      </c>
      <c r="H48" s="2611"/>
      <c r="I48" s="2608">
        <v>9</v>
      </c>
      <c r="J48" s="2611"/>
      <c r="K48" s="1611"/>
      <c r="L48" s="2144"/>
      <c r="M48" s="2134"/>
      <c r="N48" s="2134"/>
      <c r="O48" s="2134"/>
      <c r="P48" s="3476" t="str">
        <f>A48</f>
        <v>成交单价（元/平方米）</v>
      </c>
      <c r="Q48" s="3473"/>
      <c r="R48" s="3474">
        <f>E48</f>
        <v>10</v>
      </c>
      <c r="S48" s="3474"/>
      <c r="T48" s="3474">
        <f>G48</f>
        <v>8.5</v>
      </c>
      <c r="U48" s="3474"/>
      <c r="V48" s="3474">
        <f>I48</f>
        <v>9</v>
      </c>
      <c r="W48" s="3474"/>
      <c r="X48" s="1559"/>
      <c r="Y48" s="1581"/>
      <c r="Z48" s="1559"/>
      <c r="AA48" s="1559"/>
      <c r="AB48" s="1559"/>
      <c r="AC48" s="1559"/>
    </row>
    <row r="49" spans="1:29" ht="15.75" thickBot="1">
      <c r="A49" s="615" t="s">
        <v>2761</v>
      </c>
      <c r="B49" s="888"/>
      <c r="C49" s="2612">
        <f>R50</f>
        <v>8.4</v>
      </c>
      <c r="D49" s="2613"/>
      <c r="E49" s="2614">
        <f>R49</f>
        <v>9.1999999999999993</v>
      </c>
      <c r="F49" s="2614"/>
      <c r="G49" s="2612">
        <f>T49</f>
        <v>7.7</v>
      </c>
      <c r="H49" s="2613"/>
      <c r="I49" s="2614">
        <f>V49</f>
        <v>8.1999999999999993</v>
      </c>
      <c r="J49" s="2613"/>
      <c r="K49" s="1612"/>
      <c r="L49" s="2144"/>
      <c r="M49" s="2134"/>
      <c r="N49" s="2134"/>
      <c r="O49" s="2134"/>
      <c r="P49" s="3476" t="str">
        <f>A49</f>
        <v>比较价格（元/平方米）</v>
      </c>
      <c r="Q49" s="3473"/>
      <c r="R49" s="3474">
        <f>IF(F1="售价",ROUND(PRODUCT(R48,AA7:AA47),0),ROUND(PRODUCT(R48,AA7:AA47),1))</f>
        <v>9.1999999999999993</v>
      </c>
      <c r="S49" s="3474"/>
      <c r="T49" s="3474">
        <f>IF(F1="售价",ROUND(PRODUCT(T48,AB7:AB47),0),ROUND(PRODUCT(T48,AB7:AB47),1))</f>
        <v>7.7</v>
      </c>
      <c r="U49" s="3474"/>
      <c r="V49" s="3474">
        <f>IF(F1="售价",ROUND(PRODUCT(V48,AC7:AC47),0),ROUND(PRODUCT(V48,AC7:AC47),1))</f>
        <v>8.1999999999999993</v>
      </c>
      <c r="W49" s="3474"/>
      <c r="X49" s="1559"/>
      <c r="Y49" s="1559"/>
      <c r="Z49" s="1559"/>
      <c r="AA49" s="1559"/>
      <c r="AB49" s="1559"/>
      <c r="AC49" s="1559"/>
    </row>
    <row r="50" spans="1:29" ht="15.75" thickBot="1">
      <c r="A50" s="621" t="s">
        <v>2932</v>
      </c>
      <c r="B50" s="622"/>
      <c r="C50" s="2615">
        <f>R50</f>
        <v>8.4</v>
      </c>
      <c r="D50" s="2615"/>
      <c r="E50" s="2615"/>
      <c r="F50" s="2615"/>
      <c r="G50" s="2615"/>
      <c r="H50" s="2615"/>
      <c r="I50" s="2615"/>
      <c r="J50" s="2615"/>
      <c r="K50" s="1613"/>
      <c r="L50" s="2144"/>
      <c r="M50" s="2134"/>
      <c r="N50" s="2134"/>
      <c r="O50" s="2134"/>
      <c r="P50" s="3559" t="str">
        <f>A50</f>
        <v>估价对象XX用房的比较价格（楼面单价，元/平方米）</v>
      </c>
      <c r="Q50" s="3476"/>
      <c r="R50" s="3477">
        <f>IF(F1="售价",ROUND(AVERAGE(R49:V49),0),ROUND(AVERAGE(R49:V49),1))</f>
        <v>8.4</v>
      </c>
      <c r="S50" s="3477"/>
      <c r="T50" s="3477"/>
      <c r="U50" s="3477"/>
      <c r="V50" s="3477"/>
      <c r="W50" s="3477"/>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8.6956521739130599E-2</v>
      </c>
      <c r="F53" s="627" t="str">
        <f>IF(OR(E53&gt;=0.3,E53&lt;=-0.3),"超过30%","")</f>
        <v/>
      </c>
      <c r="G53" s="626">
        <f>IF(G48&lt;G49,G49/G48-1,G48/G49-1)</f>
        <v>0.10389610389610393</v>
      </c>
      <c r="H53" s="627" t="str">
        <f>IF(OR(G53&gt;=0.3,G53&lt;=-0.3),"超过30%","")</f>
        <v/>
      </c>
      <c r="I53" s="626">
        <f>IF(I48&lt;I49,I49/I48-1,I48/I49-1)</f>
        <v>9.7560975609756184E-2</v>
      </c>
      <c r="J53" s="627" t="str">
        <f>IF(OR(I53&gt;=0.3,I53&lt;=-0.3),"超过30%","")</f>
        <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0.19480519480519476</v>
      </c>
      <c r="F54" s="627" t="str">
        <f>IF(OR(E54&gt;=0.2,E54&lt;=-0.2),"超过20%","")</f>
        <v/>
      </c>
      <c r="G54" s="626">
        <f>IF(G49&lt;I49,I49/G49-1,G49/I49-1)</f>
        <v>6.4935064935064846E-2</v>
      </c>
      <c r="H54" s="627" t="str">
        <f>IF(OR(G54&gt;=0.2,G54&lt;=-0.2),"超过20%","")</f>
        <v/>
      </c>
      <c r="I54" s="626">
        <f>IF(I49&lt;E49,E49/I49-1,I49/E49-1)</f>
        <v>0.12195121951219523</v>
      </c>
      <c r="J54" s="627" t="str">
        <f>IF(OR(I54&gt;=0.2,I54&lt;=-0.2),"超过20%","")</f>
        <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f>IF(E48&lt;G48,G48/E48-1,E48/G48-1)</f>
        <v>0.17647058823529416</v>
      </c>
      <c r="F55" s="627" t="str">
        <f>IF(OR(E55&gt;=0.3,E55&lt;=-0.3),"超过30%","")</f>
        <v/>
      </c>
      <c r="G55" s="626">
        <f>IF(G48&lt;I48,I48/G48-1,G48/I48-1)</f>
        <v>5.8823529411764719E-2</v>
      </c>
      <c r="H55" s="627" t="str">
        <f>IF(OR(G55&gt;=0.3,G55&lt;=-0.3),"超过30%","")</f>
        <v/>
      </c>
      <c r="I55" s="626">
        <f>IF(I48&lt;E48,E48/I48-1,I48/E48-1)</f>
        <v>0.11111111111111116</v>
      </c>
      <c r="J55" s="627" t="str">
        <f>IF(OR(I55&gt;=0.3,I55&lt;=-0.3),"超过30%","")</f>
        <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574</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5" t="s">
        <v>529</v>
      </c>
      <c r="B59" s="646"/>
      <c r="C59" s="2781" t="str">
        <f>YEAR(C7)&amp;"-"&amp;MONTH(C7)</f>
        <v>2018-10</v>
      </c>
      <c r="D59" s="2783">
        <f>EDATE(C59,-1)</f>
        <v>43344</v>
      </c>
      <c r="E59" s="2783">
        <f t="shared" ref="E59:O59" si="16">EDATE(D59,-1)</f>
        <v>43313</v>
      </c>
      <c r="F59" s="2783">
        <f t="shared" si="16"/>
        <v>43282</v>
      </c>
      <c r="G59" s="2783">
        <f t="shared" si="16"/>
        <v>43252</v>
      </c>
      <c r="H59" s="2783">
        <f t="shared" si="16"/>
        <v>43221</v>
      </c>
      <c r="I59" s="2783">
        <f t="shared" si="16"/>
        <v>43191</v>
      </c>
      <c r="J59" s="2783">
        <f t="shared" si="16"/>
        <v>43160</v>
      </c>
      <c r="K59" s="2783">
        <f t="shared" si="16"/>
        <v>43132</v>
      </c>
      <c r="L59" s="2783">
        <f t="shared" si="16"/>
        <v>43101</v>
      </c>
      <c r="M59" s="2783">
        <f t="shared" si="16"/>
        <v>43070</v>
      </c>
      <c r="N59" s="2783">
        <f t="shared" si="16"/>
        <v>43040</v>
      </c>
      <c r="O59" s="2783">
        <f t="shared" si="16"/>
        <v>43009</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t="str">
        <f>C9</f>
        <v>办公</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99.5</v>
      </c>
      <c r="G67" s="679">
        <f>F67-$K10</f>
        <v>99</v>
      </c>
      <c r="H67" s="679">
        <f>G67-$K10</f>
        <v>98.5</v>
      </c>
      <c r="I67" s="679">
        <f>H67-$K10</f>
        <v>98</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1（含）-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v>1</v>
      </c>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2558</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76" t="s">
        <v>2559</v>
      </c>
      <c r="C83" s="2577" t="s">
        <v>2560</v>
      </c>
      <c r="D83" s="2577" t="s">
        <v>2561</v>
      </c>
      <c r="E83" s="2577" t="s">
        <v>2562</v>
      </c>
      <c r="F83" s="2577" t="s">
        <v>2563</v>
      </c>
      <c r="G83" s="2577" t="s">
        <v>2564</v>
      </c>
      <c r="H83" s="674"/>
      <c r="I83" s="674"/>
      <c r="J83" s="674"/>
      <c r="K83" s="674"/>
      <c r="L83" s="674"/>
      <c r="M83" s="258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785</v>
      </c>
      <c r="C87" s="3204" t="s">
        <v>3042</v>
      </c>
      <c r="D87" s="3204" t="s">
        <v>3043</v>
      </c>
      <c r="E87" s="3204" t="s">
        <v>3045</v>
      </c>
      <c r="F87" s="3204" t="s">
        <v>3046</v>
      </c>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99.5</v>
      </c>
      <c r="E88" s="679">
        <f t="shared" si="19"/>
        <v>99</v>
      </c>
      <c r="F88" s="679">
        <f t="shared" si="19"/>
        <v>98.5</v>
      </c>
      <c r="G88" s="679">
        <f t="shared" si="19"/>
        <v>98</v>
      </c>
      <c r="H88" s="679">
        <f t="shared" si="19"/>
        <v>97.5</v>
      </c>
      <c r="I88" s="679">
        <f t="shared" si="19"/>
        <v>97</v>
      </c>
      <c r="J88" s="679">
        <f t="shared" si="19"/>
        <v>96.5</v>
      </c>
      <c r="K88" s="679">
        <f t="shared" si="19"/>
        <v>96</v>
      </c>
      <c r="L88" s="679">
        <f t="shared" si="19"/>
        <v>95.5</v>
      </c>
      <c r="M88" s="679">
        <f t="shared" si="19"/>
        <v>95</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3204" t="s">
        <v>3124</v>
      </c>
      <c r="D89" s="3204" t="s">
        <v>3125</v>
      </c>
      <c r="E89" s="3204" t="s">
        <v>3126</v>
      </c>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99</v>
      </c>
      <c r="E90" s="679">
        <f t="shared" ref="E90:M90" si="20">D90-$K27</f>
        <v>98</v>
      </c>
      <c r="F90" s="679">
        <f t="shared" si="20"/>
        <v>97</v>
      </c>
      <c r="G90" s="679">
        <f t="shared" si="20"/>
        <v>96</v>
      </c>
      <c r="H90" s="679">
        <f t="shared" si="20"/>
        <v>95</v>
      </c>
      <c r="I90" s="679">
        <f t="shared" si="20"/>
        <v>94</v>
      </c>
      <c r="J90" s="679">
        <f t="shared" si="20"/>
        <v>93</v>
      </c>
      <c r="K90" s="679">
        <f t="shared" si="20"/>
        <v>92</v>
      </c>
      <c r="L90" s="679">
        <f t="shared" si="20"/>
        <v>91</v>
      </c>
      <c r="M90" s="679">
        <f t="shared" si="20"/>
        <v>90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3208" t="s">
        <v>3049</v>
      </c>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29.25" thickTop="1">
      <c r="A103" s="669"/>
      <c r="B103" s="673" t="s">
        <v>748</v>
      </c>
      <c r="C103" s="708" t="str">
        <f>C104&amp;"(含)"&amp;"-"&amp;D104</f>
        <v>1(含)-500</v>
      </c>
      <c r="D103" s="708" t="str">
        <f t="shared" ref="D103:L103" si="23">D104&amp;"(含)"&amp;"-"&amp;E104</f>
        <v>500(含)-320000</v>
      </c>
      <c r="E103" s="708" t="str">
        <f t="shared" si="23"/>
        <v>320000(含)-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v>1</v>
      </c>
      <c r="D104" s="730">
        <v>500</v>
      </c>
      <c r="E104" s="730">
        <v>320000</v>
      </c>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v>100</v>
      </c>
      <c r="D105" s="671">
        <v>95</v>
      </c>
      <c r="E105" s="671">
        <v>90</v>
      </c>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3204" t="s">
        <v>3051</v>
      </c>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3204" t="s">
        <v>3027</v>
      </c>
      <c r="D108" s="3204" t="s">
        <v>3029</v>
      </c>
      <c r="E108" s="3204" t="s">
        <v>3030</v>
      </c>
      <c r="F108" s="3206" t="s">
        <v>3031</v>
      </c>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101</v>
      </c>
      <c r="E112" s="679">
        <f t="shared" ref="E112:M112" si="26">D112+$K37</f>
        <v>102</v>
      </c>
      <c r="F112" s="679">
        <f t="shared" si="26"/>
        <v>103</v>
      </c>
      <c r="G112" s="679">
        <f t="shared" si="26"/>
        <v>104</v>
      </c>
      <c r="H112" s="679">
        <f t="shared" si="26"/>
        <v>105</v>
      </c>
      <c r="I112" s="679">
        <f t="shared" si="26"/>
        <v>106</v>
      </c>
      <c r="J112" s="679">
        <f t="shared" si="26"/>
        <v>107</v>
      </c>
      <c r="K112" s="679">
        <f t="shared" si="26"/>
        <v>108</v>
      </c>
      <c r="L112" s="679">
        <f t="shared" si="26"/>
        <v>109</v>
      </c>
      <c r="M112" s="679">
        <f t="shared" si="26"/>
        <v>110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3204" t="s">
        <v>3054</v>
      </c>
      <c r="D117" s="3204" t="s">
        <v>3055</v>
      </c>
      <c r="E117" s="3204" t="s">
        <v>3056</v>
      </c>
      <c r="F117" s="3204" t="s">
        <v>3057</v>
      </c>
      <c r="G117" s="3204" t="s">
        <v>3058</v>
      </c>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3204" t="s">
        <v>3027</v>
      </c>
      <c r="D123" s="3204" t="s">
        <v>3029</v>
      </c>
      <c r="E123" s="3204" t="s">
        <v>3030</v>
      </c>
      <c r="F123" s="3206" t="s">
        <v>3031</v>
      </c>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0</v>
      </c>
      <c r="E126" s="679">
        <f>D126-$K44</f>
        <v>-100</v>
      </c>
      <c r="F126" s="679">
        <f>E126-$K44</f>
        <v>-200</v>
      </c>
      <c r="G126" s="679">
        <f>F126-$K44</f>
        <v>-300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t="str">
        <f>B45</f>
        <v>建成年代</v>
      </c>
      <c r="C127" s="688" t="s">
        <v>3065</v>
      </c>
      <c r="D127" s="3204" t="s">
        <v>3067</v>
      </c>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v>100</v>
      </c>
      <c r="D128" s="671">
        <v>105</v>
      </c>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F55 H53:H55 J53:J55">
    <cfRule type="containsText" dxfId="53" priority="16" stopIfTrue="1" operator="containsText" text="超过">
      <formula>NOT(ISERROR(SEARCH("超过",F53)))</formula>
    </cfRule>
  </conditionalFormatting>
  <conditionalFormatting sqref="E53">
    <cfRule type="expression" dxfId="52" priority="12" stopIfTrue="1">
      <formula>$F$53="超过30%"</formula>
    </cfRule>
  </conditionalFormatting>
  <conditionalFormatting sqref="E54">
    <cfRule type="expression" dxfId="51" priority="11" stopIfTrue="1">
      <formula>$F$54="超过20%"</formula>
    </cfRule>
  </conditionalFormatting>
  <conditionalFormatting sqref="E55">
    <cfRule type="expression" dxfId="50" priority="10" stopIfTrue="1">
      <formula>$F$55="超过30%"</formula>
    </cfRule>
  </conditionalFormatting>
  <conditionalFormatting sqref="G55">
    <cfRule type="expression" dxfId="49" priority="9" stopIfTrue="1">
      <formula>$H$55="超过30%"</formula>
    </cfRule>
  </conditionalFormatting>
  <conditionalFormatting sqref="G53">
    <cfRule type="expression" dxfId="48" priority="8" stopIfTrue="1">
      <formula>$H$53="超过30%"</formula>
    </cfRule>
  </conditionalFormatting>
  <conditionalFormatting sqref="G54">
    <cfRule type="expression" dxfId="47" priority="7" stopIfTrue="1">
      <formula>$H$54="超过20%"</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E44 G44 I44">
      <formula1>内部装修维护情况</formula1>
    </dataValidation>
    <dataValidation type="list" allowBlank="1" showInputMessage="1" showErrorMessage="1" sqref="C35 I35 G35 E35">
      <formula1>办公建筑结构</formula1>
    </dataValidation>
    <dataValidation type="list" allowBlank="1" showInputMessage="1" showErrorMessage="1" sqref="E24 C24 I24 G24">
      <formula1>环境</formula1>
    </dataValidation>
    <dataValidation type="list" allowBlank="1" showInputMessage="1" showErrorMessage="1" sqref="E18 C18 I18 G18">
      <formula1>交通便捷度</formula1>
    </dataValidation>
    <dataValidation type="list" allowBlank="1" showInputMessage="1" showErrorMessage="1" sqref="C20 E20 I20 G20">
      <formula1>公共配套设施</formula1>
    </dataValidation>
    <dataValidation type="list" allowBlank="1" showInputMessage="1" showErrorMessage="1" sqref="D1">
      <formula1>项目类型</formula1>
    </dataValidation>
    <dataValidation type="list" allowBlank="1" showInputMessage="1" showErrorMessage="1" sqref="C10 I10 G10 E10">
      <formula1>土地年限区间</formula1>
    </dataValidation>
    <dataValidation type="list" allowBlank="1" showInputMessage="1" showErrorMessage="1" sqref="E9 I9 G9">
      <formula1>办公用途</formula1>
    </dataValidation>
    <dataValidation type="list" allowBlank="1" showInputMessage="1" showErrorMessage="1" sqref="C16 I16 G16 E16">
      <formula1>办公集聚程度</formula1>
    </dataValidation>
    <dataValidation type="list" allowBlank="1" showInputMessage="1" showErrorMessage="1" sqref="G26 I26 E26 C26">
      <formula1>办公道路级别</formula1>
    </dataValidation>
    <dataValidation type="list" allowBlank="1" showInputMessage="1" showErrorMessage="1" sqref="C28 I28 G28 E28">
      <formula1>办公朝向</formula1>
    </dataValidation>
    <dataValidation type="list" allowBlank="1" showInputMessage="1" showErrorMessage="1" sqref="C27 I27 G27 E27">
      <formula1>办公楼层</formula1>
    </dataValidation>
    <dataValidation type="list" allowBlank="1" showInputMessage="1" showErrorMessage="1" sqref="C33 I33 G33 E33">
      <formula1>办公建筑类型</formula1>
    </dataValidation>
    <dataValidation type="list" allowBlank="1" showInputMessage="1" showErrorMessage="1" sqref="C36 I36 G36 E36">
      <formula1>办公公共部分装修</formula1>
    </dataValidation>
    <dataValidation type="list" allowBlank="1" showInputMessage="1" showErrorMessage="1" sqref="C38 I38 G38 E38">
      <formula1>写字楼等级</formula1>
    </dataValidation>
    <dataValidation type="list" allowBlank="1" showInputMessage="1" showErrorMessage="1" sqref="C39 I39 G39 E39">
      <formula1>办公物业管理</formula1>
    </dataValidation>
    <dataValidation type="list" allowBlank="1" showInputMessage="1" showErrorMessage="1" sqref="C40 I40 G40 E40">
      <formula1>办公基础设施水平</formula1>
    </dataValidation>
    <dataValidation type="list" allowBlank="1" showInputMessage="1" showErrorMessage="1" sqref="C41 I41 G41 E41">
      <formula1>办公层高</formula1>
    </dataValidation>
    <dataValidation type="list" allowBlank="1" showInputMessage="1" showErrorMessage="1" sqref="C43 I43 G43 E43">
      <formula1>办公内部装修</formula1>
    </dataValidation>
    <dataValidation type="list" allowBlank="1" showInputMessage="1" showErrorMessage="1" sqref="C8 I8 G8 E8">
      <formula1>办公交易情况</formula1>
    </dataValidation>
    <dataValidation type="list" allowBlank="1" showInputMessage="1" showErrorMessage="1" sqref="C22 I22 G22 E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4"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786"/>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521</v>
      </c>
      <c r="B4" s="513"/>
      <c r="C4" s="3486" t="s">
        <v>522</v>
      </c>
      <c r="D4" s="3487"/>
      <c r="E4" s="3488" t="s">
        <v>523</v>
      </c>
      <c r="F4" s="3489"/>
      <c r="G4" s="3486" t="s">
        <v>524</v>
      </c>
      <c r="H4" s="3487"/>
      <c r="I4" s="3486" t="s">
        <v>525</v>
      </c>
      <c r="J4" s="3487"/>
      <c r="K4" s="514" t="s">
        <v>526</v>
      </c>
      <c r="L4" s="2133"/>
      <c r="M4" s="2134"/>
      <c r="N4" s="2134"/>
      <c r="O4" s="2134"/>
      <c r="P4" s="3490" t="s">
        <v>527</v>
      </c>
      <c r="Q4" s="3491"/>
      <c r="R4" s="3496" t="s">
        <v>523</v>
      </c>
      <c r="S4" s="3497"/>
      <c r="T4" s="3496" t="s">
        <v>524</v>
      </c>
      <c r="U4" s="3497"/>
      <c r="V4" s="3502" t="s">
        <v>525</v>
      </c>
      <c r="W4" s="3502"/>
      <c r="X4" s="1567"/>
      <c r="Y4" s="3496" t="s">
        <v>527</v>
      </c>
      <c r="Z4" s="3497"/>
      <c r="AA4" s="3483" t="s">
        <v>523</v>
      </c>
      <c r="AB4" s="3484" t="s">
        <v>524</v>
      </c>
      <c r="AC4" s="3483" t="s">
        <v>525</v>
      </c>
    </row>
    <row r="5" spans="1:29" ht="15">
      <c r="A5" s="515"/>
      <c r="B5" s="516"/>
      <c r="C5" s="3510" t="s">
        <v>2926</v>
      </c>
      <c r="D5" s="3506"/>
      <c r="E5" s="3524" t="s">
        <v>2927</v>
      </c>
      <c r="F5" s="3514"/>
      <c r="G5" s="3510" t="s">
        <v>2928</v>
      </c>
      <c r="H5" s="3506"/>
      <c r="I5" s="3510" t="s">
        <v>2929</v>
      </c>
      <c r="J5" s="3506"/>
      <c r="K5" s="514"/>
      <c r="L5" s="2133"/>
      <c r="M5" s="2134"/>
      <c r="N5" s="2134"/>
      <c r="O5" s="2134"/>
      <c r="P5" s="3492"/>
      <c r="Q5" s="3493"/>
      <c r="R5" s="3498"/>
      <c r="S5" s="3499"/>
      <c r="T5" s="3498"/>
      <c r="U5" s="3499"/>
      <c r="V5" s="3502"/>
      <c r="W5" s="3502"/>
      <c r="X5" s="1567"/>
      <c r="Y5" s="3498"/>
      <c r="Z5" s="3499"/>
      <c r="AA5" s="3484"/>
      <c r="AB5" s="3484"/>
      <c r="AC5" s="3484"/>
    </row>
    <row r="6" spans="1:29" ht="15.75" thickBot="1">
      <c r="A6" s="517"/>
      <c r="B6" s="518"/>
      <c r="C6" s="3503" t="s">
        <v>2930</v>
      </c>
      <c r="D6" s="3504"/>
      <c r="E6" s="3511" t="s">
        <v>2930</v>
      </c>
      <c r="F6" s="3512"/>
      <c r="G6" s="3503" t="s">
        <v>2930</v>
      </c>
      <c r="H6" s="3504"/>
      <c r="I6" s="3503" t="s">
        <v>2930</v>
      </c>
      <c r="J6" s="3504"/>
      <c r="K6" s="514" t="s">
        <v>528</v>
      </c>
      <c r="L6" s="2133"/>
      <c r="M6" s="2134"/>
      <c r="N6" s="2134"/>
      <c r="O6" s="2134"/>
      <c r="P6" s="3494"/>
      <c r="Q6" s="3495"/>
      <c r="R6" s="3498"/>
      <c r="S6" s="3499"/>
      <c r="T6" s="3500"/>
      <c r="U6" s="3501"/>
      <c r="V6" s="3502"/>
      <c r="W6" s="3502"/>
      <c r="X6" s="1567"/>
      <c r="Y6" s="3500"/>
      <c r="Z6" s="3501"/>
      <c r="AA6" s="3485"/>
      <c r="AB6" s="3485"/>
      <c r="AC6" s="3485"/>
    </row>
    <row r="7" spans="1:29" s="1219" customFormat="1" ht="15.75" thickBot="1">
      <c r="A7" s="2891"/>
      <c r="B7" s="2898" t="s">
        <v>529</v>
      </c>
      <c r="C7" s="519">
        <f>'数据-取费表'!B2</f>
        <v>43388</v>
      </c>
      <c r="D7" s="520">
        <v>100</v>
      </c>
      <c r="E7" s="521"/>
      <c r="F7" s="522">
        <f>SUMIF(52:52,YEAR(E7)&amp;"-"&amp;MONTH(E7),53:53)</f>
        <v>0</v>
      </c>
      <c r="G7" s="521"/>
      <c r="H7" s="520">
        <f>SUMIF(52:52,YEAR(G7)&amp;"-"&amp;MONTH(G7),53:53)</f>
        <v>0</v>
      </c>
      <c r="I7" s="521"/>
      <c r="J7" s="520">
        <f>SUMIF(52:52,YEAR(I7)&amp;"-"&amp;MONTH(I7),53:53)</f>
        <v>0</v>
      </c>
      <c r="K7" s="524"/>
      <c r="L7" s="2135"/>
      <c r="M7" s="2136"/>
      <c r="N7" s="2136"/>
      <c r="O7" s="2136"/>
      <c r="P7" s="3507" t="s">
        <v>530</v>
      </c>
      <c r="Q7" s="3509"/>
      <c r="R7" s="1568" t="s">
        <v>8</v>
      </c>
      <c r="S7" s="1569">
        <f t="shared" ref="S7:S15" si="0">F7</f>
        <v>0</v>
      </c>
      <c r="T7" s="1568" t="s">
        <v>8</v>
      </c>
      <c r="U7" s="1569">
        <f t="shared" ref="U7:U15" si="1">H7</f>
        <v>0</v>
      </c>
      <c r="V7" s="1568" t="s">
        <v>8</v>
      </c>
      <c r="W7" s="1569">
        <f t="shared" ref="W7:W15" si="2">J7</f>
        <v>0</v>
      </c>
      <c r="X7" s="1570"/>
      <c r="Y7" s="3507" t="s">
        <v>530</v>
      </c>
      <c r="Z7" s="3508"/>
      <c r="AA7" s="1571" t="e">
        <f>D7/F7</f>
        <v>#DIV/0!</v>
      </c>
      <c r="AB7" s="1571" t="e">
        <f>D7/H7</f>
        <v>#DIV/0!</v>
      </c>
      <c r="AC7" s="1571" t="e">
        <f>D7/J7</f>
        <v>#DIV/0!</v>
      </c>
    </row>
    <row r="8" spans="1:29" s="1219"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507" t="s">
        <v>533</v>
      </c>
      <c r="Q8" s="3508"/>
      <c r="R8" s="1568" t="s">
        <v>8</v>
      </c>
      <c r="S8" s="1569">
        <f t="shared" si="0"/>
        <v>0</v>
      </c>
      <c r="T8" s="1568" t="s">
        <v>8</v>
      </c>
      <c r="U8" s="1569">
        <f t="shared" si="1"/>
        <v>0</v>
      </c>
      <c r="V8" s="1568" t="s">
        <v>8</v>
      </c>
      <c r="W8" s="1569">
        <f t="shared" si="2"/>
        <v>0</v>
      </c>
      <c r="X8" s="1570"/>
      <c r="Y8" s="3507" t="s">
        <v>533</v>
      </c>
      <c r="Z8" s="3508"/>
      <c r="AA8" s="1571" t="e">
        <f t="shared" ref="AA8:AA40" si="3">D8/F8</f>
        <v>#DIV/0!</v>
      </c>
      <c r="AB8" s="1571" t="e">
        <f t="shared" ref="AB8:AB40" si="4">D8/H8</f>
        <v>#DIV/0!</v>
      </c>
      <c r="AC8" s="1571" t="e">
        <f t="shared" ref="AC8:AC40" si="5">D8/J8</f>
        <v>#DIV/0!</v>
      </c>
    </row>
    <row r="9" spans="1:29" s="1219"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73" t="s">
        <v>535</v>
      </c>
      <c r="Q9" s="1151" t="str">
        <f t="shared" ref="Q9:Q15" si="6">B9</f>
        <v>用途</v>
      </c>
      <c r="R9" s="1568" t="s">
        <v>8</v>
      </c>
      <c r="S9" s="1569">
        <f t="shared" si="0"/>
        <v>100</v>
      </c>
      <c r="T9" s="1568" t="s">
        <v>8</v>
      </c>
      <c r="U9" s="1569">
        <f t="shared" si="1"/>
        <v>100</v>
      </c>
      <c r="V9" s="1568" t="s">
        <v>8</v>
      </c>
      <c r="W9" s="1569">
        <f t="shared" si="2"/>
        <v>100</v>
      </c>
      <c r="X9" s="1570"/>
      <c r="Y9" s="3434" t="s">
        <v>536</v>
      </c>
      <c r="Z9" s="1150" t="str">
        <f t="shared" ref="Z9:Z15" si="7">Q9</f>
        <v>用途</v>
      </c>
      <c r="AA9" s="1571">
        <f t="shared" si="3"/>
        <v>1</v>
      </c>
      <c r="AB9" s="1571">
        <f t="shared" si="4"/>
        <v>1</v>
      </c>
      <c r="AC9" s="1571">
        <f t="shared" si="5"/>
        <v>1</v>
      </c>
    </row>
    <row r="10" spans="1:29" s="1337"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73"/>
      <c r="Q10" s="1151" t="str">
        <f t="shared" si="6"/>
        <v>土地使用年限（年）</v>
      </c>
      <c r="R10" s="1568" t="s">
        <v>8</v>
      </c>
      <c r="S10" s="1569">
        <f t="shared" si="0"/>
        <v>100</v>
      </c>
      <c r="T10" s="1568" t="s">
        <v>8</v>
      </c>
      <c r="U10" s="1569">
        <f t="shared" si="1"/>
        <v>100</v>
      </c>
      <c r="V10" s="1568" t="s">
        <v>8</v>
      </c>
      <c r="W10" s="1569">
        <f t="shared" si="2"/>
        <v>100</v>
      </c>
      <c r="X10" s="1570"/>
      <c r="Y10" s="3434"/>
      <c r="Z10" s="1150" t="str">
        <f t="shared" si="7"/>
        <v>土地使用年限（年）</v>
      </c>
      <c r="AA10" s="1571">
        <f t="shared" si="3"/>
        <v>1</v>
      </c>
      <c r="AB10" s="1571">
        <f t="shared" si="4"/>
        <v>1</v>
      </c>
      <c r="AC10" s="1571">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73"/>
      <c r="Q11" s="1151" t="str">
        <f t="shared" si="6"/>
        <v>容积率</v>
      </c>
      <c r="R11" s="1568" t="s">
        <v>8</v>
      </c>
      <c r="S11" s="1569" t="e">
        <f t="shared" si="0"/>
        <v>#N/A</v>
      </c>
      <c r="T11" s="1568" t="s">
        <v>8</v>
      </c>
      <c r="U11" s="1569" t="e">
        <f t="shared" si="1"/>
        <v>#N/A</v>
      </c>
      <c r="V11" s="1568" t="s">
        <v>8</v>
      </c>
      <c r="W11" s="1569" t="e">
        <f t="shared" si="2"/>
        <v>#N/A</v>
      </c>
      <c r="X11" s="1570"/>
      <c r="Y11" s="3434"/>
      <c r="Z11" s="1150" t="str">
        <f t="shared" si="7"/>
        <v>容积率</v>
      </c>
      <c r="AA11" s="1571" t="e">
        <f t="shared" si="3"/>
        <v>#N/A</v>
      </c>
      <c r="AB11" s="1571" t="e">
        <f t="shared" si="4"/>
        <v>#N/A</v>
      </c>
      <c r="AC11" s="1571" t="e">
        <f t="shared" si="5"/>
        <v>#N/A</v>
      </c>
    </row>
    <row r="12" spans="1:29" s="1219"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73"/>
      <c r="Q12" s="1151">
        <f t="shared" si="6"/>
        <v>111</v>
      </c>
      <c r="R12" s="1568" t="s">
        <v>8</v>
      </c>
      <c r="S12" s="1569">
        <f t="shared" si="0"/>
        <v>100</v>
      </c>
      <c r="T12" s="1568" t="s">
        <v>8</v>
      </c>
      <c r="U12" s="1569">
        <f t="shared" si="1"/>
        <v>100</v>
      </c>
      <c r="V12" s="1568" t="s">
        <v>8</v>
      </c>
      <c r="W12" s="1569">
        <f t="shared" si="2"/>
        <v>100</v>
      </c>
      <c r="X12" s="1570"/>
      <c r="Y12" s="3434"/>
      <c r="Z12" s="1150">
        <f t="shared" si="7"/>
        <v>111</v>
      </c>
      <c r="AA12" s="1571">
        <f>D12/F12</f>
        <v>1</v>
      </c>
      <c r="AB12" s="1571">
        <f>D12/H12</f>
        <v>1</v>
      </c>
      <c r="AC12" s="1571">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73"/>
      <c r="Q13" s="1151">
        <f t="shared" si="6"/>
        <v>111</v>
      </c>
      <c r="R13" s="1568" t="s">
        <v>8</v>
      </c>
      <c r="S13" s="1569">
        <f t="shared" si="0"/>
        <v>100</v>
      </c>
      <c r="T13" s="1568" t="s">
        <v>8</v>
      </c>
      <c r="U13" s="1569">
        <f t="shared" si="1"/>
        <v>100</v>
      </c>
      <c r="V13" s="1568" t="s">
        <v>8</v>
      </c>
      <c r="W13" s="1569">
        <f t="shared" si="2"/>
        <v>100</v>
      </c>
      <c r="X13" s="1570"/>
      <c r="Y13" s="3434"/>
      <c r="Z13" s="1150">
        <f t="shared" si="7"/>
        <v>111</v>
      </c>
      <c r="AA13" s="1571">
        <f t="shared" si="3"/>
        <v>1</v>
      </c>
      <c r="AB13" s="1571">
        <f t="shared" si="4"/>
        <v>1</v>
      </c>
      <c r="AC13" s="1571">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73"/>
      <c r="Q14" s="1151">
        <f t="shared" si="6"/>
        <v>111</v>
      </c>
      <c r="R14" s="1568" t="s">
        <v>8</v>
      </c>
      <c r="S14" s="1569">
        <f t="shared" si="0"/>
        <v>100</v>
      </c>
      <c r="T14" s="1568" t="s">
        <v>8</v>
      </c>
      <c r="U14" s="1569">
        <f t="shared" si="1"/>
        <v>100</v>
      </c>
      <c r="V14" s="1568" t="s">
        <v>8</v>
      </c>
      <c r="W14" s="1569">
        <f t="shared" si="2"/>
        <v>100</v>
      </c>
      <c r="X14" s="1570"/>
      <c r="Y14" s="3434"/>
      <c r="Z14" s="1150">
        <f t="shared" si="7"/>
        <v>111</v>
      </c>
      <c r="AA14" s="1571">
        <f t="shared" si="3"/>
        <v>1</v>
      </c>
      <c r="AB14" s="1571">
        <f t="shared" si="4"/>
        <v>1</v>
      </c>
      <c r="AC14" s="1571">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78" t="s">
        <v>540</v>
      </c>
      <c r="Q15" s="1572" t="str">
        <f t="shared" si="6"/>
        <v>产业集聚程度</v>
      </c>
      <c r="R15" s="1573" t="s">
        <v>8</v>
      </c>
      <c r="S15" s="1574">
        <f t="shared" si="0"/>
        <v>100</v>
      </c>
      <c r="T15" s="1573" t="s">
        <v>8</v>
      </c>
      <c r="U15" s="1574">
        <f t="shared" si="1"/>
        <v>100</v>
      </c>
      <c r="V15" s="1573" t="s">
        <v>8</v>
      </c>
      <c r="W15" s="1574">
        <f t="shared" si="2"/>
        <v>100</v>
      </c>
      <c r="X15" s="1567"/>
      <c r="Y15" s="3478"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479"/>
      <c r="Q16" s="1572"/>
      <c r="R16" s="1573"/>
      <c r="S16" s="1574"/>
      <c r="T16" s="1573"/>
      <c r="U16" s="1574"/>
      <c r="V16" s="1573"/>
      <c r="W16" s="1574"/>
      <c r="X16" s="1567"/>
      <c r="Y16" s="3479"/>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79"/>
      <c r="Q17" s="1572" t="str">
        <f>B17</f>
        <v>交通便捷度</v>
      </c>
      <c r="R17" s="1573" t="s">
        <v>8</v>
      </c>
      <c r="S17" s="1574">
        <f>F17</f>
        <v>100</v>
      </c>
      <c r="T17" s="1573" t="s">
        <v>8</v>
      </c>
      <c r="U17" s="1574">
        <f>H17</f>
        <v>100</v>
      </c>
      <c r="V17" s="1573" t="s">
        <v>8</v>
      </c>
      <c r="W17" s="1574">
        <f>J17</f>
        <v>100</v>
      </c>
      <c r="X17" s="1567"/>
      <c r="Y17" s="347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479"/>
      <c r="Q18" s="1572"/>
      <c r="R18" s="1573"/>
      <c r="S18" s="1574"/>
      <c r="T18" s="1573"/>
      <c r="U18" s="1574"/>
      <c r="V18" s="1573"/>
      <c r="W18" s="1574"/>
      <c r="X18" s="1567"/>
      <c r="Y18" s="3479"/>
      <c r="Z18" s="1575"/>
      <c r="AA18" s="1576">
        <v>1</v>
      </c>
      <c r="AB18" s="1576">
        <v>1</v>
      </c>
      <c r="AC18" s="1576">
        <v>1</v>
      </c>
    </row>
    <row r="19" spans="1:29" ht="42.75">
      <c r="A19" s="532"/>
      <c r="B19" s="2582"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79"/>
      <c r="Q19" s="1572" t="str">
        <f>B19</f>
        <v>公共配套设施</v>
      </c>
      <c r="R19" s="1573" t="s">
        <v>8</v>
      </c>
      <c r="S19" s="1574">
        <f>F19</f>
        <v>100</v>
      </c>
      <c r="T19" s="1573" t="s">
        <v>8</v>
      </c>
      <c r="U19" s="1574">
        <f>H19</f>
        <v>100</v>
      </c>
      <c r="V19" s="1573" t="s">
        <v>8</v>
      </c>
      <c r="W19" s="1574">
        <f>J19</f>
        <v>100</v>
      </c>
      <c r="X19" s="1567"/>
      <c r="Y19" s="3479"/>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2"/>
      <c r="M20" s="2134"/>
      <c r="N20" s="2134"/>
      <c r="O20" s="2141"/>
      <c r="P20" s="3479"/>
      <c r="Q20" s="1572"/>
      <c r="R20" s="1573"/>
      <c r="S20" s="1574"/>
      <c r="T20" s="1573"/>
      <c r="U20" s="1574"/>
      <c r="V20" s="1573"/>
      <c r="W20" s="1574"/>
      <c r="X20" s="1567"/>
      <c r="Y20" s="3479"/>
      <c r="Z20" s="1575"/>
      <c r="AA20" s="1576">
        <v>1</v>
      </c>
      <c r="AB20" s="1576">
        <v>1</v>
      </c>
      <c r="AC20" s="1576">
        <v>1</v>
      </c>
    </row>
    <row r="21" spans="1:29" ht="28.5">
      <c r="A21" s="532"/>
      <c r="B21" s="2570"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79"/>
      <c r="Q21" s="2558" t="str">
        <f>B21</f>
        <v>基础设施水平</v>
      </c>
      <c r="R21" s="1573" t="s">
        <v>8</v>
      </c>
      <c r="S21" s="1574">
        <f>F21</f>
        <v>100</v>
      </c>
      <c r="T21" s="1573" t="s">
        <v>8</v>
      </c>
      <c r="U21" s="1574">
        <f>H21</f>
        <v>100</v>
      </c>
      <c r="V21" s="1573" t="s">
        <v>8</v>
      </c>
      <c r="W21" s="1574">
        <f>J21</f>
        <v>100</v>
      </c>
      <c r="X21" s="2560"/>
      <c r="Y21" s="3479"/>
      <c r="Z21" s="2559"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581"/>
      <c r="L22" s="2142"/>
      <c r="M22" s="2134"/>
      <c r="N22" s="2134"/>
      <c r="O22" s="2141"/>
      <c r="P22" s="3479"/>
      <c r="Q22" s="2558"/>
      <c r="R22" s="1573"/>
      <c r="S22" s="1574"/>
      <c r="T22" s="1573"/>
      <c r="U22" s="1574"/>
      <c r="V22" s="1573"/>
      <c r="W22" s="1574"/>
      <c r="X22" s="2560"/>
      <c r="Y22" s="3479"/>
      <c r="Z22" s="2559"/>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79"/>
      <c r="Q23" s="1572" t="str">
        <f>B23</f>
        <v>环境质量</v>
      </c>
      <c r="R23" s="1573" t="s">
        <v>8</v>
      </c>
      <c r="S23" s="1574">
        <f>F23</f>
        <v>100</v>
      </c>
      <c r="T23" s="1573" t="s">
        <v>8</v>
      </c>
      <c r="U23" s="1574">
        <f>H23</f>
        <v>100</v>
      </c>
      <c r="V23" s="1573" t="s">
        <v>8</v>
      </c>
      <c r="W23" s="1574">
        <f>J23</f>
        <v>100</v>
      </c>
      <c r="X23" s="1567"/>
      <c r="Y23" s="3479"/>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2"/>
      <c r="M24" s="2134"/>
      <c r="N24" s="2134"/>
      <c r="O24" s="2141"/>
      <c r="P24" s="3479"/>
      <c r="Q24" s="1572"/>
      <c r="R24" s="1573"/>
      <c r="S24" s="1574"/>
      <c r="T24" s="1573"/>
      <c r="U24" s="1574"/>
      <c r="V24" s="1573"/>
      <c r="W24" s="1574"/>
      <c r="X24" s="1567"/>
      <c r="Y24" s="3479"/>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79"/>
      <c r="Q25" s="1572">
        <f>B25</f>
        <v>111</v>
      </c>
      <c r="R25" s="1573" t="s">
        <v>8</v>
      </c>
      <c r="S25" s="1574">
        <f>F25</f>
        <v>100</v>
      </c>
      <c r="T25" s="1573" t="s">
        <v>8</v>
      </c>
      <c r="U25" s="1574">
        <f>H25</f>
        <v>100</v>
      </c>
      <c r="V25" s="1573" t="s">
        <v>8</v>
      </c>
      <c r="W25" s="1574">
        <f>J25</f>
        <v>100</v>
      </c>
      <c r="X25" s="1567"/>
      <c r="Y25" s="3479"/>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79"/>
      <c r="Q26" s="1572">
        <f t="shared" ref="Q26:Q40" si="11">B26</f>
        <v>111</v>
      </c>
      <c r="R26" s="1573" t="s">
        <v>8</v>
      </c>
      <c r="S26" s="1574">
        <f>F26</f>
        <v>100</v>
      </c>
      <c r="T26" s="1573" t="s">
        <v>8</v>
      </c>
      <c r="U26" s="1574">
        <f>H26</f>
        <v>100</v>
      </c>
      <c r="V26" s="1573" t="s">
        <v>8</v>
      </c>
      <c r="W26" s="1574">
        <f>J26</f>
        <v>100</v>
      </c>
      <c r="X26" s="1567"/>
      <c r="Y26" s="3479"/>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79"/>
      <c r="Q27" s="1151">
        <f t="shared" si="11"/>
        <v>111</v>
      </c>
      <c r="R27" s="1568" t="s">
        <v>8</v>
      </c>
      <c r="S27" s="1569">
        <f>F27</f>
        <v>100</v>
      </c>
      <c r="T27" s="1568" t="s">
        <v>8</v>
      </c>
      <c r="U27" s="1569">
        <f>H27</f>
        <v>100</v>
      </c>
      <c r="V27" s="1568" t="s">
        <v>8</v>
      </c>
      <c r="W27" s="1569">
        <f>J27</f>
        <v>100</v>
      </c>
      <c r="X27" s="1570"/>
      <c r="Y27" s="3479"/>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79"/>
      <c r="Q28" s="1572">
        <f t="shared" si="11"/>
        <v>111</v>
      </c>
      <c r="R28" s="1573" t="s">
        <v>8</v>
      </c>
      <c r="S28" s="1574">
        <f t="shared" ref="S28:S40" si="12">F28</f>
        <v>100</v>
      </c>
      <c r="T28" s="1573" t="s">
        <v>8</v>
      </c>
      <c r="U28" s="1574">
        <f t="shared" ref="U28:U40" si="13">H28</f>
        <v>100</v>
      </c>
      <c r="V28" s="1573" t="s">
        <v>8</v>
      </c>
      <c r="W28" s="1574">
        <f t="shared" ref="W28:W40" si="14">J28</f>
        <v>100</v>
      </c>
      <c r="X28" s="1567"/>
      <c r="Y28" s="3479"/>
      <c r="Z28" s="1575">
        <f t="shared" ref="Z28:Z40" si="15">Q28</f>
        <v>111</v>
      </c>
      <c r="AA28" s="1576">
        <f t="shared" si="3"/>
        <v>1</v>
      </c>
      <c r="AB28" s="1576">
        <f t="shared" si="4"/>
        <v>1</v>
      </c>
      <c r="AC28" s="1576">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80" t="s">
        <v>550</v>
      </c>
      <c r="Q29" s="1572" t="str">
        <f t="shared" si="11"/>
        <v>建筑类型</v>
      </c>
      <c r="R29" s="1573" t="s">
        <v>8</v>
      </c>
      <c r="S29" s="1574">
        <f t="shared" si="12"/>
        <v>100</v>
      </c>
      <c r="T29" s="1573" t="s">
        <v>8</v>
      </c>
      <c r="U29" s="1574">
        <f t="shared" si="13"/>
        <v>100</v>
      </c>
      <c r="V29" s="1573" t="s">
        <v>8</v>
      </c>
      <c r="W29" s="1574">
        <f t="shared" si="14"/>
        <v>100</v>
      </c>
      <c r="X29" s="1567"/>
      <c r="Y29" s="3481" t="s">
        <v>550</v>
      </c>
      <c r="Z29" s="1575" t="str">
        <f t="shared" si="15"/>
        <v>建筑类型</v>
      </c>
      <c r="AA29" s="1576">
        <f t="shared" si="3"/>
        <v>1</v>
      </c>
      <c r="AB29" s="1576">
        <f t="shared" si="4"/>
        <v>1</v>
      </c>
      <c r="AC29" s="1576">
        <f t="shared" si="5"/>
        <v>1</v>
      </c>
    </row>
    <row r="30" spans="1:29" s="1338"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81"/>
      <c r="Q30" s="1605" t="str">
        <f t="shared" si="11"/>
        <v>项目建筑规模</v>
      </c>
      <c r="R30" s="1577" t="s">
        <v>8</v>
      </c>
      <c r="S30" s="1578" t="e">
        <f t="shared" si="12"/>
        <v>#N/A</v>
      </c>
      <c r="T30" s="1577" t="s">
        <v>8</v>
      </c>
      <c r="U30" s="1578" t="e">
        <f t="shared" si="13"/>
        <v>#N/A</v>
      </c>
      <c r="V30" s="1577" t="s">
        <v>8</v>
      </c>
      <c r="W30" s="1578" t="e">
        <f t="shared" si="14"/>
        <v>#N/A</v>
      </c>
      <c r="X30" s="1579"/>
      <c r="Y30" s="3481"/>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81"/>
      <c r="Q31" s="1572" t="str">
        <f t="shared" si="11"/>
        <v>建筑结构</v>
      </c>
      <c r="R31" s="1573" t="s">
        <v>8</v>
      </c>
      <c r="S31" s="1574">
        <f t="shared" si="12"/>
        <v>100</v>
      </c>
      <c r="T31" s="1573" t="s">
        <v>8</v>
      </c>
      <c r="U31" s="1574">
        <f t="shared" si="13"/>
        <v>100</v>
      </c>
      <c r="V31" s="1573" t="s">
        <v>8</v>
      </c>
      <c r="W31" s="1574">
        <f t="shared" si="14"/>
        <v>100</v>
      </c>
      <c r="X31" s="1567"/>
      <c r="Y31" s="3481"/>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81"/>
      <c r="Q32" s="1572" t="str">
        <f t="shared" si="11"/>
        <v>公共部分装修</v>
      </c>
      <c r="R32" s="1573" t="s">
        <v>8</v>
      </c>
      <c r="S32" s="1574">
        <f t="shared" si="12"/>
        <v>100</v>
      </c>
      <c r="T32" s="1573" t="s">
        <v>8</v>
      </c>
      <c r="U32" s="1574">
        <f t="shared" si="13"/>
        <v>100</v>
      </c>
      <c r="V32" s="1573" t="s">
        <v>8</v>
      </c>
      <c r="W32" s="1574">
        <f t="shared" si="14"/>
        <v>100</v>
      </c>
      <c r="X32" s="1567"/>
      <c r="Y32" s="3481"/>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81"/>
      <c r="Q33" s="1572" t="str">
        <f t="shared" si="11"/>
        <v>成新度</v>
      </c>
      <c r="R33" s="1573" t="s">
        <v>8</v>
      </c>
      <c r="S33" s="1574" t="e">
        <f t="shared" si="12"/>
        <v>#N/A</v>
      </c>
      <c r="T33" s="1573" t="s">
        <v>8</v>
      </c>
      <c r="U33" s="1574" t="e">
        <f t="shared" si="13"/>
        <v>#N/A</v>
      </c>
      <c r="V33" s="1573" t="s">
        <v>8</v>
      </c>
      <c r="W33" s="1574" t="e">
        <f t="shared" si="14"/>
        <v>#N/A</v>
      </c>
      <c r="X33" s="1567"/>
      <c r="Y33" s="3481"/>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81"/>
      <c r="Q34" s="1151" t="str">
        <f t="shared" si="11"/>
        <v>物业管理</v>
      </c>
      <c r="R34" s="1568" t="s">
        <v>8</v>
      </c>
      <c r="S34" s="1569">
        <f t="shared" si="12"/>
        <v>100</v>
      </c>
      <c r="T34" s="1568" t="s">
        <v>8</v>
      </c>
      <c r="U34" s="1569">
        <f t="shared" si="13"/>
        <v>100</v>
      </c>
      <c r="V34" s="1568" t="s">
        <v>8</v>
      </c>
      <c r="W34" s="1569">
        <f t="shared" si="14"/>
        <v>100</v>
      </c>
      <c r="X34" s="1570"/>
      <c r="Y34" s="3481"/>
      <c r="Z34" s="1150" t="str">
        <f t="shared" si="15"/>
        <v>物业管理</v>
      </c>
      <c r="AA34" s="1571">
        <f t="shared" si="3"/>
        <v>1</v>
      </c>
      <c r="AB34" s="1571">
        <f t="shared" si="4"/>
        <v>1</v>
      </c>
      <c r="AC34" s="1571">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81" t="s">
        <v>550</v>
      </c>
      <c r="Q35" s="1572" t="str">
        <f t="shared" si="11"/>
        <v>市政基础设施</v>
      </c>
      <c r="R35" s="1573" t="s">
        <v>8</v>
      </c>
      <c r="S35" s="1574">
        <f t="shared" si="12"/>
        <v>100</v>
      </c>
      <c r="T35" s="1573" t="s">
        <v>8</v>
      </c>
      <c r="U35" s="1574">
        <f t="shared" si="13"/>
        <v>100</v>
      </c>
      <c r="V35" s="1573" t="s">
        <v>8</v>
      </c>
      <c r="W35" s="1574">
        <f t="shared" si="14"/>
        <v>100</v>
      </c>
      <c r="X35" s="1567"/>
      <c r="Y35" s="3481"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81"/>
      <c r="Q36" s="1572" t="str">
        <f t="shared" si="11"/>
        <v>内部装修</v>
      </c>
      <c r="R36" s="1573" t="s">
        <v>8</v>
      </c>
      <c r="S36" s="1574">
        <f t="shared" si="12"/>
        <v>100</v>
      </c>
      <c r="T36" s="1573" t="s">
        <v>8</v>
      </c>
      <c r="U36" s="1574">
        <f t="shared" si="13"/>
        <v>100</v>
      </c>
      <c r="V36" s="1573" t="s">
        <v>8</v>
      </c>
      <c r="W36" s="1574">
        <f t="shared" si="14"/>
        <v>100</v>
      </c>
      <c r="X36" s="1567"/>
      <c r="Y36" s="3481"/>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81"/>
      <c r="Q37" s="1572" t="str">
        <f t="shared" si="11"/>
        <v>内部装修状况</v>
      </c>
      <c r="R37" s="1573" t="s">
        <v>8</v>
      </c>
      <c r="S37" s="1574">
        <f t="shared" si="12"/>
        <v>100</v>
      </c>
      <c r="T37" s="1573" t="s">
        <v>8</v>
      </c>
      <c r="U37" s="1574">
        <f t="shared" si="13"/>
        <v>100</v>
      </c>
      <c r="V37" s="1573" t="s">
        <v>8</v>
      </c>
      <c r="W37" s="1574">
        <f t="shared" si="14"/>
        <v>100</v>
      </c>
      <c r="X37" s="1567"/>
      <c r="Y37" s="3481"/>
      <c r="Z37" s="1575" t="str">
        <f t="shared" si="15"/>
        <v>内部装修状况</v>
      </c>
      <c r="AA37" s="1576">
        <f t="shared" si="3"/>
        <v>1</v>
      </c>
      <c r="AB37" s="1576">
        <f t="shared" si="4"/>
        <v>1</v>
      </c>
      <c r="AC37" s="1576">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81"/>
      <c r="Q38" s="1605">
        <f t="shared" si="11"/>
        <v>111</v>
      </c>
      <c r="R38" s="1577" t="s">
        <v>8</v>
      </c>
      <c r="S38" s="1578">
        <f t="shared" si="12"/>
        <v>100</v>
      </c>
      <c r="T38" s="1577" t="s">
        <v>8</v>
      </c>
      <c r="U38" s="1578">
        <f t="shared" si="13"/>
        <v>100</v>
      </c>
      <c r="V38" s="1577" t="s">
        <v>8</v>
      </c>
      <c r="W38" s="1578">
        <f t="shared" si="14"/>
        <v>100</v>
      </c>
      <c r="X38" s="1579"/>
      <c r="Y38" s="3481"/>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81"/>
      <c r="Q39" s="1572">
        <f t="shared" si="11"/>
        <v>111</v>
      </c>
      <c r="R39" s="1573" t="s">
        <v>8</v>
      </c>
      <c r="S39" s="1574">
        <f t="shared" si="12"/>
        <v>100</v>
      </c>
      <c r="T39" s="1573" t="s">
        <v>8</v>
      </c>
      <c r="U39" s="1574">
        <f t="shared" si="13"/>
        <v>100</v>
      </c>
      <c r="V39" s="1573" t="s">
        <v>8</v>
      </c>
      <c r="W39" s="1574">
        <f t="shared" si="14"/>
        <v>100</v>
      </c>
      <c r="X39" s="1567"/>
      <c r="Y39" s="3481"/>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82"/>
      <c r="Q40" s="1572">
        <f t="shared" si="11"/>
        <v>111</v>
      </c>
      <c r="R40" s="1573" t="s">
        <v>8</v>
      </c>
      <c r="S40" s="1574">
        <f t="shared" si="12"/>
        <v>100</v>
      </c>
      <c r="T40" s="1573" t="s">
        <v>8</v>
      </c>
      <c r="U40" s="1574">
        <f t="shared" si="13"/>
        <v>100</v>
      </c>
      <c r="V40" s="1573" t="s">
        <v>8</v>
      </c>
      <c r="W40" s="1574">
        <f t="shared" si="14"/>
        <v>100</v>
      </c>
      <c r="X40" s="1567"/>
      <c r="Y40" s="3482"/>
      <c r="Z40" s="1575">
        <f t="shared" si="15"/>
        <v>111</v>
      </c>
      <c r="AA40" s="1576">
        <f t="shared" si="3"/>
        <v>1</v>
      </c>
      <c r="AB40" s="1576">
        <f t="shared" si="4"/>
        <v>1</v>
      </c>
      <c r="AC40" s="1576">
        <f t="shared" si="5"/>
        <v>1</v>
      </c>
    </row>
    <row r="41" spans="1:29" ht="15">
      <c r="A41" s="607" t="s">
        <v>736</v>
      </c>
      <c r="B41" s="887"/>
      <c r="C41" s="2606" t="s">
        <v>1</v>
      </c>
      <c r="D41" s="2607"/>
      <c r="E41" s="2608"/>
      <c r="F41" s="2609"/>
      <c r="G41" s="2610"/>
      <c r="H41" s="2611"/>
      <c r="I41" s="2608"/>
      <c r="J41" s="2611"/>
      <c r="K41" s="1611"/>
      <c r="L41" s="2144"/>
      <c r="M41" s="2145"/>
      <c r="N41" s="2134"/>
      <c r="O41" s="2145"/>
      <c r="P41" s="3473" t="str">
        <f>A41</f>
        <v>成交单价（元/平方米）</v>
      </c>
      <c r="Q41" s="3473"/>
      <c r="R41" s="3474">
        <f>E41</f>
        <v>0</v>
      </c>
      <c r="S41" s="3474"/>
      <c r="T41" s="3474">
        <f>G41</f>
        <v>0</v>
      </c>
      <c r="U41" s="3474"/>
      <c r="V41" s="3474">
        <f>I41</f>
        <v>0</v>
      </c>
      <c r="W41" s="3474"/>
      <c r="X41" s="1559"/>
      <c r="Y41" s="1581"/>
      <c r="Z41" s="1559"/>
      <c r="AA41" s="1559"/>
      <c r="AB41" s="1559"/>
      <c r="AC41" s="1559"/>
    </row>
    <row r="42" spans="1:29" ht="15.75" thickBot="1">
      <c r="A42" s="615" t="s">
        <v>2761</v>
      </c>
      <c r="B42" s="888"/>
      <c r="C42" s="2612" t="e">
        <f>R43</f>
        <v>#DIV/0!</v>
      </c>
      <c r="D42" s="2613"/>
      <c r="E42" s="2614" t="e">
        <f>R42</f>
        <v>#DIV/0!</v>
      </c>
      <c r="F42" s="2614"/>
      <c r="G42" s="2612" t="e">
        <f>T42</f>
        <v>#DIV/0!</v>
      </c>
      <c r="H42" s="2613"/>
      <c r="I42" s="2614" t="e">
        <f>V42</f>
        <v>#DIV/0!</v>
      </c>
      <c r="J42" s="2613"/>
      <c r="K42" s="1612"/>
      <c r="L42" s="2144"/>
      <c r="M42" s="2145"/>
      <c r="N42" s="2134"/>
      <c r="O42" s="2145"/>
      <c r="P42" s="3473" t="str">
        <f>A42</f>
        <v>比较价格（元/平方米）</v>
      </c>
      <c r="Q42" s="3473"/>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59"/>
      <c r="Y42" s="1559"/>
      <c r="Z42" s="1559"/>
      <c r="AA42" s="1559"/>
      <c r="AB42" s="1559"/>
      <c r="AC42" s="1559"/>
    </row>
    <row r="43" spans="1:29" ht="15.75" thickBot="1">
      <c r="A43" s="621" t="s">
        <v>2932</v>
      </c>
      <c r="B43" s="622"/>
      <c r="C43" s="2615" t="e">
        <f>R43</f>
        <v>#DIV/0!</v>
      </c>
      <c r="D43" s="2615"/>
      <c r="E43" s="2615"/>
      <c r="F43" s="2615"/>
      <c r="G43" s="2615"/>
      <c r="H43" s="2615"/>
      <c r="I43" s="2615"/>
      <c r="J43" s="2615"/>
      <c r="K43" s="1613"/>
      <c r="L43" s="2144"/>
      <c r="M43" s="2145"/>
      <c r="N43" s="2145"/>
      <c r="O43" s="2145"/>
      <c r="P43" s="3475" t="str">
        <f>A43</f>
        <v>估价对象XX用房的比较价格（楼面单价，元/平方米）</v>
      </c>
      <c r="Q43" s="3476"/>
      <c r="R43" s="3477" t="e">
        <f>IF(F1="售价",ROUND(AVERAGE(R42:V42),0),ROUND(AVERAGE(R42:V42),1))</f>
        <v>#DIV/0!</v>
      </c>
      <c r="S43" s="3477"/>
      <c r="T43" s="3477"/>
      <c r="U43" s="3477"/>
      <c r="V43" s="3477"/>
      <c r="W43" s="3477"/>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574</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5" t="s">
        <v>529</v>
      </c>
      <c r="B52" s="646"/>
      <c r="C52" s="2781" t="str">
        <f>YEAR(C7)&amp;"-"&amp;MONTH(C7)</f>
        <v>2018-10</v>
      </c>
      <c r="D52" s="2783">
        <f>EDATE(C52,-1)</f>
        <v>43344</v>
      </c>
      <c r="E52" s="2783">
        <f t="shared" ref="E52:O52" si="16">EDATE(D52,-1)</f>
        <v>43313</v>
      </c>
      <c r="F52" s="2783">
        <f t="shared" si="16"/>
        <v>43282</v>
      </c>
      <c r="G52" s="2783">
        <f t="shared" si="16"/>
        <v>43252</v>
      </c>
      <c r="H52" s="2783">
        <f t="shared" si="16"/>
        <v>43221</v>
      </c>
      <c r="I52" s="2783">
        <f t="shared" si="16"/>
        <v>43191</v>
      </c>
      <c r="J52" s="2783">
        <f t="shared" si="16"/>
        <v>43160</v>
      </c>
      <c r="K52" s="2783">
        <f t="shared" si="16"/>
        <v>43132</v>
      </c>
      <c r="L52" s="2783">
        <f t="shared" si="16"/>
        <v>43101</v>
      </c>
      <c r="M52" s="2783">
        <f t="shared" si="16"/>
        <v>43070</v>
      </c>
      <c r="N52" s="2783">
        <f t="shared" si="16"/>
        <v>43040</v>
      </c>
      <c r="O52" s="2783">
        <f t="shared" si="16"/>
        <v>43009</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2558</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76" t="s">
        <v>2559</v>
      </c>
      <c r="C76" s="2577" t="s">
        <v>2560</v>
      </c>
      <c r="D76" s="2577" t="s">
        <v>2561</v>
      </c>
      <c r="E76" s="2577" t="s">
        <v>2562</v>
      </c>
      <c r="F76" s="2577" t="s">
        <v>2563</v>
      </c>
      <c r="G76" s="2577" t="s">
        <v>2564</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受贵公司委托，我公司对北京市国有建设用地使用权市场价格进行了预评估。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国有建设用地使用权。根据《国有土地使用证》[]，估价对象（分摊）出让国有建设用地使用权面积为78298.68平方米。根据《建设工程规划许可证》[]、《出让合同》[]，估价对象规划建筑面积为400500平方米。</v>
      </c>
    </row>
    <row r="7" spans="1:4" ht="93.75">
      <c r="A7" s="2852" t="s">
        <v>2749</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本次评估为委托估价方了解标的物之市场价格提供参考依据而评估国有建设用地使用权市场价格。</v>
      </c>
    </row>
    <row r="10" spans="1:4" ht="18.75">
      <c r="A10" s="1797" t="s">
        <v>2027</v>
      </c>
    </row>
    <row r="11" spans="1:4" ht="18.75">
      <c r="A11" s="1780" t="str">
        <f>TEXT(项目基本情况!D3,"yyyy年m月d日;;")&amp;IF(项目基本情况!B3=项目基本情况!D3,"（评估专业人员勘察现场之日）","")</f>
        <v>2018年10月15日</v>
      </c>
    </row>
    <row r="12" spans="1:4" ht="18.75">
      <c r="A12" s="1797" t="s">
        <v>2026</v>
      </c>
    </row>
    <row r="13" spans="1:4" ht="18.75">
      <c r="A13" s="1791" t="s">
        <v>2072</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根据《国有土地使用证》[]，估价对象（分摊）出让国有建设用地使用权面积为78298.68平方米。根据《建设工程规划许可证》[]、《出让合同》[]，估价对象规划建筑面积为400500平方米。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54" t="s">
        <v>2750</v>
      </c>
    </row>
    <row r="24" spans="1:1" ht="18.75">
      <c r="A24" s="1791" t="s">
        <v>2076</v>
      </c>
    </row>
    <row r="25" spans="1:1" ht="150">
      <c r="A25" s="1791"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2018年10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91" t="str">
        <f>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办公'!L4&amp;"、"&amp;'结果表-办公'!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3"/>
      <c r="C1" s="504" t="s">
        <v>792</v>
      </c>
      <c r="D1" s="849"/>
      <c r="E1" s="506"/>
      <c r="F1" s="2786"/>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486" t="s">
        <v>798</v>
      </c>
      <c r="D4" s="3487"/>
      <c r="E4" s="3486" t="s">
        <v>799</v>
      </c>
      <c r="F4" s="3487"/>
      <c r="G4" s="3486" t="s">
        <v>800</v>
      </c>
      <c r="H4" s="3487"/>
      <c r="I4" s="3486" t="s">
        <v>801</v>
      </c>
      <c r="J4" s="3487"/>
      <c r="K4" s="514" t="s">
        <v>802</v>
      </c>
      <c r="L4" s="2133"/>
      <c r="M4" s="2134"/>
      <c r="N4" s="2134"/>
      <c r="O4" s="2134"/>
      <c r="P4" s="3490" t="s">
        <v>803</v>
      </c>
      <c r="Q4" s="3491"/>
      <c r="R4" s="3496" t="s">
        <v>799</v>
      </c>
      <c r="S4" s="3497"/>
      <c r="T4" s="3496" t="s">
        <v>800</v>
      </c>
      <c r="U4" s="3497"/>
      <c r="V4" s="3502" t="s">
        <v>801</v>
      </c>
      <c r="W4" s="3502"/>
      <c r="X4" s="1567"/>
      <c r="Y4" s="3496" t="s">
        <v>803</v>
      </c>
      <c r="Z4" s="3497"/>
      <c r="AA4" s="3483" t="s">
        <v>799</v>
      </c>
      <c r="AB4" s="3484" t="s">
        <v>800</v>
      </c>
      <c r="AC4" s="3483" t="s">
        <v>801</v>
      </c>
    </row>
    <row r="5" spans="1:29" ht="15">
      <c r="A5" s="515"/>
      <c r="B5" s="516"/>
      <c r="C5" s="3510" t="s">
        <v>2926</v>
      </c>
      <c r="D5" s="3506"/>
      <c r="E5" s="3510" t="s">
        <v>2927</v>
      </c>
      <c r="F5" s="3506"/>
      <c r="G5" s="3510" t="s">
        <v>2928</v>
      </c>
      <c r="H5" s="3506"/>
      <c r="I5" s="3510" t="s">
        <v>2929</v>
      </c>
      <c r="J5" s="3506"/>
      <c r="K5" s="514"/>
      <c r="L5" s="2133"/>
      <c r="M5" s="2134"/>
      <c r="N5" s="2134"/>
      <c r="O5" s="2134"/>
      <c r="P5" s="3492"/>
      <c r="Q5" s="3493"/>
      <c r="R5" s="3498"/>
      <c r="S5" s="3499"/>
      <c r="T5" s="3498"/>
      <c r="U5" s="3499"/>
      <c r="V5" s="3502"/>
      <c r="W5" s="3502"/>
      <c r="X5" s="1567"/>
      <c r="Y5" s="3498"/>
      <c r="Z5" s="3499"/>
      <c r="AA5" s="3484"/>
      <c r="AB5" s="3484"/>
      <c r="AC5" s="3484"/>
    </row>
    <row r="6" spans="1:29" ht="15.75" thickBot="1">
      <c r="A6" s="517"/>
      <c r="B6" s="518"/>
      <c r="C6" s="3503" t="s">
        <v>2930</v>
      </c>
      <c r="D6" s="3504"/>
      <c r="E6" s="3517" t="s">
        <v>2930</v>
      </c>
      <c r="F6" s="3518"/>
      <c r="G6" s="3503" t="s">
        <v>2930</v>
      </c>
      <c r="H6" s="3504"/>
      <c r="I6" s="3503" t="s">
        <v>2930</v>
      </c>
      <c r="J6" s="3504"/>
      <c r="K6" s="514" t="s">
        <v>528</v>
      </c>
      <c r="L6" s="2133"/>
      <c r="M6" s="2134"/>
      <c r="N6" s="2134"/>
      <c r="O6" s="2134"/>
      <c r="P6" s="3494"/>
      <c r="Q6" s="3495"/>
      <c r="R6" s="3498"/>
      <c r="S6" s="3499"/>
      <c r="T6" s="3500"/>
      <c r="U6" s="3501"/>
      <c r="V6" s="3502"/>
      <c r="W6" s="3502"/>
      <c r="X6" s="1567"/>
      <c r="Y6" s="3500"/>
      <c r="Z6" s="3501"/>
      <c r="AA6" s="3485"/>
      <c r="AB6" s="3485"/>
      <c r="AC6" s="3485"/>
    </row>
    <row r="7" spans="1:29" s="1219" customFormat="1" ht="15.75" thickBot="1">
      <c r="A7" s="2891"/>
      <c r="B7" s="2898" t="s">
        <v>529</v>
      </c>
      <c r="C7" s="519">
        <f>'数据-取费表'!B2</f>
        <v>43388</v>
      </c>
      <c r="D7" s="520">
        <v>100</v>
      </c>
      <c r="E7" s="521"/>
      <c r="F7" s="522">
        <f>SUMIF(48:48,YEAR(E7)&amp;"-"&amp;MONTH(E7),49:49)</f>
        <v>0</v>
      </c>
      <c r="G7" s="523"/>
      <c r="H7" s="520">
        <f>SUMIF(48:48,YEAR(G7)&amp;"-"&amp;MONTH(G7),49:49)</f>
        <v>0</v>
      </c>
      <c r="I7" s="523"/>
      <c r="J7" s="520">
        <f>SUMIF(48:48,YEAR(I7)&amp;"-"&amp;MONTH(I7),49:49)</f>
        <v>0</v>
      </c>
      <c r="K7" s="524"/>
      <c r="L7" s="2135"/>
      <c r="M7" s="2136"/>
      <c r="N7" s="2136"/>
      <c r="O7" s="2136"/>
      <c r="P7" s="3507" t="s">
        <v>530</v>
      </c>
      <c r="Q7" s="3509"/>
      <c r="R7" s="1568" t="s">
        <v>8</v>
      </c>
      <c r="S7" s="1569">
        <f t="shared" ref="S7:S14" si="0">F7</f>
        <v>0</v>
      </c>
      <c r="T7" s="1568" t="s">
        <v>8</v>
      </c>
      <c r="U7" s="1569">
        <f t="shared" ref="U7:U14" si="1">H7</f>
        <v>0</v>
      </c>
      <c r="V7" s="1568" t="s">
        <v>8</v>
      </c>
      <c r="W7" s="1569">
        <f t="shared" ref="W7:W14" si="2">J7</f>
        <v>0</v>
      </c>
      <c r="X7" s="1570"/>
      <c r="Y7" s="3507" t="s">
        <v>530</v>
      </c>
      <c r="Z7" s="3508"/>
      <c r="AA7" s="1571" t="e">
        <f>D7/F7</f>
        <v>#DIV/0!</v>
      </c>
      <c r="AB7" s="1571" t="e">
        <f>D7/H7</f>
        <v>#DIV/0!</v>
      </c>
      <c r="AC7" s="1571" t="e">
        <f>D7/J7</f>
        <v>#DIV/0!</v>
      </c>
    </row>
    <row r="8" spans="1:29" s="1219"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507" t="s">
        <v>533</v>
      </c>
      <c r="Q8" s="3508"/>
      <c r="R8" s="1568" t="s">
        <v>8</v>
      </c>
      <c r="S8" s="1569">
        <f t="shared" si="0"/>
        <v>0</v>
      </c>
      <c r="T8" s="1568" t="s">
        <v>8</v>
      </c>
      <c r="U8" s="1569">
        <f t="shared" si="1"/>
        <v>0</v>
      </c>
      <c r="V8" s="1568" t="s">
        <v>8</v>
      </c>
      <c r="W8" s="1569">
        <f t="shared" si="2"/>
        <v>0</v>
      </c>
      <c r="X8" s="1570"/>
      <c r="Y8" s="3507" t="s">
        <v>533</v>
      </c>
      <c r="Z8" s="3508"/>
      <c r="AA8" s="1571" t="e">
        <f t="shared" ref="AA8:AA36" si="3">D8/F8</f>
        <v>#DIV/0!</v>
      </c>
      <c r="AB8" s="1571" t="e">
        <f t="shared" ref="AB8:AB36" si="4">D8/H8</f>
        <v>#DIV/0!</v>
      </c>
      <c r="AC8" s="1571" t="e">
        <f t="shared" ref="AC8:AC36" si="5">D8/J8</f>
        <v>#DIV/0!</v>
      </c>
    </row>
    <row r="9" spans="1:29" s="1219"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73" t="s">
        <v>535</v>
      </c>
      <c r="Q9" s="1151" t="str">
        <f t="shared" ref="Q9:Q14" si="6">B9</f>
        <v>用途</v>
      </c>
      <c r="R9" s="1568" t="s">
        <v>8</v>
      </c>
      <c r="S9" s="1569">
        <f t="shared" si="0"/>
        <v>100</v>
      </c>
      <c r="T9" s="1568" t="s">
        <v>8</v>
      </c>
      <c r="U9" s="1569">
        <f t="shared" si="1"/>
        <v>100</v>
      </c>
      <c r="V9" s="1568" t="s">
        <v>8</v>
      </c>
      <c r="W9" s="1569">
        <f t="shared" si="2"/>
        <v>100</v>
      </c>
      <c r="X9" s="1570"/>
      <c r="Y9" s="3434" t="s">
        <v>536</v>
      </c>
      <c r="Z9" s="1150" t="str">
        <f t="shared" ref="Z9:Z14" si="7">Q9</f>
        <v>用途</v>
      </c>
      <c r="AA9" s="1571">
        <f t="shared" si="3"/>
        <v>1</v>
      </c>
      <c r="AB9" s="1571">
        <f t="shared" si="4"/>
        <v>1</v>
      </c>
      <c r="AC9" s="1571">
        <f t="shared" si="5"/>
        <v>1</v>
      </c>
    </row>
    <row r="10" spans="1:29" s="1337"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73"/>
      <c r="Q10" s="1151" t="str">
        <f t="shared" si="6"/>
        <v>土地使用年限（年）</v>
      </c>
      <c r="R10" s="1568" t="s">
        <v>8</v>
      </c>
      <c r="S10" s="1569">
        <f t="shared" si="0"/>
        <v>100</v>
      </c>
      <c r="T10" s="1568" t="s">
        <v>8</v>
      </c>
      <c r="U10" s="1569">
        <f t="shared" si="1"/>
        <v>100</v>
      </c>
      <c r="V10" s="1568" t="s">
        <v>8</v>
      </c>
      <c r="W10" s="1569">
        <f t="shared" si="2"/>
        <v>100</v>
      </c>
      <c r="X10" s="1570"/>
      <c r="Y10" s="3434"/>
      <c r="Z10" s="1150" t="str">
        <f t="shared" si="7"/>
        <v>土地使用年限（年）</v>
      </c>
      <c r="AA10" s="1571">
        <f t="shared" si="3"/>
        <v>1</v>
      </c>
      <c r="AB10" s="1571">
        <f t="shared" si="4"/>
        <v>1</v>
      </c>
      <c r="AC10" s="1571">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73"/>
      <c r="Q11" s="1151">
        <f t="shared" si="6"/>
        <v>111</v>
      </c>
      <c r="R11" s="1568" t="s">
        <v>8</v>
      </c>
      <c r="S11" s="1569">
        <f t="shared" si="0"/>
        <v>100</v>
      </c>
      <c r="T11" s="1568" t="s">
        <v>8</v>
      </c>
      <c r="U11" s="1569">
        <f t="shared" si="1"/>
        <v>100</v>
      </c>
      <c r="V11" s="1568" t="s">
        <v>8</v>
      </c>
      <c r="W11" s="1569">
        <f t="shared" si="2"/>
        <v>100</v>
      </c>
      <c r="X11" s="1570"/>
      <c r="Y11" s="3434"/>
      <c r="Z11" s="1150">
        <f t="shared" si="7"/>
        <v>111</v>
      </c>
      <c r="AA11" s="1571">
        <f t="shared" si="3"/>
        <v>1</v>
      </c>
      <c r="AB11" s="1571">
        <f t="shared" si="4"/>
        <v>1</v>
      </c>
      <c r="AC11" s="1571">
        <f t="shared" si="5"/>
        <v>1</v>
      </c>
    </row>
    <row r="12" spans="1:29" s="1219"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73"/>
      <c r="Q12" s="1151">
        <f t="shared" si="6"/>
        <v>111</v>
      </c>
      <c r="R12" s="1568" t="s">
        <v>8</v>
      </c>
      <c r="S12" s="1569">
        <f t="shared" si="0"/>
        <v>100</v>
      </c>
      <c r="T12" s="1568" t="s">
        <v>8</v>
      </c>
      <c r="U12" s="1569">
        <f t="shared" si="1"/>
        <v>100</v>
      </c>
      <c r="V12" s="1568" t="s">
        <v>8</v>
      </c>
      <c r="W12" s="1569">
        <f t="shared" si="2"/>
        <v>100</v>
      </c>
      <c r="X12" s="1570"/>
      <c r="Y12" s="3434"/>
      <c r="Z12" s="1150">
        <f t="shared" si="7"/>
        <v>111</v>
      </c>
      <c r="AA12" s="1571">
        <f>D12/F12</f>
        <v>1</v>
      </c>
      <c r="AB12" s="1571">
        <f>D12/H12</f>
        <v>1</v>
      </c>
      <c r="AC12" s="1571">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73"/>
      <c r="Q13" s="1151">
        <f t="shared" si="6"/>
        <v>111</v>
      </c>
      <c r="R13" s="1568" t="s">
        <v>8</v>
      </c>
      <c r="S13" s="1569">
        <f t="shared" si="0"/>
        <v>100</v>
      </c>
      <c r="T13" s="1568" t="s">
        <v>8</v>
      </c>
      <c r="U13" s="1569">
        <f t="shared" si="1"/>
        <v>100</v>
      </c>
      <c r="V13" s="1568" t="s">
        <v>8</v>
      </c>
      <c r="W13" s="1569">
        <f t="shared" si="2"/>
        <v>100</v>
      </c>
      <c r="X13" s="1570"/>
      <c r="Y13" s="3434"/>
      <c r="Z13" s="1150">
        <f t="shared" si="7"/>
        <v>111</v>
      </c>
      <c r="AA13" s="1571">
        <f t="shared" si="3"/>
        <v>1</v>
      </c>
      <c r="AB13" s="1571">
        <f t="shared" si="4"/>
        <v>1</v>
      </c>
      <c r="AC13" s="1571">
        <f t="shared" si="5"/>
        <v>1</v>
      </c>
    </row>
    <row r="14" spans="1:29" ht="156.75">
      <c r="A14" s="2889" t="s">
        <v>2755</v>
      </c>
      <c r="B14" s="547" t="s">
        <v>543</v>
      </c>
      <c r="C14" s="921" t="str">
        <f>IF(B1="工业",估价对象房地状况!G4,估价对象房地状况!C6)</f>
        <v>估价对象周边有445路、516路、659路、983路等多条公交线路经过，距14号线地铁（将台站）约300米，道路状况较好、公共交通通达情况较好、综合评价交通便捷度较好。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78" t="s">
        <v>540</v>
      </c>
      <c r="Q14" s="1572" t="str">
        <f t="shared" si="6"/>
        <v>交通便捷度</v>
      </c>
      <c r="R14" s="1573" t="s">
        <v>8</v>
      </c>
      <c r="S14" s="1574">
        <f t="shared" si="0"/>
        <v>100</v>
      </c>
      <c r="T14" s="1573" t="s">
        <v>8</v>
      </c>
      <c r="U14" s="1574">
        <f t="shared" si="1"/>
        <v>100</v>
      </c>
      <c r="V14" s="1573" t="s">
        <v>8</v>
      </c>
      <c r="W14" s="1574">
        <f t="shared" si="2"/>
        <v>100</v>
      </c>
      <c r="X14" s="1567"/>
      <c r="Y14" s="3478"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2"/>
      <c r="M15" s="2134"/>
      <c r="N15" s="2134"/>
      <c r="O15" s="2141"/>
      <c r="P15" s="3479"/>
      <c r="Q15" s="1572"/>
      <c r="R15" s="1573"/>
      <c r="S15" s="1574"/>
      <c r="T15" s="1573"/>
      <c r="U15" s="1574"/>
      <c r="V15" s="1573"/>
      <c r="W15" s="1574"/>
      <c r="X15" s="1567"/>
      <c r="Y15" s="3479"/>
      <c r="Z15" s="1575"/>
      <c r="AA15" s="1576">
        <v>1</v>
      </c>
      <c r="AB15" s="1576">
        <v>1</v>
      </c>
      <c r="AC15" s="1576">
        <v>1</v>
      </c>
    </row>
    <row r="16" spans="1:29" ht="42.75">
      <c r="A16" s="515"/>
      <c r="B16" s="2582" t="s">
        <v>2547</v>
      </c>
      <c r="C16" s="872" t="str">
        <f>IF(B1="工业",估价对象房地状况!G5,估价对象房地状况!C7)</f>
        <v>估价对象所在区域公共配套设施齐备度较好</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79"/>
      <c r="Q16" s="1572" t="str">
        <f>B16</f>
        <v>公共配套设施</v>
      </c>
      <c r="R16" s="1573" t="s">
        <v>8</v>
      </c>
      <c r="S16" s="1574">
        <f>F16</f>
        <v>100</v>
      </c>
      <c r="T16" s="1573" t="s">
        <v>8</v>
      </c>
      <c r="U16" s="1574">
        <f>H16</f>
        <v>100</v>
      </c>
      <c r="V16" s="1573" t="s">
        <v>8</v>
      </c>
      <c r="W16" s="1574">
        <f>J16</f>
        <v>100</v>
      </c>
      <c r="X16" s="1567"/>
      <c r="Y16" s="3479"/>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2"/>
      <c r="M17" s="2134"/>
      <c r="N17" s="2134"/>
      <c r="O17" s="2141"/>
      <c r="P17" s="3479"/>
      <c r="Q17" s="1572"/>
      <c r="R17" s="1573"/>
      <c r="S17" s="1574"/>
      <c r="T17" s="1573"/>
      <c r="U17" s="1574"/>
      <c r="V17" s="1573"/>
      <c r="W17" s="1574"/>
      <c r="X17" s="1567"/>
      <c r="Y17" s="3479"/>
      <c r="Z17" s="1575"/>
      <c r="AA17" s="1576">
        <v>1</v>
      </c>
      <c r="AB17" s="1576">
        <v>1</v>
      </c>
      <c r="AC17" s="1576">
        <v>1</v>
      </c>
    </row>
    <row r="18" spans="1:29" ht="42.75">
      <c r="A18" s="515"/>
      <c r="B18" s="2570" t="s">
        <v>2559</v>
      </c>
      <c r="C18" s="872" t="str">
        <f>IF(B1="工业",估价对象房地状况!G6,估价对象房地状况!C8)</f>
        <v>估价对象所在区域基础设施水平达到七通一平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79"/>
      <c r="Q18" s="2558" t="str">
        <f>B18</f>
        <v>基础设施水平</v>
      </c>
      <c r="R18" s="1573" t="s">
        <v>8</v>
      </c>
      <c r="S18" s="1574">
        <f>F18</f>
        <v>100</v>
      </c>
      <c r="T18" s="1573" t="s">
        <v>8</v>
      </c>
      <c r="U18" s="1574">
        <f>H18</f>
        <v>100</v>
      </c>
      <c r="V18" s="1573" t="s">
        <v>8</v>
      </c>
      <c r="W18" s="1574">
        <f>J18</f>
        <v>100</v>
      </c>
      <c r="X18" s="2560"/>
      <c r="Y18" s="3479"/>
      <c r="Z18" s="2559"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581"/>
      <c r="L19" s="2142"/>
      <c r="M19" s="2134"/>
      <c r="N19" s="2134"/>
      <c r="O19" s="2141"/>
      <c r="P19" s="3479"/>
      <c r="Q19" s="2558"/>
      <c r="R19" s="1573"/>
      <c r="S19" s="1574"/>
      <c r="T19" s="1573"/>
      <c r="U19" s="1574"/>
      <c r="V19" s="1573"/>
      <c r="W19" s="1574"/>
      <c r="X19" s="2560"/>
      <c r="Y19" s="3479"/>
      <c r="Z19" s="2559"/>
      <c r="AA19" s="1576">
        <v>1</v>
      </c>
      <c r="AB19" s="1576">
        <v>1</v>
      </c>
      <c r="AC19" s="1576">
        <v>1</v>
      </c>
    </row>
    <row r="20" spans="1:29" ht="57">
      <c r="A20" s="515"/>
      <c r="B20" s="560" t="s">
        <v>804</v>
      </c>
      <c r="C20" s="872" t="str">
        <f>IF(B1="工业",估价对象房地状况!G7,估价对象房地状况!C9)</f>
        <v>区域自然环境：；人文环境；综合评价环境状况较好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79"/>
      <c r="Q20" s="1572" t="str">
        <f>B20</f>
        <v>自然及人文环境</v>
      </c>
      <c r="R20" s="1573" t="s">
        <v>8</v>
      </c>
      <c r="S20" s="1574">
        <f>F20</f>
        <v>100</v>
      </c>
      <c r="T20" s="1573" t="s">
        <v>8</v>
      </c>
      <c r="U20" s="1574">
        <f>H20</f>
        <v>100</v>
      </c>
      <c r="V20" s="1573" t="s">
        <v>8</v>
      </c>
      <c r="W20" s="1574">
        <f>J20</f>
        <v>100</v>
      </c>
      <c r="X20" s="1567"/>
      <c r="Y20" s="3479"/>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2"/>
      <c r="M21" s="2134"/>
      <c r="N21" s="2134"/>
      <c r="O21" s="2141"/>
      <c r="P21" s="3479"/>
      <c r="Q21" s="1572"/>
      <c r="R21" s="1573"/>
      <c r="S21" s="1574"/>
      <c r="T21" s="1573"/>
      <c r="U21" s="1574"/>
      <c r="V21" s="1573"/>
      <c r="W21" s="1574"/>
      <c r="X21" s="1567"/>
      <c r="Y21" s="3479"/>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79"/>
      <c r="Q22" s="1572" t="str">
        <f>B22</f>
        <v>楼层</v>
      </c>
      <c r="R22" s="1573" t="s">
        <v>8</v>
      </c>
      <c r="S22" s="1574">
        <f>F22</f>
        <v>100</v>
      </c>
      <c r="T22" s="1573" t="s">
        <v>8</v>
      </c>
      <c r="U22" s="1574">
        <f>H22</f>
        <v>100</v>
      </c>
      <c r="V22" s="1573" t="s">
        <v>8</v>
      </c>
      <c r="W22" s="1574">
        <f>J22</f>
        <v>100</v>
      </c>
      <c r="X22" s="1567"/>
      <c r="Y22" s="3479"/>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79"/>
      <c r="Q23" s="1572">
        <f>B23</f>
        <v>111</v>
      </c>
      <c r="R23" s="1573" t="s">
        <v>8</v>
      </c>
      <c r="S23" s="1574">
        <f>F23</f>
        <v>100</v>
      </c>
      <c r="T23" s="1573" t="s">
        <v>8</v>
      </c>
      <c r="U23" s="1574">
        <f>H23</f>
        <v>100</v>
      </c>
      <c r="V23" s="1573" t="s">
        <v>8</v>
      </c>
      <c r="W23" s="1574">
        <f>J23</f>
        <v>100</v>
      </c>
      <c r="X23" s="1567"/>
      <c r="Y23" s="3479"/>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79"/>
      <c r="Q24" s="1572">
        <f t="shared" ref="Q24:Q36" si="11">B24</f>
        <v>111</v>
      </c>
      <c r="R24" s="1573" t="s">
        <v>8</v>
      </c>
      <c r="S24" s="1574">
        <f>F24</f>
        <v>100</v>
      </c>
      <c r="T24" s="1573" t="s">
        <v>8</v>
      </c>
      <c r="U24" s="1574">
        <f>H24</f>
        <v>100</v>
      </c>
      <c r="V24" s="1573" t="s">
        <v>8</v>
      </c>
      <c r="W24" s="1574">
        <f>J24</f>
        <v>100</v>
      </c>
      <c r="X24" s="1567"/>
      <c r="Y24" s="3479"/>
      <c r="Z24" s="1575">
        <f>Q24</f>
        <v>111</v>
      </c>
      <c r="AA24" s="1576">
        <f t="shared" si="3"/>
        <v>1</v>
      </c>
      <c r="AB24" s="1576">
        <f t="shared" si="4"/>
        <v>1</v>
      </c>
      <c r="AC24" s="1576">
        <f t="shared" si="5"/>
        <v>1</v>
      </c>
    </row>
    <row r="25" spans="1:29" s="1219"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79"/>
      <c r="Q25" s="1151">
        <f t="shared" si="11"/>
        <v>111</v>
      </c>
      <c r="R25" s="1568" t="s">
        <v>8</v>
      </c>
      <c r="S25" s="1569">
        <f>F25</f>
        <v>100</v>
      </c>
      <c r="T25" s="1568" t="s">
        <v>8</v>
      </c>
      <c r="U25" s="1569">
        <f>H25</f>
        <v>100</v>
      </c>
      <c r="V25" s="1568" t="s">
        <v>8</v>
      </c>
      <c r="W25" s="1569">
        <f>J25</f>
        <v>100</v>
      </c>
      <c r="X25" s="1570"/>
      <c r="Y25" s="3479"/>
      <c r="Z25" s="1150">
        <f>Q25</f>
        <v>111</v>
      </c>
      <c r="AA25" s="1576">
        <f>D25/F25</f>
        <v>1</v>
      </c>
      <c r="AB25" s="1576">
        <f>D25/H25</f>
        <v>1</v>
      </c>
      <c r="AC25" s="1576">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80"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81" t="s">
        <v>550</v>
      </c>
      <c r="Z26" s="1575" t="str">
        <f t="shared" ref="Z26:Z36" si="15">Q26</f>
        <v>配套类型</v>
      </c>
      <c r="AA26" s="1576">
        <f t="shared" si="3"/>
        <v>1</v>
      </c>
      <c r="AB26" s="1576">
        <f t="shared" si="4"/>
        <v>1</v>
      </c>
      <c r="AC26" s="1576">
        <f t="shared" si="5"/>
        <v>1</v>
      </c>
    </row>
    <row r="27" spans="1:29" s="1338"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81"/>
      <c r="Q27" s="1605" t="str">
        <f t="shared" si="11"/>
        <v>项目停车位配比</v>
      </c>
      <c r="R27" s="1577" t="s">
        <v>8</v>
      </c>
      <c r="S27" s="1578">
        <f t="shared" si="12"/>
        <v>100</v>
      </c>
      <c r="T27" s="1577" t="s">
        <v>8</v>
      </c>
      <c r="U27" s="1578">
        <f t="shared" si="13"/>
        <v>100</v>
      </c>
      <c r="V27" s="1577" t="s">
        <v>8</v>
      </c>
      <c r="W27" s="1578">
        <f t="shared" si="14"/>
        <v>100</v>
      </c>
      <c r="X27" s="1579"/>
      <c r="Y27" s="3481"/>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81"/>
      <c r="Q28" s="1572" t="str">
        <f t="shared" si="11"/>
        <v>公共部分装修</v>
      </c>
      <c r="R28" s="1573" t="s">
        <v>8</v>
      </c>
      <c r="S28" s="1574">
        <f t="shared" si="12"/>
        <v>100</v>
      </c>
      <c r="T28" s="1573" t="s">
        <v>8</v>
      </c>
      <c r="U28" s="1574">
        <f t="shared" si="13"/>
        <v>100</v>
      </c>
      <c r="V28" s="1573" t="s">
        <v>8</v>
      </c>
      <c r="W28" s="1574">
        <f t="shared" si="14"/>
        <v>100</v>
      </c>
      <c r="X28" s="1567"/>
      <c r="Y28" s="3481"/>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81"/>
      <c r="Q29" s="1572" t="str">
        <f t="shared" si="11"/>
        <v>成新率</v>
      </c>
      <c r="R29" s="1573" t="s">
        <v>8</v>
      </c>
      <c r="S29" s="1574" t="e">
        <f t="shared" si="12"/>
        <v>#N/A</v>
      </c>
      <c r="T29" s="1573" t="s">
        <v>8</v>
      </c>
      <c r="U29" s="1574" t="e">
        <f t="shared" si="13"/>
        <v>#N/A</v>
      </c>
      <c r="V29" s="1573" t="s">
        <v>8</v>
      </c>
      <c r="W29" s="1574" t="e">
        <f t="shared" si="14"/>
        <v>#N/A</v>
      </c>
      <c r="X29" s="1567"/>
      <c r="Y29" s="3481"/>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81"/>
      <c r="Q30" s="1572" t="str">
        <f t="shared" si="11"/>
        <v>物业等级</v>
      </c>
      <c r="R30" s="1573" t="s">
        <v>8</v>
      </c>
      <c r="S30" s="1574">
        <f t="shared" si="12"/>
        <v>100</v>
      </c>
      <c r="T30" s="1573" t="s">
        <v>8</v>
      </c>
      <c r="U30" s="1574">
        <f t="shared" si="13"/>
        <v>100</v>
      </c>
      <c r="V30" s="1573" t="s">
        <v>8</v>
      </c>
      <c r="W30" s="1574">
        <f t="shared" si="14"/>
        <v>100</v>
      </c>
      <c r="X30" s="1567"/>
      <c r="Y30" s="3481"/>
      <c r="Z30" s="1575" t="str">
        <f t="shared" si="15"/>
        <v>物业等级</v>
      </c>
      <c r="AA30" s="1576">
        <f t="shared" si="3"/>
        <v>1</v>
      </c>
      <c r="AB30" s="1576">
        <f t="shared" si="4"/>
        <v>1</v>
      </c>
      <c r="AC30" s="1576">
        <f t="shared" si="5"/>
        <v>1</v>
      </c>
    </row>
    <row r="31" spans="1:29" s="1219"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81"/>
      <c r="Q31" s="1151" t="str">
        <f t="shared" si="11"/>
        <v>停车位面积</v>
      </c>
      <c r="R31" s="1568" t="s">
        <v>8</v>
      </c>
      <c r="S31" s="1569" t="e">
        <f t="shared" si="12"/>
        <v>#N/A</v>
      </c>
      <c r="T31" s="1568" t="s">
        <v>8</v>
      </c>
      <c r="U31" s="1569" t="e">
        <f t="shared" si="13"/>
        <v>#N/A</v>
      </c>
      <c r="V31" s="1568" t="s">
        <v>8</v>
      </c>
      <c r="W31" s="1569" t="e">
        <f t="shared" si="14"/>
        <v>#N/A</v>
      </c>
      <c r="X31" s="1570"/>
      <c r="Y31" s="3481"/>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81" t="s">
        <v>550</v>
      </c>
      <c r="Q32" s="1572" t="str">
        <f t="shared" si="11"/>
        <v>车位类型</v>
      </c>
      <c r="R32" s="1573" t="s">
        <v>8</v>
      </c>
      <c r="S32" s="1574">
        <f t="shared" si="12"/>
        <v>100</v>
      </c>
      <c r="T32" s="1573" t="s">
        <v>8</v>
      </c>
      <c r="U32" s="1574">
        <f t="shared" si="13"/>
        <v>100</v>
      </c>
      <c r="V32" s="1573" t="s">
        <v>8</v>
      </c>
      <c r="W32" s="1574">
        <f t="shared" si="14"/>
        <v>100</v>
      </c>
      <c r="X32" s="1567"/>
      <c r="Y32" s="3481"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81"/>
      <c r="Q33" s="1572" t="str">
        <f t="shared" si="11"/>
        <v>是否直接入户</v>
      </c>
      <c r="R33" s="1573" t="s">
        <v>8</v>
      </c>
      <c r="S33" s="1574">
        <f t="shared" si="12"/>
        <v>100</v>
      </c>
      <c r="T33" s="1573" t="s">
        <v>8</v>
      </c>
      <c r="U33" s="1574">
        <f t="shared" si="13"/>
        <v>100</v>
      </c>
      <c r="V33" s="1573" t="s">
        <v>8</v>
      </c>
      <c r="W33" s="1574">
        <f t="shared" si="14"/>
        <v>100</v>
      </c>
      <c r="X33" s="1567"/>
      <c r="Y33" s="3481"/>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81"/>
      <c r="Q34" s="1572">
        <f t="shared" si="11"/>
        <v>111</v>
      </c>
      <c r="R34" s="1573" t="s">
        <v>8</v>
      </c>
      <c r="S34" s="1574">
        <f t="shared" si="12"/>
        <v>100</v>
      </c>
      <c r="T34" s="1573" t="s">
        <v>8</v>
      </c>
      <c r="U34" s="1574">
        <f t="shared" si="13"/>
        <v>100</v>
      </c>
      <c r="V34" s="1573" t="s">
        <v>8</v>
      </c>
      <c r="W34" s="1574">
        <f t="shared" si="14"/>
        <v>100</v>
      </c>
      <c r="X34" s="1567"/>
      <c r="Y34" s="3481"/>
      <c r="Z34" s="1575">
        <f t="shared" si="15"/>
        <v>111</v>
      </c>
      <c r="AA34" s="1576">
        <f t="shared" si="3"/>
        <v>1</v>
      </c>
      <c r="AB34" s="1576">
        <f t="shared" si="4"/>
        <v>1</v>
      </c>
      <c r="AC34" s="1576">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81"/>
      <c r="Q35" s="1605">
        <f t="shared" si="11"/>
        <v>111</v>
      </c>
      <c r="R35" s="1577" t="s">
        <v>8</v>
      </c>
      <c r="S35" s="1578">
        <f t="shared" si="12"/>
        <v>100</v>
      </c>
      <c r="T35" s="1577" t="s">
        <v>8</v>
      </c>
      <c r="U35" s="1578">
        <f t="shared" si="13"/>
        <v>100</v>
      </c>
      <c r="V35" s="1577" t="s">
        <v>8</v>
      </c>
      <c r="W35" s="1578">
        <f t="shared" si="14"/>
        <v>100</v>
      </c>
      <c r="X35" s="1579"/>
      <c r="Y35" s="3481"/>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81"/>
      <c r="Q36" s="1572">
        <f t="shared" si="11"/>
        <v>111</v>
      </c>
      <c r="R36" s="1573" t="s">
        <v>8</v>
      </c>
      <c r="S36" s="1574">
        <f t="shared" si="12"/>
        <v>100</v>
      </c>
      <c r="T36" s="1573" t="s">
        <v>8</v>
      </c>
      <c r="U36" s="1574">
        <f t="shared" si="13"/>
        <v>100</v>
      </c>
      <c r="V36" s="1573" t="s">
        <v>8</v>
      </c>
      <c r="W36" s="1574">
        <f t="shared" si="14"/>
        <v>100</v>
      </c>
      <c r="X36" s="1567"/>
      <c r="Y36" s="3481"/>
      <c r="Z36" s="1575">
        <f t="shared" si="15"/>
        <v>111</v>
      </c>
      <c r="AA36" s="1576">
        <f t="shared" si="3"/>
        <v>1</v>
      </c>
      <c r="AB36" s="1576">
        <f t="shared" si="4"/>
        <v>1</v>
      </c>
      <c r="AC36" s="1576">
        <f t="shared" si="5"/>
        <v>1</v>
      </c>
    </row>
    <row r="37" spans="1:29" ht="15">
      <c r="A37" s="1846" t="s">
        <v>2078</v>
      </c>
      <c r="B37" s="1847" t="s">
        <v>2079</v>
      </c>
      <c r="C37" s="2606" t="s">
        <v>1</v>
      </c>
      <c r="D37" s="2607"/>
      <c r="E37" s="2608"/>
      <c r="F37" s="2609"/>
      <c r="G37" s="2610"/>
      <c r="H37" s="2611"/>
      <c r="I37" s="2608"/>
      <c r="J37" s="2611"/>
      <c r="K37" s="1611"/>
      <c r="L37" s="2144"/>
      <c r="M37" s="2145"/>
      <c r="N37" s="2134"/>
      <c r="O37" s="2145"/>
      <c r="P37" s="3473" t="str">
        <f>A37</f>
        <v>成交单价</v>
      </c>
      <c r="Q37" s="3473"/>
      <c r="R37" s="3474">
        <f>E37</f>
        <v>0</v>
      </c>
      <c r="S37" s="3474"/>
      <c r="T37" s="3474">
        <f>G37</f>
        <v>0</v>
      </c>
      <c r="U37" s="3474"/>
      <c r="V37" s="3474">
        <f>I37</f>
        <v>0</v>
      </c>
      <c r="W37" s="3474"/>
      <c r="X37" s="1559"/>
      <c r="Y37" s="1581"/>
      <c r="Z37" s="1559"/>
      <c r="AA37" s="1559"/>
      <c r="AB37" s="1559"/>
      <c r="AC37" s="1559"/>
    </row>
    <row r="38" spans="1:29" ht="15.75" thickBot="1">
      <c r="A38" s="615" t="s">
        <v>2761</v>
      </c>
      <c r="B38" s="888"/>
      <c r="C38" s="2612" t="e">
        <f>R39</f>
        <v>#DIV/0!</v>
      </c>
      <c r="D38" s="2613"/>
      <c r="E38" s="2614" t="e">
        <f>R38</f>
        <v>#DIV/0!</v>
      </c>
      <c r="F38" s="2614"/>
      <c r="G38" s="2612" t="e">
        <f>T38</f>
        <v>#DIV/0!</v>
      </c>
      <c r="H38" s="2613"/>
      <c r="I38" s="2614" t="e">
        <f>V38</f>
        <v>#DIV/0!</v>
      </c>
      <c r="J38" s="2613"/>
      <c r="K38" s="1612"/>
      <c r="L38" s="2144"/>
      <c r="M38" s="2145"/>
      <c r="N38" s="2145"/>
      <c r="O38" s="2145"/>
      <c r="P38" s="3473" t="str">
        <f>A38</f>
        <v>比较价格（元/平方米）</v>
      </c>
      <c r="Q38" s="3473"/>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559"/>
      <c r="Y38" s="1559"/>
      <c r="Z38" s="1559"/>
      <c r="AA38" s="1559"/>
      <c r="AB38" s="1559"/>
      <c r="AC38" s="1559"/>
    </row>
    <row r="39" spans="1:29" ht="15.75" thickBot="1">
      <c r="A39" s="621" t="s">
        <v>2932</v>
      </c>
      <c r="B39" s="622"/>
      <c r="C39" s="2615" t="e">
        <f>R39</f>
        <v>#DIV/0!</v>
      </c>
      <c r="D39" s="2615"/>
      <c r="E39" s="2615"/>
      <c r="F39" s="2615"/>
      <c r="G39" s="2615"/>
      <c r="H39" s="2615"/>
      <c r="I39" s="2615"/>
      <c r="J39" s="2615"/>
      <c r="K39" s="1613"/>
      <c r="L39" s="2144"/>
      <c r="M39" s="2145"/>
      <c r="N39" s="2145"/>
      <c r="O39" s="2145"/>
      <c r="P39" s="3475" t="str">
        <f>A39</f>
        <v>估价对象XX用房的比较价格（楼面单价，元/平方米）</v>
      </c>
      <c r="Q39" s="3476"/>
      <c r="R39" s="3477" t="e">
        <f>IF(F1="售价",ROUND(AVERAGE(R38:V38),0),ROUND(AVERAGE(R38:V38),1))</f>
        <v>#DIV/0!</v>
      </c>
      <c r="S39" s="3477"/>
      <c r="T39" s="3477"/>
      <c r="U39" s="3477"/>
      <c r="V39" s="3477"/>
      <c r="W39" s="3477"/>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574</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529</v>
      </c>
      <c r="B48" s="646"/>
      <c r="C48" s="2781" t="str">
        <f>YEAR(C7)&amp;"-"&amp;MONTH(C7)</f>
        <v>2018-10</v>
      </c>
      <c r="D48" s="2783">
        <f>EDATE(C48,-1)</f>
        <v>43344</v>
      </c>
      <c r="E48" s="2783">
        <f t="shared" ref="E48:O48" si="16">EDATE(D48,-1)</f>
        <v>43313</v>
      </c>
      <c r="F48" s="2783">
        <f t="shared" si="16"/>
        <v>43282</v>
      </c>
      <c r="G48" s="2783">
        <f t="shared" si="16"/>
        <v>43252</v>
      </c>
      <c r="H48" s="2783">
        <f t="shared" si="16"/>
        <v>43221</v>
      </c>
      <c r="I48" s="2783">
        <f t="shared" si="16"/>
        <v>43191</v>
      </c>
      <c r="J48" s="2783">
        <f t="shared" si="16"/>
        <v>43160</v>
      </c>
      <c r="K48" s="2783">
        <f t="shared" si="16"/>
        <v>43132</v>
      </c>
      <c r="L48" s="2783">
        <f t="shared" si="16"/>
        <v>43101</v>
      </c>
      <c r="M48" s="2783">
        <f t="shared" si="16"/>
        <v>43070</v>
      </c>
      <c r="N48" s="2783">
        <f t="shared" si="16"/>
        <v>43040</v>
      </c>
      <c r="O48" s="2783">
        <f t="shared" si="16"/>
        <v>43009</v>
      </c>
      <c r="P48" s="2160"/>
      <c r="Q48" s="2161"/>
      <c r="R48" s="2161"/>
      <c r="S48" s="2161"/>
      <c r="T48" s="2161"/>
      <c r="U48" s="2161"/>
      <c r="V48" s="2161"/>
      <c r="W48" s="2161"/>
      <c r="X48" s="2161"/>
      <c r="Y48" s="2161"/>
      <c r="Z48" s="2161"/>
      <c r="AA48" s="2161"/>
      <c r="AB48" s="2161"/>
      <c r="AC48" s="2161"/>
    </row>
    <row r="49" spans="1:29" s="1219" customFormat="1" ht="15">
      <c r="A49" s="647"/>
      <c r="B49" s="648"/>
      <c r="C49" s="2782">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2558</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76" t="s">
        <v>2559</v>
      </c>
      <c r="C67" s="2577" t="s">
        <v>2560</v>
      </c>
      <c r="D67" s="2577" t="s">
        <v>2561</v>
      </c>
      <c r="E67" s="2577" t="s">
        <v>2562</v>
      </c>
      <c r="F67" s="2577" t="s">
        <v>2563</v>
      </c>
      <c r="G67" s="2577" t="s">
        <v>2564</v>
      </c>
      <c r="H67" s="674"/>
      <c r="I67" s="674"/>
      <c r="J67" s="674"/>
      <c r="K67" s="674"/>
      <c r="L67" s="674"/>
      <c r="M67" s="258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3"/>
      <c r="C1" s="504" t="s">
        <v>792</v>
      </c>
      <c r="D1" s="849"/>
      <c r="E1" s="506"/>
      <c r="F1" s="2786"/>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486" t="s">
        <v>798</v>
      </c>
      <c r="D4" s="3487"/>
      <c r="E4" s="3488" t="s">
        <v>799</v>
      </c>
      <c r="F4" s="3489"/>
      <c r="G4" s="3486" t="s">
        <v>800</v>
      </c>
      <c r="H4" s="3487"/>
      <c r="I4" s="3486" t="s">
        <v>801</v>
      </c>
      <c r="J4" s="3487"/>
      <c r="K4" s="514" t="s">
        <v>802</v>
      </c>
      <c r="L4" s="2133"/>
      <c r="M4" s="2134"/>
      <c r="N4" s="2134"/>
      <c r="O4" s="2134"/>
      <c r="P4" s="3490" t="s">
        <v>803</v>
      </c>
      <c r="Q4" s="3491"/>
      <c r="R4" s="3496" t="s">
        <v>799</v>
      </c>
      <c r="S4" s="3497"/>
      <c r="T4" s="3496" t="s">
        <v>800</v>
      </c>
      <c r="U4" s="3497"/>
      <c r="V4" s="3502" t="s">
        <v>801</v>
      </c>
      <c r="W4" s="3502"/>
      <c r="X4" s="1567"/>
      <c r="Y4" s="3496" t="s">
        <v>803</v>
      </c>
      <c r="Z4" s="3497"/>
      <c r="AA4" s="3483" t="s">
        <v>799</v>
      </c>
      <c r="AB4" s="3484" t="s">
        <v>800</v>
      </c>
      <c r="AC4" s="3483" t="s">
        <v>801</v>
      </c>
    </row>
    <row r="5" spans="1:29" ht="15">
      <c r="A5" s="515"/>
      <c r="B5" s="516"/>
      <c r="C5" s="3510" t="s">
        <v>2926</v>
      </c>
      <c r="D5" s="3506"/>
      <c r="E5" s="3524" t="s">
        <v>2927</v>
      </c>
      <c r="F5" s="3514"/>
      <c r="G5" s="3510" t="s">
        <v>2928</v>
      </c>
      <c r="H5" s="3506"/>
      <c r="I5" s="3510" t="s">
        <v>2929</v>
      </c>
      <c r="J5" s="3506"/>
      <c r="K5" s="514"/>
      <c r="L5" s="2133"/>
      <c r="M5" s="2134"/>
      <c r="N5" s="2134"/>
      <c r="O5" s="2134"/>
      <c r="P5" s="3492"/>
      <c r="Q5" s="3493"/>
      <c r="R5" s="3498"/>
      <c r="S5" s="3499"/>
      <c r="T5" s="3498"/>
      <c r="U5" s="3499"/>
      <c r="V5" s="3502"/>
      <c r="W5" s="3502"/>
      <c r="X5" s="1567"/>
      <c r="Y5" s="3498"/>
      <c r="Z5" s="3499"/>
      <c r="AA5" s="3484"/>
      <c r="AB5" s="3484"/>
      <c r="AC5" s="3484"/>
    </row>
    <row r="6" spans="1:29" ht="15.75" thickBot="1">
      <c r="A6" s="517"/>
      <c r="B6" s="518"/>
      <c r="C6" s="3503" t="s">
        <v>2930</v>
      </c>
      <c r="D6" s="3504"/>
      <c r="E6" s="3511" t="s">
        <v>2930</v>
      </c>
      <c r="F6" s="3512"/>
      <c r="G6" s="3503" t="s">
        <v>2930</v>
      </c>
      <c r="H6" s="3504"/>
      <c r="I6" s="3503" t="s">
        <v>2930</v>
      </c>
      <c r="J6" s="3504"/>
      <c r="K6" s="514" t="s">
        <v>528</v>
      </c>
      <c r="L6" s="2133"/>
      <c r="M6" s="2134"/>
      <c r="N6" s="2134"/>
      <c r="O6" s="2134"/>
      <c r="P6" s="3494"/>
      <c r="Q6" s="3495"/>
      <c r="R6" s="3498"/>
      <c r="S6" s="3499"/>
      <c r="T6" s="3500"/>
      <c r="U6" s="3501"/>
      <c r="V6" s="3502"/>
      <c r="W6" s="3502"/>
      <c r="X6" s="1567"/>
      <c r="Y6" s="3500"/>
      <c r="Z6" s="3501"/>
      <c r="AA6" s="3485"/>
      <c r="AB6" s="3485"/>
      <c r="AC6" s="3485"/>
    </row>
    <row r="7" spans="1:29" s="1219" customFormat="1" ht="15.75" thickBot="1">
      <c r="A7" s="2891"/>
      <c r="B7" s="2898" t="s">
        <v>529</v>
      </c>
      <c r="C7" s="519">
        <f>'数据-取费表'!B2</f>
        <v>43388</v>
      </c>
      <c r="D7" s="520">
        <v>100</v>
      </c>
      <c r="E7" s="521"/>
      <c r="F7" s="522">
        <f>SUMIF(46:46,YEAR(E7)&amp;"-"&amp;MONTH(E7),47:47)</f>
        <v>0</v>
      </c>
      <c r="G7" s="523"/>
      <c r="H7" s="520">
        <f>SUMIF(46:46,YEAR(G7)&amp;"-"&amp;MONTH(G7),47:47)</f>
        <v>0</v>
      </c>
      <c r="I7" s="523"/>
      <c r="J7" s="520">
        <f>SUMIF(46:46,YEAR(I7)&amp;"-"&amp;MONTH(I7),47:47)</f>
        <v>0</v>
      </c>
      <c r="K7" s="524"/>
      <c r="L7" s="2135"/>
      <c r="M7" s="2136"/>
      <c r="N7" s="2136"/>
      <c r="O7" s="2136"/>
      <c r="P7" s="3507" t="s">
        <v>530</v>
      </c>
      <c r="Q7" s="3509"/>
      <c r="R7" s="1568" t="s">
        <v>8</v>
      </c>
      <c r="S7" s="1569">
        <f t="shared" ref="S7:S14" si="0">F7</f>
        <v>0</v>
      </c>
      <c r="T7" s="1568" t="s">
        <v>8</v>
      </c>
      <c r="U7" s="1569">
        <f t="shared" ref="U7:U14" si="1">H7</f>
        <v>0</v>
      </c>
      <c r="V7" s="1568" t="s">
        <v>8</v>
      </c>
      <c r="W7" s="1569">
        <f t="shared" ref="W7:W14" si="2">J7</f>
        <v>0</v>
      </c>
      <c r="X7" s="1570"/>
      <c r="Y7" s="3507" t="s">
        <v>530</v>
      </c>
      <c r="Z7" s="3508"/>
      <c r="AA7" s="1571" t="e">
        <f>D7/F7</f>
        <v>#DIV/0!</v>
      </c>
      <c r="AB7" s="1571" t="e">
        <f>D7/H7</f>
        <v>#DIV/0!</v>
      </c>
      <c r="AC7" s="1571" t="e">
        <f>D7/J7</f>
        <v>#DIV/0!</v>
      </c>
    </row>
    <row r="8" spans="1:29" s="1219"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507" t="s">
        <v>533</v>
      </c>
      <c r="Q8" s="3508"/>
      <c r="R8" s="1568" t="s">
        <v>8</v>
      </c>
      <c r="S8" s="1569">
        <f t="shared" si="0"/>
        <v>0</v>
      </c>
      <c r="T8" s="1568" t="s">
        <v>8</v>
      </c>
      <c r="U8" s="1569">
        <f t="shared" si="1"/>
        <v>0</v>
      </c>
      <c r="V8" s="1568" t="s">
        <v>8</v>
      </c>
      <c r="W8" s="1569">
        <f t="shared" si="2"/>
        <v>0</v>
      </c>
      <c r="X8" s="1570"/>
      <c r="Y8" s="3507" t="s">
        <v>533</v>
      </c>
      <c r="Z8" s="3508"/>
      <c r="AA8" s="1571" t="e">
        <f t="shared" ref="AA8:AA34" si="3">D8/F8</f>
        <v>#DIV/0!</v>
      </c>
      <c r="AB8" s="1571" t="e">
        <f t="shared" ref="AB8:AB34" si="4">D8/H8</f>
        <v>#DIV/0!</v>
      </c>
      <c r="AC8" s="1571" t="e">
        <f t="shared" ref="AC8:AC34" si="5">D8/J8</f>
        <v>#DIV/0!</v>
      </c>
    </row>
    <row r="9" spans="1:29" s="1219"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73" t="s">
        <v>535</v>
      </c>
      <c r="Q9" s="1151" t="str">
        <f t="shared" ref="Q9:Q14" si="6">B9</f>
        <v>用途</v>
      </c>
      <c r="R9" s="1568" t="s">
        <v>8</v>
      </c>
      <c r="S9" s="1569">
        <f t="shared" si="0"/>
        <v>100</v>
      </c>
      <c r="T9" s="1568" t="s">
        <v>8</v>
      </c>
      <c r="U9" s="1569">
        <f t="shared" si="1"/>
        <v>100</v>
      </c>
      <c r="V9" s="1568" t="s">
        <v>8</v>
      </c>
      <c r="W9" s="1569">
        <f t="shared" si="2"/>
        <v>100</v>
      </c>
      <c r="X9" s="1570"/>
      <c r="Y9" s="3434" t="s">
        <v>536</v>
      </c>
      <c r="Z9" s="1150" t="str">
        <f t="shared" ref="Z9:Z14" si="7">Q9</f>
        <v>用途</v>
      </c>
      <c r="AA9" s="1571">
        <f t="shared" si="3"/>
        <v>1</v>
      </c>
      <c r="AB9" s="1571">
        <f t="shared" si="4"/>
        <v>1</v>
      </c>
      <c r="AC9" s="1571">
        <f t="shared" si="5"/>
        <v>1</v>
      </c>
    </row>
    <row r="10" spans="1:29" s="1337"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73"/>
      <c r="Q10" s="1151" t="str">
        <f t="shared" si="6"/>
        <v>土地使用年限（年）</v>
      </c>
      <c r="R10" s="1568" t="s">
        <v>8</v>
      </c>
      <c r="S10" s="1569">
        <f t="shared" si="0"/>
        <v>100</v>
      </c>
      <c r="T10" s="1568" t="s">
        <v>8</v>
      </c>
      <c r="U10" s="1569">
        <f t="shared" si="1"/>
        <v>100</v>
      </c>
      <c r="V10" s="1568" t="s">
        <v>8</v>
      </c>
      <c r="W10" s="1569">
        <f t="shared" si="2"/>
        <v>100</v>
      </c>
      <c r="X10" s="1570"/>
      <c r="Y10" s="3434"/>
      <c r="Z10" s="1150" t="str">
        <f t="shared" si="7"/>
        <v>土地使用年限（年）</v>
      </c>
      <c r="AA10" s="1571">
        <f t="shared" si="3"/>
        <v>1</v>
      </c>
      <c r="AB10" s="1571">
        <f t="shared" si="4"/>
        <v>1</v>
      </c>
      <c r="AC10" s="1571">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73"/>
      <c r="Q11" s="1151">
        <f t="shared" si="6"/>
        <v>111</v>
      </c>
      <c r="R11" s="1568" t="s">
        <v>8</v>
      </c>
      <c r="S11" s="1569">
        <f t="shared" si="0"/>
        <v>100</v>
      </c>
      <c r="T11" s="1568" t="s">
        <v>8</v>
      </c>
      <c r="U11" s="1569">
        <f t="shared" si="1"/>
        <v>100</v>
      </c>
      <c r="V11" s="1568" t="s">
        <v>8</v>
      </c>
      <c r="W11" s="1569">
        <f t="shared" si="2"/>
        <v>100</v>
      </c>
      <c r="X11" s="1570"/>
      <c r="Y11" s="3434"/>
      <c r="Z11" s="1150">
        <f t="shared" si="7"/>
        <v>111</v>
      </c>
      <c r="AA11" s="1571">
        <f t="shared" si="3"/>
        <v>1</v>
      </c>
      <c r="AB11" s="1571">
        <f t="shared" si="4"/>
        <v>1</v>
      </c>
      <c r="AC11" s="1571">
        <f t="shared" si="5"/>
        <v>1</v>
      </c>
    </row>
    <row r="12" spans="1:29" s="1219"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73"/>
      <c r="Q12" s="1151">
        <f t="shared" si="6"/>
        <v>111</v>
      </c>
      <c r="R12" s="1568" t="s">
        <v>8</v>
      </c>
      <c r="S12" s="1569">
        <f t="shared" si="0"/>
        <v>100</v>
      </c>
      <c r="T12" s="1568" t="s">
        <v>8</v>
      </c>
      <c r="U12" s="1569">
        <f t="shared" si="1"/>
        <v>100</v>
      </c>
      <c r="V12" s="1568" t="s">
        <v>8</v>
      </c>
      <c r="W12" s="1569">
        <f t="shared" si="2"/>
        <v>100</v>
      </c>
      <c r="X12" s="1570"/>
      <c r="Y12" s="3434"/>
      <c r="Z12" s="1150">
        <f t="shared" si="7"/>
        <v>111</v>
      </c>
      <c r="AA12" s="1571">
        <f>D12/F12</f>
        <v>1</v>
      </c>
      <c r="AB12" s="1571">
        <f>D12/H12</f>
        <v>1</v>
      </c>
      <c r="AC12" s="1571">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73"/>
      <c r="Q13" s="1151">
        <f t="shared" si="6"/>
        <v>111</v>
      </c>
      <c r="R13" s="1568" t="s">
        <v>8</v>
      </c>
      <c r="S13" s="1569">
        <f t="shared" si="0"/>
        <v>100</v>
      </c>
      <c r="T13" s="1568" t="s">
        <v>8</v>
      </c>
      <c r="U13" s="1569">
        <f t="shared" si="1"/>
        <v>100</v>
      </c>
      <c r="V13" s="1568" t="s">
        <v>8</v>
      </c>
      <c r="W13" s="1569">
        <f t="shared" si="2"/>
        <v>100</v>
      </c>
      <c r="X13" s="1570"/>
      <c r="Y13" s="3434"/>
      <c r="Z13" s="1150">
        <f t="shared" si="7"/>
        <v>111</v>
      </c>
      <c r="AA13" s="1571">
        <f t="shared" si="3"/>
        <v>1</v>
      </c>
      <c r="AB13" s="1571">
        <f t="shared" si="4"/>
        <v>1</v>
      </c>
      <c r="AC13" s="1571">
        <f t="shared" si="5"/>
        <v>1</v>
      </c>
    </row>
    <row r="14" spans="1:29" ht="156.75">
      <c r="A14" s="2889" t="s">
        <v>2755</v>
      </c>
      <c r="B14" s="166" t="s">
        <v>543</v>
      </c>
      <c r="C14" s="921" t="str">
        <f>IF(B1="工业",估价对象房地状况!G4,估价对象房地状况!C6)</f>
        <v>估价对象周边有445路、516路、659路、983路等多条公交线路经过，距14号线地铁（将台站）约300米，道路状况较好、公共交通通达情况较好、综合评价交通便捷度较好。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78" t="s">
        <v>540</v>
      </c>
      <c r="Q14" s="1572" t="str">
        <f t="shared" si="6"/>
        <v>交通便捷度</v>
      </c>
      <c r="R14" s="1573" t="s">
        <v>8</v>
      </c>
      <c r="S14" s="1574">
        <f t="shared" si="0"/>
        <v>100</v>
      </c>
      <c r="T14" s="1573" t="s">
        <v>8</v>
      </c>
      <c r="U14" s="1574">
        <f t="shared" si="1"/>
        <v>100</v>
      </c>
      <c r="V14" s="1573" t="s">
        <v>8</v>
      </c>
      <c r="W14" s="1574">
        <f t="shared" si="2"/>
        <v>100</v>
      </c>
      <c r="X14" s="1567"/>
      <c r="Y14" s="3478"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2"/>
      <c r="M15" s="2134"/>
      <c r="N15" s="2134"/>
      <c r="O15" s="2141"/>
      <c r="P15" s="3479"/>
      <c r="Q15" s="1572"/>
      <c r="R15" s="1573"/>
      <c r="S15" s="1574"/>
      <c r="T15" s="1573"/>
      <c r="U15" s="1574"/>
      <c r="V15" s="1573"/>
      <c r="W15" s="1574"/>
      <c r="X15" s="1567"/>
      <c r="Y15" s="3479"/>
      <c r="Z15" s="1575"/>
      <c r="AA15" s="1576">
        <v>1</v>
      </c>
      <c r="AB15" s="1576">
        <v>1</v>
      </c>
      <c r="AC15" s="1576">
        <v>1</v>
      </c>
    </row>
    <row r="16" spans="1:29" ht="42.75">
      <c r="A16" s="532"/>
      <c r="B16" s="2582" t="s">
        <v>2547</v>
      </c>
      <c r="C16" s="872" t="str">
        <f>IF(B1="工业",估价对象房地状况!G5,估价对象房地状况!C7)</f>
        <v>估价对象所在区域公共配套设施齐备度较好</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79"/>
      <c r="Q16" s="1572" t="str">
        <f>B16</f>
        <v>公共配套设施</v>
      </c>
      <c r="R16" s="1573" t="s">
        <v>8</v>
      </c>
      <c r="S16" s="1574">
        <f>F16</f>
        <v>100</v>
      </c>
      <c r="T16" s="1573" t="s">
        <v>8</v>
      </c>
      <c r="U16" s="1574">
        <f>H16</f>
        <v>100</v>
      </c>
      <c r="V16" s="1573" t="s">
        <v>8</v>
      </c>
      <c r="W16" s="1574">
        <f>J16</f>
        <v>100</v>
      </c>
      <c r="X16" s="1567"/>
      <c r="Y16" s="3479"/>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2"/>
      <c r="M17" s="2134"/>
      <c r="N17" s="2134"/>
      <c r="O17" s="2141"/>
      <c r="P17" s="3479"/>
      <c r="Q17" s="1572"/>
      <c r="R17" s="1573"/>
      <c r="S17" s="1574"/>
      <c r="T17" s="1573"/>
      <c r="U17" s="1574"/>
      <c r="V17" s="1573"/>
      <c r="W17" s="1574"/>
      <c r="X17" s="1567"/>
      <c r="Y17" s="3479"/>
      <c r="Z17" s="1575"/>
      <c r="AA17" s="1576">
        <v>1</v>
      </c>
      <c r="AB17" s="1576">
        <v>1</v>
      </c>
      <c r="AC17" s="1576">
        <v>1</v>
      </c>
    </row>
    <row r="18" spans="1:29" ht="42.75">
      <c r="A18" s="532"/>
      <c r="B18" s="2570" t="s">
        <v>2559</v>
      </c>
      <c r="C18" s="872" t="str">
        <f>IF(B1="工业",估价对象房地状况!G6,估价对象房地状况!C8)</f>
        <v>估价对象所在区域基础设施水平达到七通一平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79"/>
      <c r="Q18" s="2558" t="str">
        <f>B18</f>
        <v>基础设施水平</v>
      </c>
      <c r="R18" s="1573" t="s">
        <v>8</v>
      </c>
      <c r="S18" s="1574">
        <f>F18</f>
        <v>100</v>
      </c>
      <c r="T18" s="1573" t="s">
        <v>8</v>
      </c>
      <c r="U18" s="1574">
        <f>H18</f>
        <v>100</v>
      </c>
      <c r="V18" s="1573" t="s">
        <v>8</v>
      </c>
      <c r="W18" s="1574">
        <f>J18</f>
        <v>100</v>
      </c>
      <c r="X18" s="2560"/>
      <c r="Y18" s="3479"/>
      <c r="Z18" s="2559"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581"/>
      <c r="L19" s="2142"/>
      <c r="M19" s="2134"/>
      <c r="N19" s="2134"/>
      <c r="O19" s="2141"/>
      <c r="P19" s="3479"/>
      <c r="Q19" s="2558"/>
      <c r="R19" s="1573"/>
      <c r="S19" s="1574"/>
      <c r="T19" s="1573"/>
      <c r="U19" s="1574"/>
      <c r="V19" s="1573"/>
      <c r="W19" s="1574"/>
      <c r="X19" s="2560"/>
      <c r="Y19" s="3479"/>
      <c r="Z19" s="2559"/>
      <c r="AA19" s="1576">
        <v>1</v>
      </c>
      <c r="AB19" s="1576">
        <v>1</v>
      </c>
      <c r="AC19" s="1576">
        <v>1</v>
      </c>
    </row>
    <row r="20" spans="1:29" ht="57">
      <c r="A20" s="532"/>
      <c r="B20" s="871" t="s">
        <v>804</v>
      </c>
      <c r="C20" s="872" t="str">
        <f>IF(B1="工业",估价对象房地状况!G7,估价对象房地状况!C9)</f>
        <v>区域自然环境：；人文环境；综合评价环境状况较好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79"/>
      <c r="Q20" s="1572" t="str">
        <f>B20</f>
        <v>自然及人文环境</v>
      </c>
      <c r="R20" s="1573" t="s">
        <v>8</v>
      </c>
      <c r="S20" s="1574">
        <f>F20</f>
        <v>100</v>
      </c>
      <c r="T20" s="1573" t="s">
        <v>8</v>
      </c>
      <c r="U20" s="1574">
        <f>H20</f>
        <v>100</v>
      </c>
      <c r="V20" s="1573" t="s">
        <v>8</v>
      </c>
      <c r="W20" s="1574">
        <f>J20</f>
        <v>100</v>
      </c>
      <c r="X20" s="1567"/>
      <c r="Y20" s="3479"/>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2"/>
      <c r="M21" s="2134"/>
      <c r="N21" s="2134"/>
      <c r="O21" s="2141"/>
      <c r="P21" s="3479"/>
      <c r="Q21" s="1572"/>
      <c r="R21" s="1573"/>
      <c r="S21" s="1574"/>
      <c r="T21" s="1573"/>
      <c r="U21" s="1574"/>
      <c r="V21" s="1573"/>
      <c r="W21" s="1574"/>
      <c r="X21" s="1567"/>
      <c r="Y21" s="3479"/>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79"/>
      <c r="Q22" s="1572" t="str">
        <f>B22</f>
        <v>楼层</v>
      </c>
      <c r="R22" s="1573" t="s">
        <v>8</v>
      </c>
      <c r="S22" s="1574">
        <f>F22</f>
        <v>100</v>
      </c>
      <c r="T22" s="1573" t="s">
        <v>8</v>
      </c>
      <c r="U22" s="1574">
        <f>H22</f>
        <v>100</v>
      </c>
      <c r="V22" s="1573" t="s">
        <v>8</v>
      </c>
      <c r="W22" s="1574">
        <f>J22</f>
        <v>100</v>
      </c>
      <c r="X22" s="1567"/>
      <c r="Y22" s="3479"/>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79"/>
      <c r="Q23" s="1572">
        <f>B23</f>
        <v>111</v>
      </c>
      <c r="R23" s="1573" t="s">
        <v>8</v>
      </c>
      <c r="S23" s="1574">
        <f>F23</f>
        <v>100</v>
      </c>
      <c r="T23" s="1573" t="s">
        <v>8</v>
      </c>
      <c r="U23" s="1574">
        <f>H23</f>
        <v>100</v>
      </c>
      <c r="V23" s="1573" t="s">
        <v>8</v>
      </c>
      <c r="W23" s="1574">
        <f>J23</f>
        <v>100</v>
      </c>
      <c r="X23" s="1567"/>
      <c r="Y23" s="3479"/>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79"/>
      <c r="Q24" s="1572">
        <f t="shared" ref="Q24:Q34" si="11">B24</f>
        <v>111</v>
      </c>
      <c r="R24" s="1573" t="s">
        <v>8</v>
      </c>
      <c r="S24" s="1574">
        <f>F24</f>
        <v>100</v>
      </c>
      <c r="T24" s="1573" t="s">
        <v>8</v>
      </c>
      <c r="U24" s="1574">
        <f>H24</f>
        <v>100</v>
      </c>
      <c r="V24" s="1573" t="s">
        <v>8</v>
      </c>
      <c r="W24" s="1574">
        <f>J24</f>
        <v>100</v>
      </c>
      <c r="X24" s="1567"/>
      <c r="Y24" s="3479"/>
      <c r="Z24" s="1575">
        <f>Q24</f>
        <v>111</v>
      </c>
      <c r="AA24" s="1576">
        <f t="shared" si="3"/>
        <v>1</v>
      </c>
      <c r="AB24" s="1576">
        <f t="shared" si="4"/>
        <v>1</v>
      </c>
      <c r="AC24" s="1576">
        <f t="shared" si="5"/>
        <v>1</v>
      </c>
    </row>
    <row r="25" spans="1:29" s="1219"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79"/>
      <c r="Q25" s="1151">
        <f t="shared" si="11"/>
        <v>111</v>
      </c>
      <c r="R25" s="1568" t="s">
        <v>8</v>
      </c>
      <c r="S25" s="1569">
        <f>F25</f>
        <v>100</v>
      </c>
      <c r="T25" s="1568" t="s">
        <v>8</v>
      </c>
      <c r="U25" s="1569">
        <f>H25</f>
        <v>100</v>
      </c>
      <c r="V25" s="1568" t="s">
        <v>8</v>
      </c>
      <c r="W25" s="1569">
        <f>J25</f>
        <v>100</v>
      </c>
      <c r="X25" s="1570"/>
      <c r="Y25" s="3479"/>
      <c r="Z25" s="1150">
        <f>Q25</f>
        <v>111</v>
      </c>
      <c r="AA25" s="1576">
        <f>D25/F25</f>
        <v>1</v>
      </c>
      <c r="AB25" s="1576">
        <f>D25/H25</f>
        <v>1</v>
      </c>
      <c r="AC25" s="1576">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80"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81" t="s">
        <v>821</v>
      </c>
      <c r="Z26" s="1575" t="str">
        <f t="shared" ref="Z26:Z34" si="15">Q26</f>
        <v>公共部分装修</v>
      </c>
      <c r="AA26" s="1576">
        <f t="shared" si="3"/>
        <v>1</v>
      </c>
      <c r="AB26" s="1576">
        <f t="shared" si="4"/>
        <v>1</v>
      </c>
      <c r="AC26" s="1576">
        <f t="shared" si="5"/>
        <v>1</v>
      </c>
    </row>
    <row r="27" spans="1:29" s="1338"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81"/>
      <c r="Q27" s="1605" t="str">
        <f t="shared" si="11"/>
        <v>成新率</v>
      </c>
      <c r="R27" s="1577" t="s">
        <v>8</v>
      </c>
      <c r="S27" s="1578" t="e">
        <f t="shared" si="12"/>
        <v>#N/A</v>
      </c>
      <c r="T27" s="1577" t="s">
        <v>8</v>
      </c>
      <c r="U27" s="1578" t="e">
        <f t="shared" si="13"/>
        <v>#N/A</v>
      </c>
      <c r="V27" s="1577" t="s">
        <v>8</v>
      </c>
      <c r="W27" s="1578" t="e">
        <f t="shared" si="14"/>
        <v>#N/A</v>
      </c>
      <c r="X27" s="1579"/>
      <c r="Y27" s="3481"/>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81"/>
      <c r="Q28" s="1572" t="str">
        <f t="shared" si="11"/>
        <v>物业等级</v>
      </c>
      <c r="R28" s="1573" t="s">
        <v>8</v>
      </c>
      <c r="S28" s="1574">
        <f t="shared" si="12"/>
        <v>100</v>
      </c>
      <c r="T28" s="1573" t="s">
        <v>8</v>
      </c>
      <c r="U28" s="1574">
        <f t="shared" si="13"/>
        <v>100</v>
      </c>
      <c r="V28" s="1573" t="s">
        <v>8</v>
      </c>
      <c r="W28" s="1574">
        <f t="shared" si="14"/>
        <v>100</v>
      </c>
      <c r="X28" s="1567"/>
      <c r="Y28" s="3481"/>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81"/>
      <c r="Q29" s="1572" t="str">
        <f t="shared" si="11"/>
        <v>有无电梯</v>
      </c>
      <c r="R29" s="1573" t="s">
        <v>8</v>
      </c>
      <c r="S29" s="1574">
        <f t="shared" si="12"/>
        <v>100</v>
      </c>
      <c r="T29" s="1573" t="s">
        <v>8</v>
      </c>
      <c r="U29" s="1574">
        <f t="shared" si="13"/>
        <v>100</v>
      </c>
      <c r="V29" s="1573" t="s">
        <v>8</v>
      </c>
      <c r="W29" s="1574">
        <f t="shared" si="14"/>
        <v>100</v>
      </c>
      <c r="X29" s="1567"/>
      <c r="Y29" s="3481"/>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81"/>
      <c r="Q30" s="1572" t="str">
        <f t="shared" si="11"/>
        <v>建筑面积</v>
      </c>
      <c r="R30" s="1573" t="s">
        <v>8</v>
      </c>
      <c r="S30" s="1574" t="e">
        <f t="shared" si="12"/>
        <v>#N/A</v>
      </c>
      <c r="T30" s="1573" t="s">
        <v>8</v>
      </c>
      <c r="U30" s="1574" t="e">
        <f t="shared" si="13"/>
        <v>#N/A</v>
      </c>
      <c r="V30" s="1573" t="s">
        <v>8</v>
      </c>
      <c r="W30" s="1574" t="e">
        <f t="shared" si="14"/>
        <v>#N/A</v>
      </c>
      <c r="X30" s="1567"/>
      <c r="Y30" s="3481"/>
      <c r="Z30" s="1575" t="str">
        <f t="shared" si="15"/>
        <v>建筑面积</v>
      </c>
      <c r="AA30" s="1576" t="e">
        <f t="shared" si="3"/>
        <v>#N/A</v>
      </c>
      <c r="AB30" s="1576" t="e">
        <f t="shared" si="4"/>
        <v>#N/A</v>
      </c>
      <c r="AC30" s="1576" t="e">
        <f t="shared" si="5"/>
        <v>#N/A</v>
      </c>
    </row>
    <row r="31" spans="1:29" s="1219"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81"/>
      <c r="Q31" s="1151" t="str">
        <f t="shared" si="11"/>
        <v>是否封闭</v>
      </c>
      <c r="R31" s="1568" t="s">
        <v>8</v>
      </c>
      <c r="S31" s="1569">
        <f t="shared" si="12"/>
        <v>100</v>
      </c>
      <c r="T31" s="1568" t="s">
        <v>8</v>
      </c>
      <c r="U31" s="1569">
        <f t="shared" si="13"/>
        <v>100</v>
      </c>
      <c r="V31" s="1568" t="s">
        <v>8</v>
      </c>
      <c r="W31" s="1569">
        <f t="shared" si="14"/>
        <v>100</v>
      </c>
      <c r="X31" s="1570"/>
      <c r="Y31" s="3481"/>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81" t="s">
        <v>550</v>
      </c>
      <c r="Q32" s="1572">
        <f t="shared" si="11"/>
        <v>111</v>
      </c>
      <c r="R32" s="1573" t="s">
        <v>8</v>
      </c>
      <c r="S32" s="1574">
        <f t="shared" si="12"/>
        <v>100</v>
      </c>
      <c r="T32" s="1573" t="s">
        <v>8</v>
      </c>
      <c r="U32" s="1574">
        <f t="shared" si="13"/>
        <v>100</v>
      </c>
      <c r="V32" s="1573" t="s">
        <v>8</v>
      </c>
      <c r="W32" s="1574">
        <f t="shared" si="14"/>
        <v>100</v>
      </c>
      <c r="X32" s="1567"/>
      <c r="Y32" s="3481"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81"/>
      <c r="Q33" s="1572">
        <f t="shared" si="11"/>
        <v>111</v>
      </c>
      <c r="R33" s="1573" t="s">
        <v>8</v>
      </c>
      <c r="S33" s="1574">
        <f t="shared" si="12"/>
        <v>100</v>
      </c>
      <c r="T33" s="1573" t="s">
        <v>8</v>
      </c>
      <c r="U33" s="1574">
        <f t="shared" si="13"/>
        <v>100</v>
      </c>
      <c r="V33" s="1573" t="s">
        <v>8</v>
      </c>
      <c r="W33" s="1574">
        <f t="shared" si="14"/>
        <v>100</v>
      </c>
      <c r="X33" s="1567"/>
      <c r="Y33" s="3481"/>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81"/>
      <c r="Q34" s="1572">
        <f t="shared" si="11"/>
        <v>111</v>
      </c>
      <c r="R34" s="1573" t="s">
        <v>8</v>
      </c>
      <c r="S34" s="1574">
        <f t="shared" si="12"/>
        <v>100</v>
      </c>
      <c r="T34" s="1573" t="s">
        <v>8</v>
      </c>
      <c r="U34" s="1574">
        <f t="shared" si="13"/>
        <v>100</v>
      </c>
      <c r="V34" s="1573" t="s">
        <v>8</v>
      </c>
      <c r="W34" s="1574">
        <f t="shared" si="14"/>
        <v>100</v>
      </c>
      <c r="X34" s="1567"/>
      <c r="Y34" s="3481"/>
      <c r="Z34" s="1575">
        <f t="shared" si="15"/>
        <v>111</v>
      </c>
      <c r="AA34" s="1576">
        <f t="shared" si="3"/>
        <v>1</v>
      </c>
      <c r="AB34" s="1576">
        <f t="shared" si="4"/>
        <v>1</v>
      </c>
      <c r="AC34" s="1576">
        <f t="shared" si="5"/>
        <v>1</v>
      </c>
    </row>
    <row r="35" spans="1:29" ht="15">
      <c r="A35" s="607" t="s">
        <v>736</v>
      </c>
      <c r="B35" s="887"/>
      <c r="C35" s="2606" t="s">
        <v>1</v>
      </c>
      <c r="D35" s="2607"/>
      <c r="E35" s="2608"/>
      <c r="F35" s="2609"/>
      <c r="G35" s="2610"/>
      <c r="H35" s="2611"/>
      <c r="I35" s="2608"/>
      <c r="J35" s="2611"/>
      <c r="K35" s="1611"/>
      <c r="L35" s="2144"/>
      <c r="M35" s="2145"/>
      <c r="N35" s="2134"/>
      <c r="O35" s="2145"/>
      <c r="P35" s="3473" t="str">
        <f>A35</f>
        <v>成交单价（元/平方米）</v>
      </c>
      <c r="Q35" s="3473"/>
      <c r="R35" s="3474">
        <f>E35</f>
        <v>0</v>
      </c>
      <c r="S35" s="3474"/>
      <c r="T35" s="3474">
        <f>G35</f>
        <v>0</v>
      </c>
      <c r="U35" s="3474"/>
      <c r="V35" s="3474">
        <f>I35</f>
        <v>0</v>
      </c>
      <c r="W35" s="3474"/>
      <c r="X35" s="1559"/>
      <c r="Y35" s="1581"/>
      <c r="Z35" s="1559"/>
      <c r="AA35" s="1559"/>
      <c r="AB35" s="1559"/>
      <c r="AC35" s="1559"/>
    </row>
    <row r="36" spans="1:29" ht="15.75" thickBot="1">
      <c r="A36" s="615" t="s">
        <v>2761</v>
      </c>
      <c r="B36" s="888"/>
      <c r="C36" s="2612" t="e">
        <f>R37</f>
        <v>#DIV/0!</v>
      </c>
      <c r="D36" s="2613"/>
      <c r="E36" s="2614" t="e">
        <f>R36</f>
        <v>#DIV/0!</v>
      </c>
      <c r="F36" s="2614"/>
      <c r="G36" s="2612" t="e">
        <f>T36</f>
        <v>#DIV/0!</v>
      </c>
      <c r="H36" s="2613"/>
      <c r="I36" s="2614" t="e">
        <f>V36</f>
        <v>#DIV/0!</v>
      </c>
      <c r="J36" s="2613"/>
      <c r="K36" s="1612"/>
      <c r="L36" s="2144"/>
      <c r="M36" s="2145"/>
      <c r="N36" s="2134"/>
      <c r="O36" s="2145"/>
      <c r="P36" s="3473" t="str">
        <f>A36</f>
        <v>比较价格（元/平方米）</v>
      </c>
      <c r="Q36" s="3473"/>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59"/>
      <c r="Y36" s="1559"/>
      <c r="Z36" s="1559"/>
      <c r="AA36" s="1559"/>
      <c r="AB36" s="1559"/>
      <c r="AC36" s="1559"/>
    </row>
    <row r="37" spans="1:29" ht="15.75" thickBot="1">
      <c r="A37" s="621" t="s">
        <v>2932</v>
      </c>
      <c r="B37" s="622"/>
      <c r="C37" s="2615" t="e">
        <f>R37</f>
        <v>#DIV/0!</v>
      </c>
      <c r="D37" s="2615"/>
      <c r="E37" s="2615"/>
      <c r="F37" s="2615"/>
      <c r="G37" s="2615"/>
      <c r="H37" s="2615"/>
      <c r="I37" s="2615"/>
      <c r="J37" s="2615"/>
      <c r="K37" s="1613"/>
      <c r="L37" s="2144"/>
      <c r="M37" s="2145"/>
      <c r="N37" s="2145"/>
      <c r="O37" s="2145"/>
      <c r="P37" s="3475" t="str">
        <f>A37</f>
        <v>估价对象XX用房的比较价格（楼面单价，元/平方米）</v>
      </c>
      <c r="Q37" s="3476"/>
      <c r="R37" s="3477" t="e">
        <f>IF(F1="售价",ROUND(AVERAGE(R36:V36),0),ROUND(AVERAGE(R36:V36),1))</f>
        <v>#DIV/0!</v>
      </c>
      <c r="S37" s="3477"/>
      <c r="T37" s="3477"/>
      <c r="U37" s="3477"/>
      <c r="V37" s="3477"/>
      <c r="W37" s="3477"/>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574</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5" t="s">
        <v>529</v>
      </c>
      <c r="B46" s="646"/>
      <c r="C46" s="2781" t="str">
        <f>YEAR(C7)&amp;"-"&amp;MONTH(C7)</f>
        <v>2018-10</v>
      </c>
      <c r="D46" s="2783">
        <f>EDATE(C46,-1)</f>
        <v>43344</v>
      </c>
      <c r="E46" s="2783">
        <f t="shared" ref="E46:O46" si="16">EDATE(D46,-1)</f>
        <v>43313</v>
      </c>
      <c r="F46" s="2783">
        <f t="shared" si="16"/>
        <v>43282</v>
      </c>
      <c r="G46" s="2783">
        <f t="shared" si="16"/>
        <v>43252</v>
      </c>
      <c r="H46" s="2783">
        <f t="shared" si="16"/>
        <v>43221</v>
      </c>
      <c r="I46" s="2783">
        <f t="shared" si="16"/>
        <v>43191</v>
      </c>
      <c r="J46" s="2783">
        <f t="shared" si="16"/>
        <v>43160</v>
      </c>
      <c r="K46" s="2783">
        <f t="shared" si="16"/>
        <v>43132</v>
      </c>
      <c r="L46" s="2783">
        <f t="shared" si="16"/>
        <v>43101</v>
      </c>
      <c r="M46" s="2783">
        <f t="shared" si="16"/>
        <v>43070</v>
      </c>
      <c r="N46" s="2783">
        <f t="shared" si="16"/>
        <v>43040</v>
      </c>
      <c r="O46" s="2783">
        <f t="shared" si="16"/>
        <v>43009</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2558</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76" t="s">
        <v>2559</v>
      </c>
      <c r="C65" s="2577" t="s">
        <v>2560</v>
      </c>
      <c r="D65" s="2577" t="s">
        <v>2561</v>
      </c>
      <c r="E65" s="2577" t="s">
        <v>2562</v>
      </c>
      <c r="F65" s="2577" t="s">
        <v>2563</v>
      </c>
      <c r="G65" s="2577" t="s">
        <v>2564</v>
      </c>
      <c r="H65" s="674"/>
      <c r="I65" s="674"/>
      <c r="J65" s="674"/>
      <c r="K65" s="674"/>
      <c r="L65" s="674"/>
      <c r="M65" s="258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49"/>
    <col min="20" max="35" width="9" style="257"/>
    <col min="36" max="16384" width="9" style="1249"/>
  </cols>
  <sheetData>
    <row r="1" spans="1:45" s="257" customFormat="1" ht="14.25" customHeight="1" thickBot="1">
      <c r="A1" s="365"/>
      <c r="B1" s="2234" t="s">
        <v>2304</v>
      </c>
      <c r="C1" s="3566" t="s">
        <v>2305</v>
      </c>
      <c r="D1" s="3567"/>
      <c r="E1" s="3567"/>
      <c r="F1" s="3567"/>
      <c r="G1" s="3567"/>
      <c r="H1" s="3567"/>
      <c r="I1" s="3567"/>
      <c r="J1" s="3567"/>
      <c r="K1" s="3567"/>
      <c r="L1" s="3567"/>
      <c r="M1" s="3567"/>
      <c r="N1" s="3567"/>
      <c r="O1" s="3567"/>
      <c r="P1" s="3567"/>
      <c r="Q1" s="3567"/>
      <c r="R1" s="3567"/>
      <c r="S1" s="3568"/>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5" t="s">
        <v>2925</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7" t="s">
        <v>2924</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7" t="s">
        <v>2923</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6"/>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5" t="s">
        <v>2937</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5" t="s">
        <v>2922</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5" t="s">
        <v>2921</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563" t="s">
        <v>20</v>
      </c>
      <c r="D22" s="3564"/>
      <c r="E22" s="3564"/>
      <c r="F22" s="3564"/>
      <c r="G22" s="3564"/>
      <c r="H22" s="3564"/>
      <c r="I22" s="3564"/>
      <c r="J22" s="3564"/>
      <c r="K22" s="3564"/>
      <c r="L22" s="3564"/>
      <c r="M22" s="3564"/>
      <c r="N22" s="3564"/>
      <c r="O22" s="3564"/>
      <c r="P22" s="3564"/>
      <c r="Q22" s="3565"/>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2788</v>
      </c>
      <c r="C1" s="2983">
        <f>项目基本情况!D3</f>
        <v>43388</v>
      </c>
      <c r="H1" s="2917">
        <f>IF(C1&gt;C13,0,MATCH(C1,C$13:C$100,-1))+IF(SUMIF(C13:C100,C1,D13:D100)=0,13,12)</f>
        <v>13</v>
      </c>
      <c r="I1" s="2917">
        <f>MATCH(C2,H3:H7,1)+IF(SUMIF(H3:H7,C2,I3:I7)=0,2,1)</f>
        <v>5</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2819</v>
      </c>
      <c r="C2" s="2984">
        <f>'数据-取费表'!B22</f>
        <v>2</v>
      </c>
      <c r="D2" s="2979" t="s">
        <v>2789</v>
      </c>
      <c r="E2" s="2982">
        <f ca="1">INDIRECT("I"&amp;$I$1)/100</f>
        <v>4.7500000000000001E-2</v>
      </c>
      <c r="G2" s="2919"/>
      <c r="H2" s="2919"/>
      <c r="I2" s="2919" t="s">
        <v>2790</v>
      </c>
      <c r="K2" s="2919"/>
      <c r="L2" s="2919"/>
      <c r="M2" s="2919"/>
      <c r="N2" s="2919" t="s">
        <v>2791</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2821</v>
      </c>
      <c r="C3" s="2981">
        <f>'数据-取费表'!B19</f>
        <v>0</v>
      </c>
      <c r="D3" s="2979" t="s">
        <v>2789</v>
      </c>
      <c r="E3" s="2982">
        <f ca="1">INDIRECT("J"&amp;$J$1)/100</f>
        <v>0</v>
      </c>
      <c r="G3" s="2921" t="s">
        <v>2792</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2820</v>
      </c>
      <c r="C4" s="2982">
        <f ca="1">N4/100</f>
        <v>1.4999999999999999E-2</v>
      </c>
      <c r="G4" s="2927" t="s">
        <v>2793</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2794</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2795</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2796</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2797</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2798</v>
      </c>
      <c r="C10" s="2946"/>
      <c r="D10" s="2946"/>
      <c r="E10" s="2946"/>
      <c r="F10" s="2946"/>
      <c r="G10" s="2946"/>
      <c r="H10" s="2946"/>
      <c r="I10" s="2920"/>
      <c r="J10" s="2920"/>
      <c r="K10" s="2946"/>
      <c r="L10" s="2947" t="s">
        <v>2799</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2800</v>
      </c>
      <c r="C11" s="2951" t="s">
        <v>2801</v>
      </c>
      <c r="D11" s="2952" t="s">
        <v>2802</v>
      </c>
      <c r="E11" s="2953"/>
      <c r="F11" s="2952" t="s">
        <v>2803</v>
      </c>
      <c r="G11" s="2954"/>
      <c r="H11" s="2953"/>
      <c r="I11" s="2952" t="s">
        <v>2804</v>
      </c>
      <c r="J11" s="2953"/>
      <c r="K11" s="2949"/>
      <c r="L11" s="2950" t="s">
        <v>2800</v>
      </c>
      <c r="M11" s="2951" t="s">
        <v>2801</v>
      </c>
      <c r="N11" s="2950" t="s">
        <v>2805</v>
      </c>
      <c r="O11" s="2952" t="s">
        <v>2806</v>
      </c>
      <c r="P11" s="2954"/>
      <c r="Q11" s="2954"/>
      <c r="R11" s="2954"/>
      <c r="S11" s="2954"/>
      <c r="T11" s="2953"/>
      <c r="U11" s="2952" t="s">
        <v>2807</v>
      </c>
      <c r="V11" s="2954"/>
      <c r="W11" s="2953"/>
      <c r="X11" s="2950" t="s">
        <v>2808</v>
      </c>
      <c r="Y11" s="2950" t="s">
        <v>2809</v>
      </c>
      <c r="Z11" s="2950" t="s">
        <v>2810</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2811</v>
      </c>
      <c r="E12" s="2959" t="s">
        <v>2812</v>
      </c>
      <c r="F12" s="2959" t="s">
        <v>2813</v>
      </c>
      <c r="G12" s="2959" t="s">
        <v>2814</v>
      </c>
      <c r="H12" s="2959" t="s">
        <v>2796</v>
      </c>
      <c r="I12" s="2960" t="s">
        <v>2815</v>
      </c>
      <c r="J12" s="2960" t="s">
        <v>2815</v>
      </c>
      <c r="K12" s="2956"/>
      <c r="L12" s="2957"/>
      <c r="M12" s="2958"/>
      <c r="N12" s="2957"/>
      <c r="O12" s="2960" t="s">
        <v>2816</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2817</v>
      </c>
      <c r="C13" s="2964">
        <v>42301</v>
      </c>
      <c r="D13" s="2965">
        <v>4.3499999999999996</v>
      </c>
      <c r="E13" s="2965">
        <v>4.3499999999999996</v>
      </c>
      <c r="F13" s="2965">
        <v>4.75</v>
      </c>
      <c r="G13" s="2965">
        <v>4.75</v>
      </c>
      <c r="H13" s="2965">
        <v>4.9000000000000004</v>
      </c>
      <c r="I13" s="2965">
        <v>2.75</v>
      </c>
      <c r="J13" s="2965">
        <v>3.25</v>
      </c>
      <c r="K13" s="2962"/>
      <c r="L13" s="2963" t="s">
        <v>2817</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2818</v>
      </c>
      <c r="Y42" s="2969" t="s">
        <v>2818</v>
      </c>
      <c r="Z42" s="2969" t="s">
        <v>2818</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2818</v>
      </c>
      <c r="Y43" s="2969" t="s">
        <v>2818</v>
      </c>
      <c r="Z43" s="2969" t="s">
        <v>2818</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2818</v>
      </c>
      <c r="Y44" s="2969" t="s">
        <v>2818</v>
      </c>
      <c r="Z44" s="2969" t="s">
        <v>2818</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2818</v>
      </c>
      <c r="Y45" s="2969" t="s">
        <v>2818</v>
      </c>
      <c r="Z45" s="2969" t="s">
        <v>2818</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2818</v>
      </c>
      <c r="Y46" s="2969" t="s">
        <v>2818</v>
      </c>
      <c r="Z46" s="2969" t="s">
        <v>2818</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2818</v>
      </c>
      <c r="Y47" s="2969" t="s">
        <v>2818</v>
      </c>
      <c r="Z47" s="2969" t="s">
        <v>2818</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2818</v>
      </c>
      <c r="Y48" s="2969" t="s">
        <v>2818</v>
      </c>
      <c r="Z48" s="2969" t="s">
        <v>2818</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2818</v>
      </c>
      <c r="Y49" s="2969" t="s">
        <v>2818</v>
      </c>
      <c r="Z49" s="2969" t="s">
        <v>2818</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2818</v>
      </c>
      <c r="Y50" s="2969" t="s">
        <v>2818</v>
      </c>
      <c r="Z50" s="2969" t="s">
        <v>2818</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2818</v>
      </c>
      <c r="V51" s="2969" t="s">
        <v>2818</v>
      </c>
      <c r="W51" s="2969" t="s">
        <v>2818</v>
      </c>
      <c r="X51" s="2969" t="s">
        <v>2818</v>
      </c>
      <c r="Y51" s="2969" t="s">
        <v>2818</v>
      </c>
      <c r="Z51" s="2969" t="s">
        <v>2818</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2818</v>
      </c>
      <c r="J55" s="2969" t="s">
        <v>2818</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
  <sheetViews>
    <sheetView workbookViewId="0">
      <selection activeCell="E31" sqref="E31:F31"/>
    </sheetView>
  </sheetViews>
  <sheetFormatPr defaultRowHeight="13.5"/>
  <sheetData>
    <row r="1" spans="1:1">
      <c r="A1" s="3213"/>
    </row>
  </sheetData>
  <phoneticPr fontId="22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sheetPr>
    <tabColor rgb="FFFF0000"/>
  </sheetPr>
  <dimension ref="A1:I23"/>
  <sheetViews>
    <sheetView workbookViewId="0">
      <selection activeCell="C19" sqref="C19"/>
    </sheetView>
  </sheetViews>
  <sheetFormatPr defaultColWidth="14.625" defaultRowHeight="13.5"/>
  <cols>
    <col min="1" max="1" width="24.375" customWidth="1"/>
  </cols>
  <sheetData>
    <row r="1" spans="1:9" ht="16.5">
      <c r="A1" s="3021" t="s">
        <v>2843</v>
      </c>
      <c r="B1" s="3021">
        <f>SUM(B14:B23)</f>
        <v>400500</v>
      </c>
      <c r="C1" s="3022"/>
      <c r="D1" s="3022"/>
      <c r="E1" s="3022"/>
      <c r="F1" s="3022"/>
    </row>
    <row r="2" spans="1:9" ht="16.5">
      <c r="A2" s="3021" t="s">
        <v>2844</v>
      </c>
      <c r="B2" s="3021">
        <f>SUM(C14:C23)</f>
        <v>78298.679999999993</v>
      </c>
      <c r="C2" s="3022"/>
      <c r="D2" s="3022"/>
      <c r="E2" s="3022"/>
      <c r="F2" s="3022"/>
    </row>
    <row r="3" spans="1:9" ht="16.5">
      <c r="A3" s="3021" t="s">
        <v>2845</v>
      </c>
      <c r="B3" s="3023">
        <f>项目基本情况!D3</f>
        <v>43388</v>
      </c>
      <c r="C3" s="3022"/>
      <c r="D3" s="3022"/>
      <c r="E3" s="3022"/>
      <c r="F3" s="3022"/>
    </row>
    <row r="4" spans="1:9" ht="33">
      <c r="A4" s="3021" t="s">
        <v>2846</v>
      </c>
      <c r="B4" s="3021" t="s">
        <v>2847</v>
      </c>
      <c r="C4" s="3021" t="s">
        <v>2848</v>
      </c>
      <c r="D4" s="3021" t="s">
        <v>2849</v>
      </c>
      <c r="E4" s="3022"/>
      <c r="F4" s="3022"/>
    </row>
    <row r="5" spans="1:9" ht="16.5">
      <c r="A5" s="3021" t="s">
        <v>2850</v>
      </c>
      <c r="B5" s="3021">
        <f ca="1">SUM(D14:D23)</f>
        <v>607711</v>
      </c>
      <c r="C5" s="3021">
        <f ca="1">ROUND(B5*10000/$B$1,0)</f>
        <v>15174</v>
      </c>
      <c r="D5" s="3021">
        <f ca="1">ROUND(B5*10000/$B$2,0)</f>
        <v>77614</v>
      </c>
      <c r="E5" s="3022"/>
      <c r="F5" s="3022"/>
    </row>
    <row r="6" spans="1:9" ht="16.5">
      <c r="A6" s="3021" t="s">
        <v>2851</v>
      </c>
      <c r="B6" s="3021">
        <f>SUM(G14:G23)</f>
        <v>0</v>
      </c>
      <c r="C6" s="3021">
        <f t="shared" ref="C6:C8" si="0">ROUND(B6*10000/$B$1,0)</f>
        <v>0</v>
      </c>
      <c r="D6" s="3021">
        <f t="shared" ref="D6:D8" si="1">ROUND(B6*10000/$B$2,0)</f>
        <v>0</v>
      </c>
      <c r="E6" s="3022"/>
      <c r="F6" s="3022"/>
    </row>
    <row r="7" spans="1:9" ht="16.5">
      <c r="A7" s="3021" t="s">
        <v>2852</v>
      </c>
      <c r="B7" s="3021">
        <f>SUM(H14:H23)</f>
        <v>0</v>
      </c>
      <c r="C7" s="3021">
        <f t="shared" si="0"/>
        <v>0</v>
      </c>
      <c r="D7" s="3021">
        <f t="shared" si="1"/>
        <v>0</v>
      </c>
      <c r="E7" s="3022"/>
      <c r="F7" s="3022"/>
    </row>
    <row r="8" spans="1:9" ht="16.5">
      <c r="A8" s="3021" t="s">
        <v>2853</v>
      </c>
      <c r="B8" s="3021">
        <f>SUM(I14:I23)</f>
        <v>0</v>
      </c>
      <c r="C8" s="3021">
        <f t="shared" si="0"/>
        <v>0</v>
      </c>
      <c r="D8" s="3021">
        <f t="shared" si="1"/>
        <v>0</v>
      </c>
      <c r="E8" s="3022"/>
      <c r="F8" s="3022"/>
    </row>
    <row r="9" spans="1:9" ht="16.5">
      <c r="A9" s="3021" t="s">
        <v>2854</v>
      </c>
      <c r="B9" s="3024"/>
      <c r="C9" s="3022"/>
      <c r="D9" s="3022"/>
      <c r="E9" s="3022"/>
      <c r="F9" s="3022"/>
    </row>
    <row r="10" spans="1:9" ht="16.5">
      <c r="A10" s="3021" t="s">
        <v>2855</v>
      </c>
      <c r="B10" s="3024"/>
      <c r="C10" s="3022"/>
      <c r="D10" s="3022"/>
      <c r="E10" s="3022"/>
      <c r="F10" s="3022"/>
    </row>
    <row r="11" spans="1:9" ht="16.5">
      <c r="A11" s="3021" t="s">
        <v>2872</v>
      </c>
      <c r="B11" s="3024"/>
      <c r="C11" s="3022"/>
      <c r="D11" s="3022"/>
      <c r="E11" s="3022"/>
      <c r="F11" s="3022"/>
    </row>
    <row r="12" spans="1:9" ht="16.5">
      <c r="A12" s="3022"/>
      <c r="B12" s="3022"/>
      <c r="C12" s="3022"/>
      <c r="D12" s="3022"/>
      <c r="E12" s="3022"/>
      <c r="F12" s="3022"/>
    </row>
    <row r="13" spans="1:9" ht="33">
      <c r="A13" s="3027" t="s">
        <v>2871</v>
      </c>
      <c r="B13" s="3025" t="s">
        <v>2843</v>
      </c>
      <c r="C13" s="3025" t="s">
        <v>2844</v>
      </c>
      <c r="D13" s="3025" t="s">
        <v>2856</v>
      </c>
      <c r="E13" s="3021" t="s">
        <v>2870</v>
      </c>
      <c r="F13" s="3021" t="s">
        <v>2849</v>
      </c>
      <c r="G13" s="3025" t="s">
        <v>2857</v>
      </c>
      <c r="H13" s="3025" t="s">
        <v>2858</v>
      </c>
      <c r="I13" s="3025" t="s">
        <v>2859</v>
      </c>
    </row>
    <row r="14" spans="1:9" ht="16.5">
      <c r="A14" s="3028" t="s">
        <v>2869</v>
      </c>
      <c r="B14" s="3025">
        <f>'结果表-办公'!L38</f>
        <v>400500</v>
      </c>
      <c r="C14" s="3025">
        <f>'结果表-办公'!K38</f>
        <v>78298.679999999993</v>
      </c>
      <c r="D14" s="3025">
        <f ca="1">'结果表-办公'!C42</f>
        <v>607711</v>
      </c>
      <c r="E14" s="3025">
        <f ca="1">ROUND(D14*10000/B14,0)</f>
        <v>15174</v>
      </c>
      <c r="F14" s="3025">
        <f ca="1">ROUND(D14*10000/C14,0)</f>
        <v>77614</v>
      </c>
      <c r="G14" s="3025" t="str">
        <f>'结果表-办公'!C44</f>
        <v>——</v>
      </c>
      <c r="H14" s="3025" t="str">
        <f>'结果表-办公'!C45</f>
        <v>——</v>
      </c>
      <c r="I14" s="3025" t="str">
        <f>'结果表-办公'!C46</f>
        <v>——</v>
      </c>
    </row>
    <row r="15" spans="1:9" ht="16.5">
      <c r="A15" s="3028" t="s">
        <v>2860</v>
      </c>
      <c r="B15" s="3029"/>
      <c r="C15" s="3029"/>
      <c r="D15" s="3029"/>
      <c r="E15" s="3025" t="e">
        <f t="shared" ref="E15:E23" si="2">ROUND(D15*10000/B15,0)</f>
        <v>#DIV/0!</v>
      </c>
      <c r="F15" s="3025" t="e">
        <f t="shared" ref="F15:F23" si="3">ROUND(D15*10000/C15,0)</f>
        <v>#DIV/0!</v>
      </c>
      <c r="G15" s="3026"/>
      <c r="H15" s="3026"/>
      <c r="I15" s="3029"/>
    </row>
    <row r="16" spans="1:9" ht="16.5">
      <c r="A16" s="3028" t="s">
        <v>2861</v>
      </c>
      <c r="B16" s="3029"/>
      <c r="C16" s="3029"/>
      <c r="D16" s="3029"/>
      <c r="E16" s="3025" t="e">
        <f t="shared" si="2"/>
        <v>#DIV/0!</v>
      </c>
      <c r="F16" s="3025" t="e">
        <f t="shared" si="3"/>
        <v>#DIV/0!</v>
      </c>
      <c r="G16" s="3026"/>
      <c r="H16" s="3026"/>
      <c r="I16" s="3029"/>
    </row>
    <row r="17" spans="1:9" ht="16.5">
      <c r="A17" s="3028" t="s">
        <v>2862</v>
      </c>
      <c r="B17" s="3029"/>
      <c r="C17" s="3029"/>
      <c r="D17" s="3029"/>
      <c r="E17" s="3025" t="e">
        <f t="shared" si="2"/>
        <v>#DIV/0!</v>
      </c>
      <c r="F17" s="3025" t="e">
        <f t="shared" si="3"/>
        <v>#DIV/0!</v>
      </c>
      <c r="G17" s="3026"/>
      <c r="H17" s="3026"/>
      <c r="I17" s="3029"/>
    </row>
    <row r="18" spans="1:9" ht="16.5">
      <c r="A18" s="3028" t="s">
        <v>2863</v>
      </c>
      <c r="B18" s="3029"/>
      <c r="C18" s="3029"/>
      <c r="D18" s="3029"/>
      <c r="E18" s="3025" t="e">
        <f t="shared" si="2"/>
        <v>#DIV/0!</v>
      </c>
      <c r="F18" s="3025" t="e">
        <f t="shared" si="3"/>
        <v>#DIV/0!</v>
      </c>
      <c r="G18" s="3029"/>
      <c r="H18" s="3029"/>
      <c r="I18" s="3029"/>
    </row>
    <row r="19" spans="1:9" ht="16.5">
      <c r="A19" s="3028" t="s">
        <v>2864</v>
      </c>
      <c r="B19" s="3029"/>
      <c r="C19" s="3029"/>
      <c r="D19" s="3029"/>
      <c r="E19" s="3025" t="e">
        <f t="shared" si="2"/>
        <v>#DIV/0!</v>
      </c>
      <c r="F19" s="3025" t="e">
        <f t="shared" si="3"/>
        <v>#DIV/0!</v>
      </c>
      <c r="G19" s="3029"/>
      <c r="H19" s="3029"/>
      <c r="I19" s="3029"/>
    </row>
    <row r="20" spans="1:9" ht="16.5">
      <c r="A20" s="3028" t="s">
        <v>2865</v>
      </c>
      <c r="B20" s="3029"/>
      <c r="C20" s="3029"/>
      <c r="D20" s="3029"/>
      <c r="E20" s="3025" t="e">
        <f t="shared" si="2"/>
        <v>#DIV/0!</v>
      </c>
      <c r="F20" s="3025" t="e">
        <f t="shared" si="3"/>
        <v>#DIV/0!</v>
      </c>
      <c r="G20" s="3029"/>
      <c r="H20" s="3029"/>
      <c r="I20" s="3029"/>
    </row>
    <row r="21" spans="1:9" ht="16.5">
      <c r="A21" s="3028" t="s">
        <v>2866</v>
      </c>
      <c r="B21" s="3029"/>
      <c r="C21" s="3029"/>
      <c r="D21" s="3029"/>
      <c r="E21" s="3025" t="e">
        <f t="shared" si="2"/>
        <v>#DIV/0!</v>
      </c>
      <c r="F21" s="3025" t="e">
        <f t="shared" si="3"/>
        <v>#DIV/0!</v>
      </c>
      <c r="G21" s="3029"/>
      <c r="H21" s="3029"/>
      <c r="I21" s="3029"/>
    </row>
    <row r="22" spans="1:9" ht="16.5">
      <c r="A22" s="3028" t="s">
        <v>2867</v>
      </c>
      <c r="B22" s="3029"/>
      <c r="C22" s="3029"/>
      <c r="D22" s="3029"/>
      <c r="E22" s="3025" t="e">
        <f t="shared" si="2"/>
        <v>#DIV/0!</v>
      </c>
      <c r="F22" s="3025" t="e">
        <f t="shared" si="3"/>
        <v>#DIV/0!</v>
      </c>
      <c r="G22" s="3029"/>
      <c r="H22" s="3029"/>
      <c r="I22" s="3029"/>
    </row>
    <row r="23" spans="1:9" ht="16.5">
      <c r="A23" s="3028" t="s">
        <v>2868</v>
      </c>
      <c r="B23" s="3029"/>
      <c r="C23" s="3029"/>
      <c r="D23" s="3029"/>
      <c r="E23" s="3021" t="e">
        <f t="shared" si="2"/>
        <v>#DIV/0!</v>
      </c>
      <c r="F23" s="3021" t="e">
        <f t="shared" si="3"/>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K66"/>
  <sheetViews>
    <sheetView topLeftCell="C37" workbookViewId="0">
      <selection activeCell="L69" sqref="L69"/>
    </sheetView>
  </sheetViews>
  <sheetFormatPr defaultRowHeight="13.5"/>
  <sheetData>
    <row r="66" spans="11:11">
      <c r="K66" s="3213" t="s">
        <v>3050</v>
      </c>
    </row>
  </sheetData>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dimension ref="A1"/>
  <sheetViews>
    <sheetView topLeftCell="A58" workbookViewId="0">
      <selection activeCell="Q22" sqref="Q22"/>
    </sheetView>
  </sheetViews>
  <sheetFormatPr defaultRowHeight="13.5"/>
  <sheetData/>
  <phoneticPr fontId="228"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dimension ref="A1:N12"/>
  <sheetViews>
    <sheetView workbookViewId="0">
      <selection activeCell="P31" sqref="P31"/>
    </sheetView>
  </sheetViews>
  <sheetFormatPr defaultRowHeight="13.5"/>
  <sheetData>
    <row r="1" spans="1:14">
      <c r="A1" s="3213" t="s">
        <v>3082</v>
      </c>
      <c r="B1" s="3213">
        <f>B3+J3</f>
        <v>400500</v>
      </c>
    </row>
    <row r="3" spans="1:14">
      <c r="A3" s="3220" t="s">
        <v>3068</v>
      </c>
      <c r="B3" s="3228">
        <v>230500</v>
      </c>
      <c r="D3" s="3226"/>
      <c r="E3" s="3225" t="s">
        <v>3069</v>
      </c>
      <c r="F3" s="3225" t="s">
        <v>3070</v>
      </c>
      <c r="G3" s="3225" t="s">
        <v>3071</v>
      </c>
      <c r="I3" s="3227" t="s">
        <v>3080</v>
      </c>
      <c r="J3" s="3229">
        <v>170000</v>
      </c>
      <c r="L3" s="3226"/>
      <c r="M3" s="3225" t="s">
        <v>3069</v>
      </c>
      <c r="N3" s="3225" t="s">
        <v>3070</v>
      </c>
    </row>
    <row r="4" spans="1:14">
      <c r="A4" s="3223" t="s">
        <v>3069</v>
      </c>
      <c r="B4" s="3221">
        <v>33267</v>
      </c>
      <c r="D4" s="3225" t="s">
        <v>3072</v>
      </c>
      <c r="E4" s="3223">
        <v>3127</v>
      </c>
      <c r="F4" s="3222">
        <v>49980</v>
      </c>
      <c r="G4" s="3222"/>
      <c r="I4" s="3223" t="s">
        <v>3069</v>
      </c>
      <c r="J4" s="3221">
        <v>23598</v>
      </c>
      <c r="L4" s="3225" t="s">
        <v>3072</v>
      </c>
      <c r="M4" s="3221"/>
      <c r="N4" s="3222">
        <v>42893</v>
      </c>
    </row>
    <row r="5" spans="1:14">
      <c r="A5" s="3224" t="s">
        <v>3070</v>
      </c>
      <c r="B5" s="3222">
        <v>196879</v>
      </c>
      <c r="D5" s="3225" t="s">
        <v>3073</v>
      </c>
      <c r="E5" s="3223">
        <v>3840</v>
      </c>
      <c r="F5" s="3222">
        <v>48763</v>
      </c>
      <c r="G5" s="3222"/>
      <c r="I5" s="3223" t="s">
        <v>3081</v>
      </c>
      <c r="J5" s="3221">
        <v>28590</v>
      </c>
      <c r="L5" s="3225" t="s">
        <v>3073</v>
      </c>
      <c r="M5" s="3221"/>
      <c r="N5" s="3222">
        <v>36653</v>
      </c>
    </row>
    <row r="6" spans="1:14">
      <c r="A6" s="3224" t="s">
        <v>3071</v>
      </c>
      <c r="B6" s="3222">
        <v>354</v>
      </c>
      <c r="D6" s="3225" t="s">
        <v>3074</v>
      </c>
      <c r="E6" s="3221">
        <v>3930</v>
      </c>
      <c r="F6" s="3222">
        <v>48524</v>
      </c>
      <c r="G6" s="3222"/>
      <c r="I6" s="3224" t="s">
        <v>3070</v>
      </c>
      <c r="J6" s="3222">
        <v>116871</v>
      </c>
      <c r="L6" s="3225" t="s">
        <v>3074</v>
      </c>
      <c r="M6" s="3221"/>
      <c r="N6" s="3222">
        <v>37325</v>
      </c>
    </row>
    <row r="7" spans="1:14">
      <c r="D7" s="3225" t="s">
        <v>3075</v>
      </c>
      <c r="E7" s="3221">
        <v>4628</v>
      </c>
      <c r="F7" s="3222">
        <v>49613</v>
      </c>
      <c r="G7" s="3222"/>
      <c r="I7" s="3224" t="s">
        <v>3071</v>
      </c>
      <c r="J7" s="3222">
        <v>941</v>
      </c>
      <c r="L7" s="3225" t="s">
        <v>3075</v>
      </c>
      <c r="M7" s="3221">
        <v>28590</v>
      </c>
      <c r="N7" s="3222"/>
    </row>
    <row r="8" spans="1:14">
      <c r="D8" s="3225" t="s">
        <v>3076</v>
      </c>
      <c r="E8" s="3221">
        <v>5705</v>
      </c>
      <c r="F8" s="3222"/>
      <c r="G8" s="3219"/>
      <c r="L8" s="3225" t="s">
        <v>3076</v>
      </c>
      <c r="M8" s="3221">
        <v>23598</v>
      </c>
      <c r="N8" s="3222">
        <v>941</v>
      </c>
    </row>
    <row r="9" spans="1:14">
      <c r="D9" s="3225"/>
      <c r="E9" s="3221">
        <v>1874</v>
      </c>
      <c r="F9" s="3222"/>
      <c r="G9" s="3222"/>
      <c r="L9" s="3225"/>
      <c r="M9" s="3226">
        <f>SUM(M7:M8)</f>
        <v>52188</v>
      </c>
      <c r="N9" s="3226">
        <f>SUM(N4:N8)</f>
        <v>117812</v>
      </c>
    </row>
    <row r="10" spans="1:14">
      <c r="D10" s="3225" t="s">
        <v>3077</v>
      </c>
      <c r="E10" s="3221">
        <v>5185</v>
      </c>
      <c r="F10" s="3222"/>
      <c r="G10" s="3222"/>
    </row>
    <row r="11" spans="1:14">
      <c r="D11" s="3225" t="s">
        <v>3078</v>
      </c>
      <c r="E11" s="3221">
        <v>4978</v>
      </c>
      <c r="F11" s="3222"/>
      <c r="G11" s="3222">
        <v>354</v>
      </c>
    </row>
    <row r="12" spans="1:14">
      <c r="D12" s="3225" t="s">
        <v>3079</v>
      </c>
      <c r="E12" s="3226">
        <f>SUM(E4:E11)</f>
        <v>33267</v>
      </c>
      <c r="F12" s="3226">
        <f>SUM(F4:F7)</f>
        <v>196880</v>
      </c>
      <c r="G12" s="3226">
        <v>354</v>
      </c>
    </row>
  </sheetData>
  <phoneticPr fontId="228" type="noConversion"/>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sheetPr>
    <tabColor rgb="FF92D050"/>
  </sheetPr>
  <dimension ref="A1:AH107"/>
  <sheetViews>
    <sheetView zoomScale="80" zoomScaleNormal="80" workbookViewId="0">
      <selection activeCell="W40" sqref="W40"/>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2" customFormat="1">
      <c r="B1" s="3575" t="s">
        <v>2577</v>
      </c>
      <c r="C1" s="3575"/>
      <c r="D1" s="3575"/>
      <c r="E1" s="3575"/>
      <c r="F1" s="3575"/>
      <c r="G1" s="3574" t="s">
        <v>2578</v>
      </c>
      <c r="H1" s="3574"/>
      <c r="I1" s="3574"/>
      <c r="J1" s="3574"/>
      <c r="K1" s="3574"/>
      <c r="L1" s="3574"/>
      <c r="N1" s="3574" t="s">
        <v>2579</v>
      </c>
      <c r="O1" s="3574"/>
      <c r="P1" s="3574"/>
      <c r="Q1" s="3574"/>
      <c r="R1" s="2633"/>
      <c r="S1" s="3574" t="s">
        <v>2580</v>
      </c>
      <c r="T1" s="3574"/>
      <c r="U1" s="3574"/>
      <c r="V1" s="3574"/>
      <c r="X1" s="3573" t="s">
        <v>2640</v>
      </c>
      <c r="Y1" s="3574"/>
      <c r="Z1" s="3574"/>
      <c r="AA1" s="3574"/>
      <c r="AB1" s="3574"/>
      <c r="AD1" s="3573" t="s">
        <v>2644</v>
      </c>
      <c r="AE1" s="3574"/>
      <c r="AF1" s="3574"/>
      <c r="AG1" s="3574"/>
      <c r="AH1" s="3574"/>
    </row>
    <row r="2" spans="1:34" s="2735" customFormat="1" ht="14.25" thickBot="1">
      <c r="B2" s="2743" t="s">
        <v>2581</v>
      </c>
      <c r="C2" s="2743" t="s">
        <v>2642</v>
      </c>
      <c r="D2" s="2736" t="s">
        <v>1645</v>
      </c>
      <c r="E2" s="2736" t="s">
        <v>1950</v>
      </c>
      <c r="F2" s="2743" t="s">
        <v>2643</v>
      </c>
      <c r="G2" s="2739"/>
      <c r="H2" s="2738"/>
      <c r="I2" s="2743" t="s">
        <v>2954</v>
      </c>
      <c r="J2" s="2736" t="s">
        <v>2956</v>
      </c>
      <c r="K2" s="2736" t="s">
        <v>2957</v>
      </c>
      <c r="L2" s="2743" t="s">
        <v>2958</v>
      </c>
      <c r="N2" s="2743" t="s">
        <v>2581</v>
      </c>
      <c r="O2" s="2736" t="s">
        <v>2955</v>
      </c>
      <c r="P2" s="2736" t="s">
        <v>1950</v>
      </c>
      <c r="Q2" s="2743" t="s">
        <v>2643</v>
      </c>
      <c r="R2" s="2737"/>
      <c r="S2" s="2743" t="s">
        <v>2581</v>
      </c>
      <c r="T2" s="2736" t="s">
        <v>2955</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10" customFormat="1" ht="14.25">
      <c r="A3" s="3122" t="s">
        <v>2967</v>
      </c>
      <c r="B3" s="3111"/>
      <c r="C3" s="3111"/>
      <c r="D3" s="3112"/>
      <c r="E3" s="3112"/>
      <c r="F3" s="3111"/>
      <c r="G3" s="3113"/>
      <c r="H3" s="3114"/>
      <c r="I3" s="3121">
        <f>ROUND(AVERAGE($I4:$I24),2)</f>
        <v>2.19</v>
      </c>
      <c r="J3" s="3121">
        <f>ROUND(AVERAGE($J4:$J24),2)</f>
        <v>1.53</v>
      </c>
      <c r="K3" s="3121">
        <f>ROUND(AVERAGE($K4:$K24),2)</f>
        <v>2.41</v>
      </c>
      <c r="L3" s="3121">
        <f>ROUND(AVERAGE($L4:$L24),2)</f>
        <v>1.42</v>
      </c>
      <c r="N3" s="3113"/>
      <c r="O3" s="3115"/>
      <c r="P3" s="3115"/>
      <c r="Q3" s="3115"/>
      <c r="R3" s="3115"/>
      <c r="S3" s="3113"/>
      <c r="T3" s="3115"/>
      <c r="U3" s="3115"/>
      <c r="V3" s="3115"/>
      <c r="W3" s="3118"/>
      <c r="X3" s="3116">
        <f>ROUND(SUMPRODUCT(PRODUCT(1+N3:N$23)),4)</f>
        <v>1.4956</v>
      </c>
      <c r="Y3" s="3116">
        <f>ROUND(SUMPRODUCT(PRODUCT(1+O3:O$23)),4)</f>
        <v>1.3237000000000001</v>
      </c>
      <c r="Z3" s="3116">
        <f t="shared" ref="Z3:Z21" si="0">Y3</f>
        <v>1.3237000000000001</v>
      </c>
      <c r="AA3" s="3116">
        <f>ROUND(SUMPRODUCT(PRODUCT(1+P3:P$23)),4)</f>
        <v>1.554</v>
      </c>
      <c r="AB3" s="3116">
        <f>ROUND(SUMPRODUCT(PRODUCT(1+Q3:Q$23)),4)</f>
        <v>1.3087</v>
      </c>
      <c r="AD3" s="3117">
        <f>ROUND(AVERAGE(I3:I$24)/100,4)</f>
        <v>2.1899999999999999E-2</v>
      </c>
      <c r="AE3" s="3117">
        <f>ROUND(AVERAGE(J3:J$24)/100,4)</f>
        <v>1.5299999999999999E-2</v>
      </c>
      <c r="AF3" s="3117">
        <f t="shared" ref="AF3:AF22" si="1">AE3</f>
        <v>1.5299999999999999E-2</v>
      </c>
      <c r="AG3" s="3117">
        <f>ROUND(AVERAGE(K3:K$24)/100,4)</f>
        <v>2.41E-2</v>
      </c>
      <c r="AH3" s="3117">
        <f>ROUND(AVERAGE(L3:L$24)/100,4)</f>
        <v>1.4200000000000001E-2</v>
      </c>
    </row>
    <row r="4" spans="1:34" s="2728" customFormat="1" ht="14.25">
      <c r="B4" s="2729"/>
      <c r="C4" s="2729"/>
      <c r="D4" s="2730"/>
      <c r="E4" s="2730"/>
      <c r="F4" s="2729"/>
      <c r="G4" s="2734"/>
      <c r="H4" s="2731"/>
      <c r="I4" s="3103"/>
      <c r="J4" s="3103"/>
      <c r="K4" s="3103"/>
      <c r="L4" s="3103"/>
      <c r="N4" s="2734"/>
      <c r="O4" s="2732"/>
      <c r="P4" s="2732"/>
      <c r="Q4" s="2732"/>
      <c r="R4" s="2732"/>
      <c r="S4" s="2734"/>
      <c r="T4" s="2732"/>
      <c r="U4" s="2732"/>
      <c r="V4" s="2732"/>
      <c r="W4" s="3119"/>
      <c r="X4" s="2733"/>
      <c r="Y4" s="2733"/>
      <c r="Z4" s="2733"/>
      <c r="AA4" s="2733"/>
      <c r="AB4" s="2733"/>
      <c r="AD4" s="2653"/>
      <c r="AE4" s="2653"/>
      <c r="AF4" s="2653"/>
      <c r="AG4" s="2653"/>
      <c r="AH4" s="2653"/>
    </row>
    <row r="5" spans="1:34" s="3091" customFormat="1">
      <c r="A5" s="3089" t="s">
        <v>2979</v>
      </c>
      <c r="B5" s="2774">
        <f>B6*(1+N5)</f>
        <v>459.95733971036987</v>
      </c>
      <c r="C5" s="2774">
        <f t="shared" ref="C5" si="2">C6*(1+O5)</f>
        <v>341.22221064422405</v>
      </c>
      <c r="D5" s="2774">
        <f t="shared" ref="D5" si="3">C5</f>
        <v>341.22221064422405</v>
      </c>
      <c r="E5" s="2774">
        <f t="shared" ref="E5" si="4">E6*(1+P5)</f>
        <v>657.19161663724799</v>
      </c>
      <c r="F5" s="2774">
        <f t="shared" ref="F5" si="5">F6*(1+Q5)</f>
        <v>300.87803644464805</v>
      </c>
      <c r="G5" s="2734">
        <v>2018</v>
      </c>
      <c r="H5" s="3090">
        <v>4</v>
      </c>
      <c r="I5" s="3104">
        <v>0</v>
      </c>
      <c r="J5" s="3104">
        <v>0</v>
      </c>
      <c r="K5" s="3104">
        <v>0</v>
      </c>
      <c r="L5" s="3104">
        <v>0</v>
      </c>
      <c r="N5" s="2741">
        <f t="shared" ref="N5" si="6">I5/100</f>
        <v>0</v>
      </c>
      <c r="O5" s="2741">
        <f t="shared" ref="O5" si="7">J5/100</f>
        <v>0</v>
      </c>
      <c r="P5" s="2741">
        <f t="shared" ref="P5" si="8">K5/100</f>
        <v>0</v>
      </c>
      <c r="Q5" s="2741">
        <f t="shared" ref="Q5" si="9">L5/100</f>
        <v>0</v>
      </c>
      <c r="R5" s="3092"/>
      <c r="S5" s="3093"/>
      <c r="T5" s="3092"/>
      <c r="U5" s="3092"/>
      <c r="V5" s="3092"/>
      <c r="W5" s="3120" t="s">
        <v>2968</v>
      </c>
      <c r="X5" s="3094">
        <f>ROUND(SUMPRODUCT(PRODUCT(1+N6:N$24)),4)</f>
        <v>1.54</v>
      </c>
      <c r="Y5" s="3094">
        <f>ROUND(SUMPRODUCT(PRODUCT(1+O6:O$24)),4)</f>
        <v>1.3547</v>
      </c>
      <c r="Z5" s="3094">
        <f t="shared" ref="Z5" si="10">Y5</f>
        <v>1.3547</v>
      </c>
      <c r="AA5" s="3094">
        <f>ROUND(SUMPRODUCT(PRODUCT(1+P6:P$24)),4)</f>
        <v>1.605</v>
      </c>
      <c r="AB5" s="3094">
        <f>ROUND(SUMPRODUCT(PRODUCT(1+Q6:Q$24)),4)</f>
        <v>1.3265</v>
      </c>
      <c r="AD5" s="3095">
        <f>ROUND(AVERAGE(I5:I$24)/100,4)</f>
        <v>2.1899999999999999E-2</v>
      </c>
      <c r="AE5" s="3095">
        <f>ROUND(AVERAGE(J5:J$24)/100,4)</f>
        <v>1.5299999999999999E-2</v>
      </c>
      <c r="AF5" s="3095">
        <f t="shared" ref="AF5" si="11">AE5</f>
        <v>1.5299999999999999E-2</v>
      </c>
      <c r="AG5" s="3095">
        <f>ROUND(AVERAGE(K5:K$24)/100,4)</f>
        <v>2.41E-2</v>
      </c>
      <c r="AH5" s="3095">
        <f>ROUND(AVERAGE(L5:L$24)/100,4)</f>
        <v>1.4200000000000001E-2</v>
      </c>
    </row>
    <row r="6" spans="1:34" s="2740" customFormat="1" ht="13.5" thickBot="1">
      <c r="A6" s="2634" t="s">
        <v>2977</v>
      </c>
      <c r="B6" s="2648">
        <f>B7*(1+N6)</f>
        <v>459.95733971036987</v>
      </c>
      <c r="C6" s="2648">
        <f t="shared" ref="C6" si="12">C7*(1+O6)</f>
        <v>341.22221064422405</v>
      </c>
      <c r="D6" s="2648">
        <f t="shared" ref="D6" si="13">C6</f>
        <v>341.22221064422405</v>
      </c>
      <c r="E6" s="2648">
        <f t="shared" ref="E6" si="14">E7*(1+P6)</f>
        <v>657.19161663724799</v>
      </c>
      <c r="F6" s="2648">
        <f t="shared" ref="F6" si="15">F7*(1+Q6)</f>
        <v>300.87803644464805</v>
      </c>
      <c r="G6" s="3109"/>
      <c r="H6" s="2638">
        <v>3</v>
      </c>
      <c r="I6" s="2638">
        <v>1.51</v>
      </c>
      <c r="J6" s="2638">
        <v>1.41</v>
      </c>
      <c r="K6" s="2638">
        <v>1.52</v>
      </c>
      <c r="L6" s="2649">
        <v>1.74</v>
      </c>
      <c r="M6" s="2642"/>
      <c r="N6" s="2643">
        <f t="shared" ref="N6" si="16">I6/100</f>
        <v>1.5100000000000001E-2</v>
      </c>
      <c r="O6" s="2644">
        <f t="shared" ref="O6" si="17">J6/100</f>
        <v>1.41E-2</v>
      </c>
      <c r="P6" s="2644">
        <f t="shared" ref="P6" si="18">K6/100</f>
        <v>1.52E-2</v>
      </c>
      <c r="Q6" s="2644">
        <f t="shared" ref="Q6" si="19">L6/100</f>
        <v>1.7399999999999999E-2</v>
      </c>
      <c r="R6" s="2645"/>
      <c r="S6" s="2651"/>
      <c r="T6" s="2652"/>
      <c r="U6" s="2652"/>
      <c r="V6" s="2652"/>
      <c r="W6" s="2642"/>
      <c r="X6" s="2733">
        <f>ROUND(SUMPRODUCT(PRODUCT(1+N6:N$23)),4)</f>
        <v>1.4956</v>
      </c>
      <c r="Y6" s="2733">
        <f>ROUND(SUMPRODUCT(PRODUCT(1+O6:O$23)),4)</f>
        <v>1.3237000000000001</v>
      </c>
      <c r="Z6" s="2733">
        <f t="shared" ref="Z6" si="20">Y6</f>
        <v>1.3237000000000001</v>
      </c>
      <c r="AA6" s="2733">
        <f>ROUND(SUMPRODUCT(PRODUCT(1+P6:P$23)),4)</f>
        <v>1.554</v>
      </c>
      <c r="AB6" s="2733">
        <f>ROUND(SUMPRODUCT(PRODUCT(1+Q6:Q$23)),4)</f>
        <v>1.3087</v>
      </c>
      <c r="AC6" s="2642"/>
      <c r="AD6" s="2653">
        <f>ROUND(AVERAGE(I6:I$24)/100,4)</f>
        <v>2.3099999999999999E-2</v>
      </c>
      <c r="AE6" s="2653">
        <f>ROUND(AVERAGE(J6:J$24)/100,4)</f>
        <v>1.61E-2</v>
      </c>
      <c r="AF6" s="2653">
        <f t="shared" ref="AF6" si="21">AE6</f>
        <v>1.61E-2</v>
      </c>
      <c r="AG6" s="2653">
        <f>ROUND(AVERAGE(K6:K$24)/100,4)</f>
        <v>2.53E-2</v>
      </c>
      <c r="AH6" s="2653">
        <f>ROUND(AVERAGE(L6:L$24)/100,4)</f>
        <v>1.4999999999999999E-2</v>
      </c>
    </row>
    <row r="7" spans="1:34" s="2740" customFormat="1" ht="13.5" thickBot="1">
      <c r="A7" s="2634" t="s">
        <v>2978</v>
      </c>
      <c r="B7" s="2648">
        <f>B8*(1+N7)</f>
        <v>453.11529869999993</v>
      </c>
      <c r="C7" s="2648">
        <f t="shared" ref="C7" si="22">C8*(1+O7)</f>
        <v>336.47787264000004</v>
      </c>
      <c r="D7" s="2648">
        <f t="shared" ref="D7" si="23">C7</f>
        <v>336.47787264000004</v>
      </c>
      <c r="E7" s="2648">
        <f t="shared" ref="E7" si="24">E8*(1+P7)</f>
        <v>647.35186823999993</v>
      </c>
      <c r="F7" s="2648">
        <f t="shared" ref="F7" si="25">F8*(1+Q7)</f>
        <v>295.73229452000004</v>
      </c>
      <c r="G7" s="3109"/>
      <c r="H7" s="2638">
        <v>2</v>
      </c>
      <c r="I7" s="2638">
        <v>1.49</v>
      </c>
      <c r="J7" s="2638">
        <v>0.96</v>
      </c>
      <c r="K7" s="2638">
        <v>1.58</v>
      </c>
      <c r="L7" s="2649">
        <v>2.44</v>
      </c>
      <c r="M7" s="2642"/>
      <c r="N7" s="2643">
        <f t="shared" ref="N7" si="26">I7/100</f>
        <v>1.49E-2</v>
      </c>
      <c r="O7" s="2644">
        <f t="shared" ref="O7" si="27">J7/100</f>
        <v>9.5999999999999992E-3</v>
      </c>
      <c r="P7" s="2644">
        <f t="shared" ref="P7" si="28">K7/100</f>
        <v>1.5800000000000002E-2</v>
      </c>
      <c r="Q7" s="2644">
        <f t="shared" ref="Q7" si="29">L7/100</f>
        <v>2.4399999999999998E-2</v>
      </c>
      <c r="R7" s="2645"/>
      <c r="S7" s="2651"/>
      <c r="T7" s="2652"/>
      <c r="U7" s="2652"/>
      <c r="V7" s="2652"/>
      <c r="W7" s="2642"/>
      <c r="X7" s="2733">
        <f>ROUND(SUMPRODUCT(PRODUCT(1+N7:N$23)),4)</f>
        <v>1.4733000000000001</v>
      </c>
      <c r="Y7" s="2733">
        <f>ROUND(SUMPRODUCT(PRODUCT(1+O7:O$23)),4)</f>
        <v>1.3052999999999999</v>
      </c>
      <c r="Z7" s="2733">
        <f t="shared" ref="Z7" si="30">Y7</f>
        <v>1.3052999999999999</v>
      </c>
      <c r="AA7" s="2733">
        <f>ROUND(SUMPRODUCT(PRODUCT(1+P7:P$23)),4)</f>
        <v>1.5306999999999999</v>
      </c>
      <c r="AB7" s="2733">
        <f>ROUND(SUMPRODUCT(PRODUCT(1+Q7:Q$23)),4)</f>
        <v>1.2863</v>
      </c>
      <c r="AC7" s="2642"/>
      <c r="AD7" s="2653">
        <f>ROUND(AVERAGE(I7:I$24)/100,4)</f>
        <v>2.35E-2</v>
      </c>
      <c r="AE7" s="2653">
        <f>ROUND(AVERAGE(J7:J$24)/100,4)</f>
        <v>1.6199999999999999E-2</v>
      </c>
      <c r="AF7" s="2653">
        <f t="shared" ref="AF7" si="31">AE7</f>
        <v>1.6199999999999999E-2</v>
      </c>
      <c r="AG7" s="2653">
        <f>ROUND(AVERAGE(K7:K$24)/100,4)</f>
        <v>2.5899999999999999E-2</v>
      </c>
      <c r="AH7" s="2653">
        <f>ROUND(AVERAGE(L7:L$24)/100,4)</f>
        <v>1.49E-2</v>
      </c>
    </row>
    <row r="8" spans="1:34" s="2740" customFormat="1" ht="13.5" thickBot="1">
      <c r="A8" s="2634" t="s">
        <v>2974</v>
      </c>
      <c r="B8" s="2648">
        <f>B9*(1+N8)</f>
        <v>446.46299999999997</v>
      </c>
      <c r="C8" s="2648">
        <f t="shared" ref="C8" si="32">C9*(1+O8)</f>
        <v>333.27840000000003</v>
      </c>
      <c r="D8" s="2648">
        <f t="shared" ref="D8:D13" si="33">C8</f>
        <v>333.27840000000003</v>
      </c>
      <c r="E8" s="2648">
        <f t="shared" ref="E8" si="34">E9*(1+P8)</f>
        <v>637.28279999999995</v>
      </c>
      <c r="F8" s="2648">
        <f t="shared" ref="F8" si="35">F9*(1+Q8)</f>
        <v>288.68830000000003</v>
      </c>
      <c r="G8" s="3109"/>
      <c r="H8" s="2638">
        <v>1</v>
      </c>
      <c r="I8" s="2638">
        <v>1.7</v>
      </c>
      <c r="J8" s="2638">
        <v>1.92</v>
      </c>
      <c r="K8" s="2638">
        <v>1.64</v>
      </c>
      <c r="L8" s="2649">
        <v>2.0099999999999998</v>
      </c>
      <c r="M8" s="2642"/>
      <c r="N8" s="2643">
        <f t="shared" ref="N8:N13" si="36">I8/100</f>
        <v>1.7000000000000001E-2</v>
      </c>
      <c r="O8" s="2644">
        <f t="shared" ref="O8" si="37">J8/100</f>
        <v>1.9199999999999998E-2</v>
      </c>
      <c r="P8" s="2644">
        <f t="shared" ref="P8" si="38">K8/100</f>
        <v>1.6399999999999998E-2</v>
      </c>
      <c r="Q8" s="2644">
        <f t="shared" ref="Q8" si="39">L8/100</f>
        <v>2.0099999999999996E-2</v>
      </c>
      <c r="R8" s="2645"/>
      <c r="S8" s="2651">
        <f>B8/B9-1</f>
        <v>1.6999999999999904E-2</v>
      </c>
      <c r="T8" s="2652">
        <f>C8/C9-1</f>
        <v>1.9200000000000106E-2</v>
      </c>
      <c r="U8" s="2652">
        <f>E8/E9-1</f>
        <v>1.639999999999997E-2</v>
      </c>
      <c r="V8" s="2652">
        <f>F8/F9-1</f>
        <v>2.0100000000000007E-2</v>
      </c>
      <c r="W8" s="2642"/>
      <c r="X8" s="2733">
        <f>ROUND(SUMPRODUCT(PRODUCT(1+N8:N$23)),4)</f>
        <v>1.4517</v>
      </c>
      <c r="Y8" s="2733">
        <f>ROUND(SUMPRODUCT(PRODUCT(1+O8:O$23)),4)</f>
        <v>1.2928999999999999</v>
      </c>
      <c r="Z8" s="2733">
        <f t="shared" ref="Z8" si="40">Y8</f>
        <v>1.2928999999999999</v>
      </c>
      <c r="AA8" s="2733">
        <f>ROUND(SUMPRODUCT(PRODUCT(1+P8:P$23)),4)</f>
        <v>1.5068999999999999</v>
      </c>
      <c r="AB8" s="2733">
        <f>ROUND(SUMPRODUCT(PRODUCT(1+Q8:Q$23)),4)</f>
        <v>1.2557</v>
      </c>
      <c r="AC8" s="2642"/>
      <c r="AD8" s="2653">
        <f>ROUND(AVERAGE(I8:I$24)/100,4)</f>
        <v>2.4E-2</v>
      </c>
      <c r="AE8" s="2653">
        <f>ROUND(AVERAGE(J8:J$24)/100,4)</f>
        <v>1.66E-2</v>
      </c>
      <c r="AF8" s="2653">
        <f t="shared" ref="AF8" si="41">AE8</f>
        <v>1.66E-2</v>
      </c>
      <c r="AG8" s="2653">
        <f>ROUND(AVERAGE(K8:K$24)/100,4)</f>
        <v>2.6499999999999999E-2</v>
      </c>
      <c r="AH8" s="2653">
        <f>ROUND(AVERAGE(L8:L$24)/100,4)</f>
        <v>1.43E-2</v>
      </c>
    </row>
    <row r="9" spans="1:34">
      <c r="A9" s="2634" t="s">
        <v>2965</v>
      </c>
      <c r="B9" s="3124">
        <v>439</v>
      </c>
      <c r="C9" s="3124">
        <v>327</v>
      </c>
      <c r="D9" s="3124">
        <f t="shared" si="33"/>
        <v>327</v>
      </c>
      <c r="E9" s="3124">
        <v>627</v>
      </c>
      <c r="F9" s="3125">
        <v>283</v>
      </c>
      <c r="G9" s="3107">
        <v>2017</v>
      </c>
      <c r="H9" s="2635">
        <v>4</v>
      </c>
      <c r="I9" s="2635">
        <v>1.71</v>
      </c>
      <c r="J9" s="2635">
        <v>1.78</v>
      </c>
      <c r="K9" s="2635">
        <v>1.71</v>
      </c>
      <c r="L9" s="2636">
        <v>1.43</v>
      </c>
      <c r="N9" s="2656">
        <f t="shared" si="36"/>
        <v>1.7100000000000001E-2</v>
      </c>
      <c r="O9" s="2657">
        <f t="shared" ref="O9" si="42">J9/100</f>
        <v>1.78E-2</v>
      </c>
      <c r="P9" s="2657">
        <f t="shared" ref="P9" si="43">K9/100</f>
        <v>1.7100000000000001E-2</v>
      </c>
      <c r="Q9" s="2657">
        <f t="shared" ref="Q9" si="44">L9/100</f>
        <v>1.43E-2</v>
      </c>
      <c r="R9" s="2645"/>
      <c r="S9" s="2646"/>
      <c r="T9" s="2647"/>
      <c r="U9" s="2647"/>
      <c r="V9" s="2647"/>
      <c r="X9" s="2733">
        <f>ROUND(SUMPRODUCT(PRODUCT(1+N9:N$23)),4)</f>
        <v>1.4274</v>
      </c>
      <c r="Y9" s="2733">
        <f>ROUND(SUMPRODUCT(PRODUCT(1+O9:O$23)),4)</f>
        <v>1.2685</v>
      </c>
      <c r="Z9" s="2733">
        <f t="shared" si="0"/>
        <v>1.2685</v>
      </c>
      <c r="AA9" s="2733">
        <f>ROUND(SUMPRODUCT(PRODUCT(1+P9:P$23)),4)</f>
        <v>1.4825999999999999</v>
      </c>
      <c r="AB9" s="2733">
        <f>ROUND(SUMPRODUCT(PRODUCT(1+Q9:Q$23)),4)</f>
        <v>1.2309000000000001</v>
      </c>
      <c r="AD9" s="2653">
        <f>ROUND(AVERAGE(I9:I$24)/100,4)</f>
        <v>2.4500000000000001E-2</v>
      </c>
      <c r="AE9" s="2653">
        <f>ROUND(AVERAGE(J9:J$24)/100,4)</f>
        <v>1.6500000000000001E-2</v>
      </c>
      <c r="AF9" s="2653">
        <f t="shared" si="1"/>
        <v>1.6500000000000001E-2</v>
      </c>
      <c r="AG9" s="2653">
        <f>ROUND(AVERAGE(K9:K$24)/100,4)</f>
        <v>2.7099999999999999E-2</v>
      </c>
      <c r="AH9" s="2653">
        <f>ROUND(AVERAGE(L9:L$24)/100,4)</f>
        <v>1.3899999999999999E-2</v>
      </c>
    </row>
    <row r="10" spans="1:34" s="2740" customFormat="1" ht="13.5" thickBot="1">
      <c r="A10" s="2634" t="s">
        <v>2969</v>
      </c>
      <c r="B10" s="2648">
        <f t="shared" ref="B10:C12" si="45">B11*(1+N10)</f>
        <v>431.80730811680002</v>
      </c>
      <c r="C10" s="2648">
        <f t="shared" si="45"/>
        <v>320.57880516480003</v>
      </c>
      <c r="D10" s="2648">
        <f t="shared" si="33"/>
        <v>320.57880516480003</v>
      </c>
      <c r="E10" s="2648">
        <f t="shared" ref="E10:F12" si="46">E11*(1+P10)</f>
        <v>615.96110553196797</v>
      </c>
      <c r="F10" s="2648">
        <f t="shared" si="46"/>
        <v>279.46777300108801</v>
      </c>
      <c r="G10" s="3109"/>
      <c r="H10" s="2638">
        <v>3</v>
      </c>
      <c r="I10" s="2638">
        <v>2.98</v>
      </c>
      <c r="J10" s="2638">
        <v>2.11</v>
      </c>
      <c r="K10" s="2638">
        <v>3.24</v>
      </c>
      <c r="L10" s="2649">
        <v>1.72</v>
      </c>
      <c r="M10" s="2642"/>
      <c r="N10" s="2643">
        <f t="shared" si="36"/>
        <v>2.98E-2</v>
      </c>
      <c r="O10" s="2661">
        <f t="shared" ref="O10:O11" si="47">J10/100</f>
        <v>2.1099999999999997E-2</v>
      </c>
      <c r="P10" s="2661">
        <f t="shared" ref="P10:P11" si="48">K10/100</f>
        <v>3.2400000000000005E-2</v>
      </c>
      <c r="Q10" s="2661">
        <f t="shared" ref="Q10:Q11" si="49">L10/100</f>
        <v>1.72E-2</v>
      </c>
      <c r="R10" s="2645"/>
      <c r="S10" s="2651"/>
      <c r="T10" s="2652"/>
      <c r="U10" s="2652"/>
      <c r="V10" s="2652"/>
      <c r="W10" s="2642"/>
      <c r="X10" s="2733">
        <f>ROUND(SUMPRODUCT(PRODUCT(1+N10:N$23)),4)</f>
        <v>1.4034</v>
      </c>
      <c r="Y10" s="2733">
        <f>ROUND(SUMPRODUCT(PRODUCT(1+O10:O$23)),4)</f>
        <v>1.2463</v>
      </c>
      <c r="Z10" s="2733">
        <f t="shared" si="0"/>
        <v>1.2463</v>
      </c>
      <c r="AA10" s="2733">
        <f>ROUND(SUMPRODUCT(PRODUCT(1+P10:P$23)),4)</f>
        <v>1.4577</v>
      </c>
      <c r="AB10" s="2733">
        <f>ROUND(SUMPRODUCT(PRODUCT(1+Q10:Q$23)),4)</f>
        <v>1.2136</v>
      </c>
      <c r="AC10" s="2642"/>
      <c r="AD10" s="2653">
        <f>ROUND(AVERAGE(I10:I$24)/100,4)</f>
        <v>2.4899999999999999E-2</v>
      </c>
      <c r="AE10" s="2653">
        <f>ROUND(AVERAGE(J10:J$24)/100,4)</f>
        <v>1.6400000000000001E-2</v>
      </c>
      <c r="AF10" s="2653">
        <f t="shared" si="1"/>
        <v>1.6400000000000001E-2</v>
      </c>
      <c r="AG10" s="2653">
        <f>ROUND(AVERAGE(K10:K$24)/100,4)</f>
        <v>2.7799999999999998E-2</v>
      </c>
      <c r="AH10" s="2653">
        <f>ROUND(AVERAGE(L10:L$24)/100,4)</f>
        <v>1.3899999999999999E-2</v>
      </c>
    </row>
    <row r="11" spans="1:34" s="2632" customFormat="1">
      <c r="A11" s="2634" t="s">
        <v>2582</v>
      </c>
      <c r="B11" s="2648">
        <f t="shared" si="45"/>
        <v>419.31181600000002</v>
      </c>
      <c r="C11" s="2648">
        <f t="shared" si="45"/>
        <v>313.95436800000004</v>
      </c>
      <c r="D11" s="2648">
        <f t="shared" si="33"/>
        <v>313.95436800000004</v>
      </c>
      <c r="E11" s="2648">
        <f t="shared" si="46"/>
        <v>596.63028431999999</v>
      </c>
      <c r="F11" s="2648">
        <f t="shared" si="46"/>
        <v>274.74220703999998</v>
      </c>
      <c r="G11" s="3108"/>
      <c r="H11" s="2639">
        <v>2</v>
      </c>
      <c r="I11" s="2639">
        <v>3.4</v>
      </c>
      <c r="J11" s="2639">
        <v>2</v>
      </c>
      <c r="K11" s="2639">
        <v>3.82</v>
      </c>
      <c r="L11" s="2650">
        <v>1.68</v>
      </c>
      <c r="N11" s="2643">
        <f t="shared" si="36"/>
        <v>3.4000000000000002E-2</v>
      </c>
      <c r="O11" s="2661">
        <f t="shared" si="47"/>
        <v>0.02</v>
      </c>
      <c r="P11" s="2661">
        <f t="shared" si="48"/>
        <v>3.8199999999999998E-2</v>
      </c>
      <c r="Q11" s="2661">
        <f t="shared" si="49"/>
        <v>1.6799999999999999E-2</v>
      </c>
      <c r="R11" s="2633"/>
      <c r="S11" s="2637"/>
      <c r="T11" s="2633"/>
      <c r="U11" s="2633"/>
      <c r="V11" s="2633"/>
      <c r="X11" s="2733">
        <f>ROUND(SUMPRODUCT(PRODUCT(1+N11:N$23)),4)</f>
        <v>1.3628</v>
      </c>
      <c r="Y11" s="2733">
        <f>ROUND(SUMPRODUCT(PRODUCT(1+O11:O$23)),4)</f>
        <v>1.2205999999999999</v>
      </c>
      <c r="Z11" s="2733">
        <f t="shared" si="0"/>
        <v>1.2205999999999999</v>
      </c>
      <c r="AA11" s="2733">
        <f>ROUND(SUMPRODUCT(PRODUCT(1+P11:P$23)),4)</f>
        <v>1.4118999999999999</v>
      </c>
      <c r="AB11" s="2733">
        <f>ROUND(SUMPRODUCT(PRODUCT(1+Q11:Q$23)),4)</f>
        <v>1.1930000000000001</v>
      </c>
      <c r="AD11" s="2653">
        <f>ROUND(AVERAGE(I11:I$24)/100,4)</f>
        <v>2.46E-2</v>
      </c>
      <c r="AE11" s="2653">
        <f>ROUND(AVERAGE(J11:J$24)/100,4)</f>
        <v>1.6E-2</v>
      </c>
      <c r="AF11" s="2653">
        <f t="shared" si="1"/>
        <v>1.6E-2</v>
      </c>
      <c r="AG11" s="2653">
        <f>ROUND(AVERAGE(K11:K$24)/100,4)</f>
        <v>2.75E-2</v>
      </c>
      <c r="AH11" s="2653">
        <f>ROUND(AVERAGE(L11:L$24)/100,4)</f>
        <v>1.37E-2</v>
      </c>
    </row>
    <row r="12" spans="1:34" s="2740" customFormat="1" ht="13.5" thickBot="1">
      <c r="A12" s="2634" t="s">
        <v>2583</v>
      </c>
      <c r="B12" s="2648">
        <f t="shared" si="45"/>
        <v>405.524</v>
      </c>
      <c r="C12" s="2648">
        <f t="shared" si="45"/>
        <v>307.79840000000002</v>
      </c>
      <c r="D12" s="2648">
        <f t="shared" si="33"/>
        <v>307.79840000000002</v>
      </c>
      <c r="E12" s="2648">
        <f t="shared" si="46"/>
        <v>574.67759999999998</v>
      </c>
      <c r="F12" s="2648">
        <f t="shared" si="46"/>
        <v>270.20280000000002</v>
      </c>
      <c r="G12" s="3109"/>
      <c r="H12" s="2638">
        <v>1</v>
      </c>
      <c r="I12" s="2638">
        <v>3.45</v>
      </c>
      <c r="J12" s="2638">
        <v>1.92</v>
      </c>
      <c r="K12" s="2638">
        <v>3.92</v>
      </c>
      <c r="L12" s="2649">
        <v>1.58</v>
      </c>
      <c r="M12" s="2642"/>
      <c r="N12" s="2651">
        <f t="shared" si="36"/>
        <v>3.4500000000000003E-2</v>
      </c>
      <c r="O12" s="2652">
        <f t="shared" ref="O12" si="50">J12/100</f>
        <v>1.9199999999999998E-2</v>
      </c>
      <c r="P12" s="2652">
        <f t="shared" ref="P12" si="51">K12/100</f>
        <v>3.9199999999999999E-2</v>
      </c>
      <c r="Q12" s="2652">
        <f t="shared" ref="Q12" si="52">L12/100</f>
        <v>1.5800000000000002E-2</v>
      </c>
      <c r="R12" s="2645"/>
      <c r="S12" s="2651">
        <f>B12/B13-1</f>
        <v>3.4499999999999975E-2</v>
      </c>
      <c r="T12" s="2652">
        <f>C12/C13-1</f>
        <v>1.9200000000000106E-2</v>
      </c>
      <c r="U12" s="2652">
        <f>E12/E13-1</f>
        <v>3.9199999999999902E-2</v>
      </c>
      <c r="V12" s="2652">
        <f>F12/F13-1</f>
        <v>1.5800000000000036E-2</v>
      </c>
      <c r="W12" s="2642"/>
      <c r="X12" s="2733">
        <f>ROUND(SUMPRODUCT(PRODUCT(1+N12:N$23)),4)</f>
        <v>1.3180000000000001</v>
      </c>
      <c r="Y12" s="2733">
        <f>ROUND(SUMPRODUCT(PRODUCT(1+O12:O$23)),4)</f>
        <v>1.1966000000000001</v>
      </c>
      <c r="Z12" s="2733">
        <f t="shared" si="0"/>
        <v>1.1966000000000001</v>
      </c>
      <c r="AA12" s="2733">
        <f>ROUND(SUMPRODUCT(PRODUCT(1+P12:P$23)),4)</f>
        <v>1.36</v>
      </c>
      <c r="AB12" s="2733">
        <f>ROUND(SUMPRODUCT(PRODUCT(1+Q12:Q$23)),4)</f>
        <v>1.1733</v>
      </c>
      <c r="AC12" s="2642"/>
      <c r="AD12" s="2653">
        <f>ROUND(AVERAGE(I12:I$24)/100,4)</f>
        <v>2.3900000000000001E-2</v>
      </c>
      <c r="AE12" s="2653">
        <f>ROUND(AVERAGE(J12:J$24)/100,4)</f>
        <v>1.5699999999999999E-2</v>
      </c>
      <c r="AF12" s="2653">
        <f t="shared" si="1"/>
        <v>1.5699999999999999E-2</v>
      </c>
      <c r="AG12" s="2653">
        <f>ROUND(AVERAGE(K12:K$24)/100,4)</f>
        <v>2.6599999999999999E-2</v>
      </c>
      <c r="AH12" s="2653">
        <f>ROUND(AVERAGE(L12:L$24)/100,4)</f>
        <v>1.34E-2</v>
      </c>
    </row>
    <row r="13" spans="1:34">
      <c r="A13" s="2634" t="s">
        <v>971</v>
      </c>
      <c r="B13" s="2640">
        <v>392</v>
      </c>
      <c r="C13" s="2640">
        <v>302</v>
      </c>
      <c r="D13" s="2640">
        <f t="shared" si="33"/>
        <v>302</v>
      </c>
      <c r="E13" s="2640">
        <v>553</v>
      </c>
      <c r="F13" s="2641">
        <v>266</v>
      </c>
      <c r="G13" s="3572">
        <v>2016</v>
      </c>
      <c r="H13" s="2635">
        <v>4</v>
      </c>
      <c r="I13" s="2635">
        <v>4.5599999999999996</v>
      </c>
      <c r="J13" s="2635">
        <v>2.15</v>
      </c>
      <c r="K13" s="2635">
        <v>5.32</v>
      </c>
      <c r="L13" s="2636">
        <v>1.57</v>
      </c>
      <c r="N13" s="2643">
        <f t="shared" si="36"/>
        <v>4.5599999999999995E-2</v>
      </c>
      <c r="O13" s="2644">
        <f t="shared" ref="O13:Q28" si="53">J13/100</f>
        <v>2.1499999999999998E-2</v>
      </c>
      <c r="P13" s="2644">
        <f t="shared" si="53"/>
        <v>5.3200000000000004E-2</v>
      </c>
      <c r="Q13" s="2644">
        <f t="shared" si="53"/>
        <v>1.5700000000000002E-2</v>
      </c>
      <c r="R13" s="2645"/>
      <c r="S13" s="2646"/>
      <c r="T13" s="2647"/>
      <c r="U13" s="2647"/>
      <c r="V13" s="2647"/>
      <c r="X13" s="2733">
        <f>ROUND(SUMPRODUCT(PRODUCT(1+N13:N$23)),4)</f>
        <v>1.274</v>
      </c>
      <c r="Y13" s="2733">
        <f>ROUND(SUMPRODUCT(PRODUCT(1+O13:O$23)),4)</f>
        <v>1.1740999999999999</v>
      </c>
      <c r="Z13" s="2733">
        <f t="shared" si="0"/>
        <v>1.1740999999999999</v>
      </c>
      <c r="AA13" s="2733">
        <f>ROUND(SUMPRODUCT(PRODUCT(1+P13:P$23)),4)</f>
        <v>1.3087</v>
      </c>
      <c r="AB13" s="2733">
        <f>ROUND(SUMPRODUCT(PRODUCT(1+Q13:Q$23)),4)</f>
        <v>1.1551</v>
      </c>
      <c r="AD13" s="2653">
        <f>ROUND(AVERAGE(I13:I$24)/100,4)</f>
        <v>2.3E-2</v>
      </c>
      <c r="AE13" s="2653">
        <f>ROUND(AVERAGE(J13:J$24)/100,4)</f>
        <v>1.55E-2</v>
      </c>
      <c r="AF13" s="2653">
        <f t="shared" si="1"/>
        <v>1.55E-2</v>
      </c>
      <c r="AG13" s="2653">
        <f>ROUND(AVERAGE(K13:K$24)/100,4)</f>
        <v>2.5600000000000001E-2</v>
      </c>
      <c r="AH13" s="2653">
        <f>ROUND(AVERAGE(L13:L$24)/100,4)</f>
        <v>1.32E-2</v>
      </c>
    </row>
    <row r="14" spans="1:34">
      <c r="A14" s="2634" t="s">
        <v>970</v>
      </c>
      <c r="B14" s="2648">
        <f t="shared" ref="B14:C16" si="54">B13/(1+N13)</f>
        <v>374.90436113236416</v>
      </c>
      <c r="C14" s="2648">
        <f t="shared" si="54"/>
        <v>295.64366128242779</v>
      </c>
      <c r="D14" s="2648">
        <f t="shared" ref="D14:D73" si="55">C14</f>
        <v>295.64366128242779</v>
      </c>
      <c r="E14" s="2648">
        <f t="shared" ref="E14:F16" si="56">E13/(1+P13)</f>
        <v>525.06646410938095</v>
      </c>
      <c r="F14" s="2648">
        <f t="shared" si="56"/>
        <v>261.88835286009646</v>
      </c>
      <c r="G14" s="3570"/>
      <c r="H14" s="2638">
        <v>3</v>
      </c>
      <c r="I14" s="2638">
        <v>4.12</v>
      </c>
      <c r="J14" s="2638">
        <v>2</v>
      </c>
      <c r="K14" s="2638">
        <v>4.79</v>
      </c>
      <c r="L14" s="2649">
        <v>1.97</v>
      </c>
      <c r="N14" s="2643">
        <f t="shared" ref="N14:Q48" si="57">I14/100</f>
        <v>4.1200000000000001E-2</v>
      </c>
      <c r="O14" s="2644">
        <f t="shared" si="53"/>
        <v>0.02</v>
      </c>
      <c r="P14" s="2644">
        <f t="shared" si="53"/>
        <v>4.7899999999999998E-2</v>
      </c>
      <c r="Q14" s="2644">
        <f t="shared" si="53"/>
        <v>1.9699999999999999E-2</v>
      </c>
      <c r="R14" s="2645"/>
      <c r="S14" s="2643"/>
      <c r="T14" s="2644"/>
      <c r="U14" s="2644"/>
      <c r="V14" s="2644"/>
      <c r="X14" s="2733">
        <f>ROUND(SUMPRODUCT(PRODUCT(1+N14:N$23)),4)</f>
        <v>1.2184999999999999</v>
      </c>
      <c r="Y14" s="2733">
        <f>ROUND(SUMPRODUCT(PRODUCT(1+O14:O$23)),4)</f>
        <v>1.1494</v>
      </c>
      <c r="Z14" s="2733">
        <f t="shared" si="0"/>
        <v>1.1494</v>
      </c>
      <c r="AA14" s="2733">
        <f>ROUND(SUMPRODUCT(PRODUCT(1+P14:P$23)),4)</f>
        <v>1.2425999999999999</v>
      </c>
      <c r="AB14" s="2733">
        <f>ROUND(SUMPRODUCT(PRODUCT(1+Q14:Q$23)),4)</f>
        <v>1.1372</v>
      </c>
      <c r="AD14" s="2653">
        <f>ROUND(AVERAGE(I14:I$24)/100,4)</f>
        <v>2.0899999999999998E-2</v>
      </c>
      <c r="AE14" s="2653">
        <f>ROUND(AVERAGE(J14:J$24)/100,4)</f>
        <v>1.49E-2</v>
      </c>
      <c r="AF14" s="2653">
        <f t="shared" si="1"/>
        <v>1.49E-2</v>
      </c>
      <c r="AG14" s="2653">
        <f>ROUND(AVERAGE(K14:K$24)/100,4)</f>
        <v>2.3099999999999999E-2</v>
      </c>
      <c r="AH14" s="2653">
        <f>ROUND(AVERAGE(L14:L$24)/100,4)</f>
        <v>1.2999999999999999E-2</v>
      </c>
    </row>
    <row r="15" spans="1:34">
      <c r="A15" s="2634" t="s">
        <v>960</v>
      </c>
      <c r="B15" s="2648">
        <f t="shared" si="54"/>
        <v>360.06949782209392</v>
      </c>
      <c r="C15" s="2648">
        <f t="shared" si="54"/>
        <v>289.84672674747821</v>
      </c>
      <c r="D15" s="2648">
        <f t="shared" si="55"/>
        <v>289.84672674747821</v>
      </c>
      <c r="E15" s="2648">
        <f t="shared" si="56"/>
        <v>501.06543001181495</v>
      </c>
      <c r="F15" s="2648">
        <f t="shared" si="56"/>
        <v>256.82882500744967</v>
      </c>
      <c r="G15" s="3570"/>
      <c r="H15" s="2639">
        <v>2</v>
      </c>
      <c r="I15" s="2639">
        <v>3.85</v>
      </c>
      <c r="J15" s="2639">
        <v>1.95</v>
      </c>
      <c r="K15" s="2639">
        <v>4.4800000000000004</v>
      </c>
      <c r="L15" s="2650">
        <v>1.41</v>
      </c>
      <c r="N15" s="2643">
        <f t="shared" si="57"/>
        <v>3.85E-2</v>
      </c>
      <c r="O15" s="2644">
        <f t="shared" si="53"/>
        <v>1.95E-2</v>
      </c>
      <c r="P15" s="2644">
        <f t="shared" si="53"/>
        <v>4.4800000000000006E-2</v>
      </c>
      <c r="Q15" s="2644">
        <f t="shared" si="53"/>
        <v>1.41E-2</v>
      </c>
      <c r="R15" s="2645"/>
      <c r="S15" s="2643"/>
      <c r="T15" s="2644"/>
      <c r="U15" s="2644"/>
      <c r="V15" s="2644"/>
      <c r="X15" s="2733">
        <f>ROUND(SUMPRODUCT(PRODUCT(1+N15:N$23)),4)</f>
        <v>1.1702999999999999</v>
      </c>
      <c r="Y15" s="2733">
        <f>ROUND(SUMPRODUCT(PRODUCT(1+O15:O$23)),4)</f>
        <v>1.1269</v>
      </c>
      <c r="Z15" s="2733">
        <f t="shared" si="0"/>
        <v>1.1269</v>
      </c>
      <c r="AA15" s="2733">
        <f>ROUND(SUMPRODUCT(PRODUCT(1+P15:P$23)),4)</f>
        <v>1.1858</v>
      </c>
      <c r="AB15" s="2733">
        <f>ROUND(SUMPRODUCT(PRODUCT(1+Q15:Q$23)),4)</f>
        <v>1.1152</v>
      </c>
      <c r="AD15" s="2653">
        <f>ROUND(AVERAGE(I15:I$24)/100,4)</f>
        <v>1.89E-2</v>
      </c>
      <c r="AE15" s="2653">
        <f>ROUND(AVERAGE(J15:J$24)/100,4)</f>
        <v>1.44E-2</v>
      </c>
      <c r="AF15" s="2653">
        <f t="shared" si="1"/>
        <v>1.44E-2</v>
      </c>
      <c r="AG15" s="2653">
        <f>ROUND(AVERAGE(K15:K$24)/100,4)</f>
        <v>2.06E-2</v>
      </c>
      <c r="AH15" s="2653">
        <f>ROUND(AVERAGE(L15:L$24)/100,4)</f>
        <v>1.23E-2</v>
      </c>
    </row>
    <row r="16" spans="1:34" ht="13.5" thickBot="1">
      <c r="A16" s="2634" t="s">
        <v>969</v>
      </c>
      <c r="B16" s="2648">
        <f t="shared" si="54"/>
        <v>346.720748986128</v>
      </c>
      <c r="C16" s="2648">
        <f t="shared" si="54"/>
        <v>284.30282172386285</v>
      </c>
      <c r="D16" s="2648">
        <f t="shared" si="55"/>
        <v>284.30282172386285</v>
      </c>
      <c r="E16" s="2648">
        <f t="shared" si="56"/>
        <v>479.58023546306947</v>
      </c>
      <c r="F16" s="2648">
        <f t="shared" si="56"/>
        <v>253.25788877571213</v>
      </c>
      <c r="G16" s="3571"/>
      <c r="H16" s="2638">
        <v>1</v>
      </c>
      <c r="I16" s="2638">
        <v>4.09</v>
      </c>
      <c r="J16" s="2638">
        <v>2.93</v>
      </c>
      <c r="K16" s="2638">
        <v>4.54</v>
      </c>
      <c r="L16" s="2649">
        <v>1.48</v>
      </c>
      <c r="N16" s="2643">
        <f t="shared" si="57"/>
        <v>4.0899999999999999E-2</v>
      </c>
      <c r="O16" s="2644">
        <f t="shared" si="53"/>
        <v>2.9300000000000003E-2</v>
      </c>
      <c r="P16" s="2644">
        <f t="shared" si="53"/>
        <v>4.5400000000000003E-2</v>
      </c>
      <c r="Q16" s="2644">
        <f t="shared" si="53"/>
        <v>1.4800000000000001E-2</v>
      </c>
      <c r="R16" s="2645"/>
      <c r="S16" s="2651">
        <f>B16/B17-1</f>
        <v>4.1203450408792808E-2</v>
      </c>
      <c r="T16" s="2652">
        <f>C16/C17-1</f>
        <v>2.6363977342465095E-2</v>
      </c>
      <c r="U16" s="2652">
        <f>E16/E17-1</f>
        <v>4.4837114298626357E-2</v>
      </c>
      <c r="V16" s="2652">
        <f>F16/F17-1</f>
        <v>1.7099954922538574E-2</v>
      </c>
      <c r="X16" s="2733">
        <f>ROUND(SUMPRODUCT(PRODUCT(1+N16:N$23)),4)</f>
        <v>1.1269</v>
      </c>
      <c r="Y16" s="2733">
        <f>ROUND(SUMPRODUCT(PRODUCT(1+O16:O$23)),4)</f>
        <v>1.1052999999999999</v>
      </c>
      <c r="Z16" s="2733">
        <f t="shared" si="0"/>
        <v>1.1052999999999999</v>
      </c>
      <c r="AA16" s="2733">
        <f>ROUND(SUMPRODUCT(PRODUCT(1+P16:P$23)),4)</f>
        <v>1.1349</v>
      </c>
      <c r="AB16" s="2733">
        <f>ROUND(SUMPRODUCT(PRODUCT(1+Q16:Q$23)),4)</f>
        <v>1.0996999999999999</v>
      </c>
      <c r="AD16" s="2653">
        <f>ROUND(AVERAGE(I16:I$24)/100,4)</f>
        <v>1.67E-2</v>
      </c>
      <c r="AE16" s="2653">
        <f>ROUND(AVERAGE(J16:J$24)/100,4)</f>
        <v>1.38E-2</v>
      </c>
      <c r="AF16" s="2653">
        <f t="shared" si="1"/>
        <v>1.38E-2</v>
      </c>
      <c r="AG16" s="2653">
        <f>ROUND(AVERAGE(K16:K$24)/100,4)</f>
        <v>1.7899999999999999E-2</v>
      </c>
      <c r="AH16" s="2653">
        <f>ROUND(AVERAGE(L16:L$24)/100,4)</f>
        <v>1.21E-2</v>
      </c>
    </row>
    <row r="17" spans="1:34" ht="13.5" thickBot="1">
      <c r="A17" s="2634" t="s">
        <v>968</v>
      </c>
      <c r="B17" s="2640">
        <v>333</v>
      </c>
      <c r="C17" s="2640">
        <v>277</v>
      </c>
      <c r="D17" s="2640">
        <f t="shared" si="55"/>
        <v>277</v>
      </c>
      <c r="E17" s="2640">
        <v>459</v>
      </c>
      <c r="F17" s="2641">
        <v>249</v>
      </c>
      <c r="G17" s="3569">
        <v>2015</v>
      </c>
      <c r="H17" s="2654">
        <v>4</v>
      </c>
      <c r="I17" s="2654">
        <v>1.63</v>
      </c>
      <c r="J17" s="2654">
        <v>1.1100000000000001</v>
      </c>
      <c r="K17" s="2654">
        <v>1.77</v>
      </c>
      <c r="L17" s="2655">
        <v>1.89</v>
      </c>
      <c r="N17" s="2656">
        <f t="shared" si="57"/>
        <v>1.6299999999999999E-2</v>
      </c>
      <c r="O17" s="2657">
        <f t="shared" si="53"/>
        <v>1.11E-2</v>
      </c>
      <c r="P17" s="2657">
        <f t="shared" si="53"/>
        <v>1.77E-2</v>
      </c>
      <c r="Q17" s="2657">
        <f t="shared" si="53"/>
        <v>1.89E-2</v>
      </c>
      <c r="R17" s="2645"/>
      <c r="X17" s="2733">
        <f>ROUND(SUMPRODUCT(PRODUCT(1+N17:N$23)),4)</f>
        <v>1.0826</v>
      </c>
      <c r="Y17" s="2733">
        <f>ROUND(SUMPRODUCT(PRODUCT(1+O17:O$23)),4)</f>
        <v>1.0738000000000001</v>
      </c>
      <c r="Z17" s="2733">
        <f t="shared" si="0"/>
        <v>1.0738000000000001</v>
      </c>
      <c r="AA17" s="2733">
        <f>ROUND(SUMPRODUCT(PRODUCT(1+P17:P$23)),4)</f>
        <v>1.0855999999999999</v>
      </c>
      <c r="AB17" s="2733">
        <f>ROUND(SUMPRODUCT(PRODUCT(1+Q17:Q$23)),4)</f>
        <v>1.0837000000000001</v>
      </c>
      <c r="AD17" s="2653">
        <f>ROUND(AVERAGE(I17:I$24)/100,4)</f>
        <v>1.37E-2</v>
      </c>
      <c r="AE17" s="2653">
        <f>ROUND(AVERAGE(J17:J$24)/100,4)</f>
        <v>1.1900000000000001E-2</v>
      </c>
      <c r="AF17" s="2653">
        <f t="shared" si="1"/>
        <v>1.1900000000000001E-2</v>
      </c>
      <c r="AG17" s="2653">
        <f>ROUND(AVERAGE(K17:K$24)/100,4)</f>
        <v>1.4500000000000001E-2</v>
      </c>
      <c r="AH17" s="2653">
        <f>ROUND(AVERAGE(L17:L$24)/100,4)</f>
        <v>1.18E-2</v>
      </c>
    </row>
    <row r="18" spans="1:34">
      <c r="A18" s="2634" t="s">
        <v>967</v>
      </c>
      <c r="B18" s="2648">
        <f t="shared" ref="B18:C20" si="58">B17/(1+N17)</f>
        <v>327.65915576109415</v>
      </c>
      <c r="C18" s="2648">
        <f t="shared" si="58"/>
        <v>273.95905449510434</v>
      </c>
      <c r="D18" s="2648">
        <f t="shared" si="55"/>
        <v>273.95905449510434</v>
      </c>
      <c r="E18" s="2648">
        <f t="shared" ref="E18:F20" si="59">E17/(1+P17)</f>
        <v>451.01699911565294</v>
      </c>
      <c r="F18" s="2648">
        <f t="shared" si="59"/>
        <v>244.38119540681129</v>
      </c>
      <c r="G18" s="3570"/>
      <c r="H18" s="2659">
        <v>3</v>
      </c>
      <c r="I18" s="2659">
        <v>1.65</v>
      </c>
      <c r="J18" s="2659">
        <v>0.92</v>
      </c>
      <c r="K18" s="2659">
        <v>1.88</v>
      </c>
      <c r="L18" s="2660">
        <v>1.26</v>
      </c>
      <c r="N18" s="2643">
        <f t="shared" si="57"/>
        <v>1.6500000000000001E-2</v>
      </c>
      <c r="O18" s="2661">
        <f t="shared" si="53"/>
        <v>9.1999999999999998E-3</v>
      </c>
      <c r="P18" s="2661">
        <f t="shared" si="53"/>
        <v>1.8799999999999997E-2</v>
      </c>
      <c r="Q18" s="2661">
        <f t="shared" si="53"/>
        <v>1.26E-2</v>
      </c>
      <c r="R18" s="2645"/>
      <c r="S18" s="2643"/>
      <c r="T18" s="2644"/>
      <c r="U18" s="2644"/>
      <c r="V18" s="2644"/>
      <c r="X18" s="2733">
        <f>ROUND(SUMPRODUCT(PRODUCT(1+N18:N$23)),4)</f>
        <v>1.0651999999999999</v>
      </c>
      <c r="Y18" s="2733">
        <f>ROUND(SUMPRODUCT(PRODUCT(1+O18:O$23)),4)</f>
        <v>1.0621</v>
      </c>
      <c r="Z18" s="2733">
        <f t="shared" si="0"/>
        <v>1.0621</v>
      </c>
      <c r="AA18" s="2733">
        <f>ROUND(SUMPRODUCT(PRODUCT(1+P18:P$23)),4)</f>
        <v>1.0668</v>
      </c>
      <c r="AB18" s="2733">
        <f>ROUND(SUMPRODUCT(PRODUCT(1+Q18:Q$23)),4)</f>
        <v>1.0636000000000001</v>
      </c>
      <c r="AD18" s="2653">
        <f>ROUND(AVERAGE(I18:I$24)/100,4)</f>
        <v>1.3299999999999999E-2</v>
      </c>
      <c r="AE18" s="2653">
        <f>ROUND(AVERAGE(J18:J$24)/100,4)</f>
        <v>1.2E-2</v>
      </c>
      <c r="AF18" s="2653">
        <f t="shared" si="1"/>
        <v>1.2E-2</v>
      </c>
      <c r="AG18" s="2653">
        <f>ROUND(AVERAGE(K18:K$24)/100,4)</f>
        <v>1.4E-2</v>
      </c>
      <c r="AH18" s="2653">
        <f>ROUND(AVERAGE(L18:L$24)/100,4)</f>
        <v>1.0800000000000001E-2</v>
      </c>
    </row>
    <row r="19" spans="1:34">
      <c r="A19" s="2634" t="s">
        <v>966</v>
      </c>
      <c r="B19" s="2648">
        <f t="shared" si="58"/>
        <v>322.34053690220776</v>
      </c>
      <c r="C19" s="2648">
        <f t="shared" si="58"/>
        <v>271.46160770422546</v>
      </c>
      <c r="D19" s="2648">
        <f t="shared" si="55"/>
        <v>271.46160770422546</v>
      </c>
      <c r="E19" s="2648">
        <f t="shared" si="59"/>
        <v>442.69434542172456</v>
      </c>
      <c r="F19" s="2648">
        <f t="shared" si="59"/>
        <v>241.34030753190925</v>
      </c>
      <c r="G19" s="3570"/>
      <c r="H19" s="2639">
        <v>2</v>
      </c>
      <c r="I19" s="2639">
        <v>0.77</v>
      </c>
      <c r="J19" s="2639">
        <v>0.69</v>
      </c>
      <c r="K19" s="2639">
        <v>0.8</v>
      </c>
      <c r="L19" s="2650">
        <v>0.88</v>
      </c>
      <c r="N19" s="2643">
        <f t="shared" si="57"/>
        <v>7.7000000000000002E-3</v>
      </c>
      <c r="O19" s="2661">
        <f t="shared" si="53"/>
        <v>6.8999999999999999E-3</v>
      </c>
      <c r="P19" s="2661">
        <f t="shared" si="53"/>
        <v>8.0000000000000002E-3</v>
      </c>
      <c r="Q19" s="2661">
        <f t="shared" si="53"/>
        <v>8.8000000000000005E-3</v>
      </c>
      <c r="R19" s="2645"/>
      <c r="S19" s="2643"/>
      <c r="T19" s="2644"/>
      <c r="U19" s="2644"/>
      <c r="V19" s="2644"/>
      <c r="X19" s="2733">
        <f>ROUND(SUMPRODUCT(PRODUCT(1+N19:N$23)),4)</f>
        <v>1.048</v>
      </c>
      <c r="Y19" s="2733">
        <f>ROUND(SUMPRODUCT(PRODUCT(1+O19:O$23)),4)</f>
        <v>1.0524</v>
      </c>
      <c r="Z19" s="2733">
        <f t="shared" si="0"/>
        <v>1.0524</v>
      </c>
      <c r="AA19" s="2733">
        <f>ROUND(SUMPRODUCT(PRODUCT(1+P19:P$23)),4)</f>
        <v>1.0470999999999999</v>
      </c>
      <c r="AB19" s="2733">
        <f>ROUND(SUMPRODUCT(PRODUCT(1+Q19:Q$23)),4)</f>
        <v>1.0504</v>
      </c>
      <c r="AD19" s="2653">
        <f>ROUND(AVERAGE(I19:I$24)/100,4)</f>
        <v>1.2800000000000001E-2</v>
      </c>
      <c r="AE19" s="2653">
        <f>ROUND(AVERAGE(J19:J$24)/100,4)</f>
        <v>1.2500000000000001E-2</v>
      </c>
      <c r="AF19" s="2653">
        <f t="shared" si="1"/>
        <v>1.2500000000000001E-2</v>
      </c>
      <c r="AG19" s="2653">
        <f>ROUND(AVERAGE(K19:K$24)/100,4)</f>
        <v>1.32E-2</v>
      </c>
      <c r="AH19" s="2653">
        <f>ROUND(AVERAGE(L19:L$24)/100,4)</f>
        <v>1.0500000000000001E-2</v>
      </c>
    </row>
    <row r="20" spans="1:34">
      <c r="A20" s="2634" t="s">
        <v>965</v>
      </c>
      <c r="B20" s="2648">
        <f t="shared" si="58"/>
        <v>319.87748030386797</v>
      </c>
      <c r="C20" s="2648">
        <f t="shared" si="58"/>
        <v>269.60135833173649</v>
      </c>
      <c r="D20" s="2648">
        <f t="shared" si="55"/>
        <v>269.60135833173649</v>
      </c>
      <c r="E20" s="2648">
        <f t="shared" si="59"/>
        <v>439.18089823583784</v>
      </c>
      <c r="F20" s="2648">
        <f t="shared" si="59"/>
        <v>239.23503918706311</v>
      </c>
      <c r="G20" s="3571"/>
      <c r="H20" s="2638">
        <v>1</v>
      </c>
      <c r="I20" s="2638">
        <v>0.51</v>
      </c>
      <c r="J20" s="2638">
        <v>0.54</v>
      </c>
      <c r="K20" s="2638">
        <v>0.48</v>
      </c>
      <c r="L20" s="2649">
        <v>0.93</v>
      </c>
      <c r="N20" s="2651">
        <f t="shared" si="57"/>
        <v>5.1000000000000004E-3</v>
      </c>
      <c r="O20" s="2652">
        <f t="shared" si="53"/>
        <v>5.4000000000000003E-3</v>
      </c>
      <c r="P20" s="2652">
        <f t="shared" si="53"/>
        <v>4.7999999999999996E-3</v>
      </c>
      <c r="Q20" s="2652">
        <f t="shared" si="53"/>
        <v>9.300000000000001E-3</v>
      </c>
      <c r="R20" s="2645"/>
      <c r="S20" s="2651">
        <f>B20/B21-1</f>
        <v>5.9040261127922822E-3</v>
      </c>
      <c r="T20" s="2652">
        <f>C20/C21-1</f>
        <v>5.9752176557332781E-3</v>
      </c>
      <c r="U20" s="2652">
        <f>E20/E21-1</f>
        <v>4.9906138119859556E-3</v>
      </c>
      <c r="V20" s="2652">
        <f>F20/F21-1</f>
        <v>9.4305450930933787E-3</v>
      </c>
      <c r="X20" s="2733">
        <f>ROUND(SUMPRODUCT(PRODUCT(1+N20:N$23)),4)</f>
        <v>1.0399</v>
      </c>
      <c r="Y20" s="2733">
        <f>ROUND(SUMPRODUCT(PRODUCT(1+O20:O$23)),4)</f>
        <v>1.0451999999999999</v>
      </c>
      <c r="Z20" s="2733">
        <f t="shared" si="0"/>
        <v>1.0451999999999999</v>
      </c>
      <c r="AA20" s="2733">
        <f>ROUND(SUMPRODUCT(PRODUCT(1+P20:P$23)),4)</f>
        <v>1.0387999999999999</v>
      </c>
      <c r="AB20" s="2733">
        <f>ROUND(SUMPRODUCT(PRODUCT(1+Q20:Q$23)),4)</f>
        <v>1.0411999999999999</v>
      </c>
      <c r="AD20" s="2653">
        <f>ROUND(AVERAGE(I20:I$24)/100,4)</f>
        <v>1.38E-2</v>
      </c>
      <c r="AE20" s="2653">
        <f>ROUND(AVERAGE(J20:J$24)/100,4)</f>
        <v>1.3599999999999999E-2</v>
      </c>
      <c r="AF20" s="2653">
        <f t="shared" si="1"/>
        <v>1.3599999999999999E-2</v>
      </c>
      <c r="AG20" s="2653">
        <f>ROUND(AVERAGE(K20:K$24)/100,4)</f>
        <v>1.4200000000000001E-2</v>
      </c>
      <c r="AH20" s="2653">
        <f>ROUND(AVERAGE(L20:L$24)/100,4)</f>
        <v>1.0800000000000001E-2</v>
      </c>
    </row>
    <row r="21" spans="1:34" ht="13.5" thickBot="1">
      <c r="A21" s="2634" t="s">
        <v>964</v>
      </c>
      <c r="B21" s="2662">
        <v>318</v>
      </c>
      <c r="C21" s="2662">
        <v>268</v>
      </c>
      <c r="D21" s="2662">
        <f t="shared" si="55"/>
        <v>268</v>
      </c>
      <c r="E21" s="2662">
        <v>437</v>
      </c>
      <c r="F21" s="2663">
        <v>237</v>
      </c>
      <c r="G21" s="3569">
        <v>2014</v>
      </c>
      <c r="H21" s="2654">
        <v>4</v>
      </c>
      <c r="I21" s="2654">
        <v>0.21</v>
      </c>
      <c r="J21" s="2654">
        <v>0.41</v>
      </c>
      <c r="K21" s="2654">
        <v>0.12</v>
      </c>
      <c r="L21" s="2655">
        <v>0.89</v>
      </c>
      <c r="N21" s="2643">
        <f t="shared" si="57"/>
        <v>2.0999999999999999E-3</v>
      </c>
      <c r="O21" s="2644">
        <f t="shared" si="53"/>
        <v>4.0999999999999995E-3</v>
      </c>
      <c r="P21" s="2644">
        <f t="shared" si="53"/>
        <v>1.1999999999999999E-3</v>
      </c>
      <c r="Q21" s="2644">
        <f t="shared" si="53"/>
        <v>8.8999999999999999E-3</v>
      </c>
      <c r="R21" s="2645"/>
      <c r="S21" s="2646"/>
      <c r="T21" s="2647"/>
      <c r="U21" s="2647"/>
      <c r="V21" s="2647"/>
      <c r="X21" s="2733">
        <f>ROUND(SUMPRODUCT(PRODUCT(1+N21:N$23)),4)</f>
        <v>1.0347</v>
      </c>
      <c r="Y21" s="2733">
        <f>ROUND(SUMPRODUCT(PRODUCT(1+O21:O$23)),4)</f>
        <v>1.0395000000000001</v>
      </c>
      <c r="Z21" s="2733">
        <f t="shared" si="0"/>
        <v>1.0395000000000001</v>
      </c>
      <c r="AA21" s="2733">
        <f>ROUND(SUMPRODUCT(PRODUCT(1+P21:P$23)),4)</f>
        <v>1.0338000000000001</v>
      </c>
      <c r="AB21" s="2733">
        <f>ROUND(SUMPRODUCT(PRODUCT(1+Q21:Q$23)),4)</f>
        <v>1.0316000000000001</v>
      </c>
      <c r="AD21" s="2653">
        <f>ROUND(AVERAGE(I21:I$24)/100,4)</f>
        <v>1.6E-2</v>
      </c>
      <c r="AE21" s="2653">
        <f>ROUND(AVERAGE(J21:J$24)/100,4)</f>
        <v>1.5599999999999999E-2</v>
      </c>
      <c r="AF21" s="2653">
        <f t="shared" si="1"/>
        <v>1.5599999999999999E-2</v>
      </c>
      <c r="AG21" s="2653">
        <f>ROUND(AVERAGE(K21:K$24)/100,4)</f>
        <v>1.66E-2</v>
      </c>
      <c r="AH21" s="2653">
        <f>ROUND(AVERAGE(L21:L$24)/100,4)</f>
        <v>1.12E-2</v>
      </c>
    </row>
    <row r="22" spans="1:34">
      <c r="A22" s="2634" t="s">
        <v>963</v>
      </c>
      <c r="B22" s="2648">
        <f t="shared" ref="B22:C24" si="60">B21/(1+N21)</f>
        <v>317.33359944117353</v>
      </c>
      <c r="C22" s="2648">
        <f t="shared" si="60"/>
        <v>266.90568668459315</v>
      </c>
      <c r="D22" s="2648">
        <f t="shared" si="55"/>
        <v>266.90568668459315</v>
      </c>
      <c r="E22" s="2648">
        <f t="shared" ref="E22:F24" si="61">E21/(1+P21)</f>
        <v>436.47622852576905</v>
      </c>
      <c r="F22" s="2648">
        <f t="shared" si="61"/>
        <v>234.90930716622066</v>
      </c>
      <c r="G22" s="3570"/>
      <c r="H22" s="2664">
        <v>3</v>
      </c>
      <c r="I22" s="2664">
        <v>0.83</v>
      </c>
      <c r="J22" s="2664">
        <v>1.47</v>
      </c>
      <c r="K22" s="2664">
        <v>0.65</v>
      </c>
      <c r="L22" s="2665">
        <v>0.72</v>
      </c>
      <c r="N22" s="2643">
        <f t="shared" si="57"/>
        <v>8.3000000000000001E-3</v>
      </c>
      <c r="O22" s="2644">
        <f t="shared" si="53"/>
        <v>1.47E-2</v>
      </c>
      <c r="P22" s="2644">
        <f t="shared" si="53"/>
        <v>6.5000000000000006E-3</v>
      </c>
      <c r="Q22" s="2644">
        <f t="shared" si="53"/>
        <v>7.1999999999999998E-3</v>
      </c>
      <c r="R22" s="2645"/>
      <c r="S22" s="2643"/>
      <c r="T22" s="2644"/>
      <c r="U22" s="2644"/>
      <c r="V22" s="2644"/>
      <c r="X22" s="2733">
        <f>ROUND(SUMPRODUCT(PRODUCT(1+N22:N$23)),4)</f>
        <v>1.0325</v>
      </c>
      <c r="Y22" s="2733">
        <f>ROUND(SUMPRODUCT(PRODUCT(1+O22:O$23)),4)</f>
        <v>1.0353000000000001</v>
      </c>
      <c r="Z22" s="2733">
        <f t="shared" ref="Z22:Z23" si="62">Y22</f>
        <v>1.0353000000000001</v>
      </c>
      <c r="AA22" s="2733">
        <f>ROUND(SUMPRODUCT(PRODUCT(1+P22:P$23)),4)</f>
        <v>1.0326</v>
      </c>
      <c r="AB22" s="2733">
        <f>ROUND(SUMPRODUCT(PRODUCT(1+Q22:Q$23)),4)</f>
        <v>1.0225</v>
      </c>
      <c r="AD22" s="2653">
        <f>ROUND(AVERAGE(I22:I$24)/100,4)</f>
        <v>2.07E-2</v>
      </c>
      <c r="AE22" s="2653">
        <f>ROUND(AVERAGE(J22:J$24)/100,4)</f>
        <v>1.95E-2</v>
      </c>
      <c r="AF22" s="2653">
        <f t="shared" si="1"/>
        <v>1.95E-2</v>
      </c>
      <c r="AG22" s="2653">
        <f>ROUND(AVERAGE(K22:K$24)/100,4)</f>
        <v>2.1700000000000001E-2</v>
      </c>
      <c r="AH22" s="2653">
        <f>ROUND(AVERAGE(L22:L$24)/100,4)</f>
        <v>1.2E-2</v>
      </c>
    </row>
    <row r="23" spans="1:34" ht="13.5" thickBot="1">
      <c r="A23" s="2634" t="s">
        <v>962</v>
      </c>
      <c r="B23" s="2648">
        <f t="shared" si="60"/>
        <v>314.72141172386546</v>
      </c>
      <c r="C23" s="2648">
        <f t="shared" si="60"/>
        <v>263.03901319069001</v>
      </c>
      <c r="D23" s="2648">
        <f t="shared" si="55"/>
        <v>263.03901319069001</v>
      </c>
      <c r="E23" s="2648">
        <f t="shared" si="61"/>
        <v>433.65745506782821</v>
      </c>
      <c r="F23" s="2648">
        <f t="shared" si="61"/>
        <v>233.23005080045735</v>
      </c>
      <c r="G23" s="3570"/>
      <c r="H23" s="2654">
        <v>2</v>
      </c>
      <c r="I23" s="2654">
        <v>2.4</v>
      </c>
      <c r="J23" s="2654">
        <v>2.0299999999999998</v>
      </c>
      <c r="K23" s="2654">
        <v>2.59</v>
      </c>
      <c r="L23" s="2655">
        <v>1.52</v>
      </c>
      <c r="N23" s="2643">
        <f t="shared" si="57"/>
        <v>2.4E-2</v>
      </c>
      <c r="O23" s="2644">
        <f t="shared" si="53"/>
        <v>2.0299999999999999E-2</v>
      </c>
      <c r="P23" s="2644">
        <f t="shared" si="53"/>
        <v>2.5899999999999999E-2</v>
      </c>
      <c r="Q23" s="2644">
        <f t="shared" si="53"/>
        <v>1.52E-2</v>
      </c>
      <c r="R23" s="2645"/>
      <c r="S23" s="2643"/>
      <c r="T23" s="2644"/>
      <c r="U23" s="2644"/>
      <c r="V23" s="2644"/>
      <c r="X23" s="2733">
        <f>1+N23</f>
        <v>1.024</v>
      </c>
      <c r="Y23" s="2733">
        <f>1+O23</f>
        <v>1.0203</v>
      </c>
      <c r="Z23" s="2733">
        <f t="shared" si="62"/>
        <v>1.0203</v>
      </c>
      <c r="AA23" s="2733">
        <f>1+P23</f>
        <v>1.0259</v>
      </c>
      <c r="AB23" s="2733">
        <f>1+Q23</f>
        <v>1.0152000000000001</v>
      </c>
      <c r="AD23" s="2653">
        <f>ROUND(AVERAGE(I23:I$24)/100,4)</f>
        <v>2.69E-2</v>
      </c>
      <c r="AE23" s="2653">
        <f>ROUND(AVERAGE(J23:J$24)/100,4)</f>
        <v>2.1899999999999999E-2</v>
      </c>
      <c r="AF23" s="2653">
        <f t="shared" ref="AF23" si="63">AE23</f>
        <v>2.1899999999999999E-2</v>
      </c>
      <c r="AG23" s="2653">
        <f>ROUND(AVERAGE(K23:K$24)/100,4)</f>
        <v>2.9399999999999999E-2</v>
      </c>
      <c r="AH23" s="2653">
        <f>ROUND(AVERAGE(L23:L$24)/100,4)</f>
        <v>1.44E-2</v>
      </c>
    </row>
    <row r="24" spans="1:34" s="2670" customFormat="1" ht="13.5" thickBot="1">
      <c r="A24" s="2666" t="s">
        <v>961</v>
      </c>
      <c r="B24" s="2667">
        <f t="shared" si="60"/>
        <v>307.34512863658733</v>
      </c>
      <c r="C24" s="2667">
        <f t="shared" si="60"/>
        <v>257.80556031626975</v>
      </c>
      <c r="D24" s="2667">
        <f t="shared" si="55"/>
        <v>257.80556031626975</v>
      </c>
      <c r="E24" s="2667">
        <f t="shared" si="61"/>
        <v>422.70928459677179</v>
      </c>
      <c r="F24" s="2667">
        <f t="shared" si="61"/>
        <v>229.73803270336617</v>
      </c>
      <c r="G24" s="3571"/>
      <c r="H24" s="2668">
        <v>1</v>
      </c>
      <c r="I24" s="2668">
        <v>2.97</v>
      </c>
      <c r="J24" s="2668">
        <v>2.34</v>
      </c>
      <c r="K24" s="2668">
        <v>3.28</v>
      </c>
      <c r="L24" s="2669">
        <v>1.36</v>
      </c>
      <c r="N24" s="2671">
        <f t="shared" si="57"/>
        <v>2.9700000000000001E-2</v>
      </c>
      <c r="O24" s="2672">
        <f t="shared" si="53"/>
        <v>2.3399999999999997E-2</v>
      </c>
      <c r="P24" s="2672">
        <f t="shared" si="53"/>
        <v>3.2799999999999996E-2</v>
      </c>
      <c r="Q24" s="2672">
        <f t="shared" si="53"/>
        <v>1.3600000000000001E-2</v>
      </c>
      <c r="R24" s="2673"/>
      <c r="S24" s="2674">
        <f>B24/B25-1</f>
        <v>2.7910129219355539E-2</v>
      </c>
      <c r="T24" s="2675">
        <f>C24/C25-1</f>
        <v>2.3037937762975247E-2</v>
      </c>
      <c r="U24" s="2675">
        <f>E24/E25-1</f>
        <v>3.3519033243940788E-2</v>
      </c>
      <c r="V24" s="2675">
        <f>F24/F25-1</f>
        <v>1.2061818076502862E-2</v>
      </c>
      <c r="W24" s="2742" t="s">
        <v>2641</v>
      </c>
      <c r="X24" s="2744">
        <v>1</v>
      </c>
      <c r="Y24" s="2744">
        <v>1</v>
      </c>
      <c r="Z24" s="2744">
        <v>1</v>
      </c>
      <c r="AA24" s="2744">
        <v>1</v>
      </c>
      <c r="AB24" s="2744">
        <v>1</v>
      </c>
      <c r="AD24" s="2985">
        <f>I24/100</f>
        <v>2.9700000000000001E-2</v>
      </c>
      <c r="AE24" s="2985">
        <f>J24/100</f>
        <v>2.3399999999999997E-2</v>
      </c>
      <c r="AF24" s="2985">
        <f>AE24</f>
        <v>2.3399999999999997E-2</v>
      </c>
      <c r="AG24" s="2985">
        <f>K24/100</f>
        <v>3.2799999999999996E-2</v>
      </c>
      <c r="AH24" s="2985">
        <f>L24/100</f>
        <v>1.3600000000000001E-2</v>
      </c>
    </row>
    <row r="25" spans="1:34" ht="13.5" thickBot="1">
      <c r="A25" s="2634" t="s">
        <v>2584</v>
      </c>
      <c r="B25" s="2640">
        <v>299</v>
      </c>
      <c r="C25" s="2640">
        <v>252</v>
      </c>
      <c r="D25" s="2640">
        <f t="shared" si="55"/>
        <v>252</v>
      </c>
      <c r="E25" s="2640">
        <v>409</v>
      </c>
      <c r="F25" s="2641">
        <v>227</v>
      </c>
      <c r="G25" s="3576">
        <v>2013</v>
      </c>
      <c r="H25" s="2676">
        <v>4</v>
      </c>
      <c r="I25" s="2676">
        <v>1.83</v>
      </c>
      <c r="J25" s="2676">
        <v>1.68</v>
      </c>
      <c r="K25" s="2676">
        <v>1.97</v>
      </c>
      <c r="L25" s="2677">
        <v>0.87</v>
      </c>
      <c r="N25" s="2656">
        <f t="shared" si="57"/>
        <v>1.83E-2</v>
      </c>
      <c r="O25" s="2657">
        <f t="shared" si="53"/>
        <v>1.6799999999999999E-2</v>
      </c>
      <c r="P25" s="2657">
        <f t="shared" si="53"/>
        <v>1.9699999999999999E-2</v>
      </c>
      <c r="Q25" s="2657">
        <f t="shared" si="53"/>
        <v>8.6999999999999994E-3</v>
      </c>
      <c r="R25" s="2645"/>
      <c r="S25" s="2646"/>
      <c r="T25" s="2647"/>
      <c r="U25" s="2647"/>
      <c r="V25" s="2647"/>
      <c r="X25" s="2647"/>
      <c r="Y25" s="2647"/>
      <c r="Z25" s="2647"/>
    </row>
    <row r="26" spans="1:34">
      <c r="A26" s="2634" t="s">
        <v>2585</v>
      </c>
      <c r="B26" s="2648">
        <f t="shared" ref="B26:C28" si="64">B25/(1+N25)</f>
        <v>293.62663262299913</v>
      </c>
      <c r="C26" s="2648">
        <f t="shared" si="64"/>
        <v>247.83634933123525</v>
      </c>
      <c r="D26" s="2648">
        <f t="shared" si="55"/>
        <v>247.83634933123525</v>
      </c>
      <c r="E26" s="2648">
        <f t="shared" ref="E26:F28" si="65">E25/(1+P25)</f>
        <v>401.09836226341076</v>
      </c>
      <c r="F26" s="2648">
        <f t="shared" si="65"/>
        <v>225.04213343908003</v>
      </c>
      <c r="G26" s="3577"/>
      <c r="H26" s="2659">
        <v>3</v>
      </c>
      <c r="I26" s="2659">
        <v>1.86</v>
      </c>
      <c r="J26" s="2659">
        <v>1.72</v>
      </c>
      <c r="K26" s="2659">
        <v>1.98</v>
      </c>
      <c r="L26" s="2660">
        <v>0.88</v>
      </c>
      <c r="N26" s="2643">
        <f t="shared" si="57"/>
        <v>1.8600000000000002E-2</v>
      </c>
      <c r="O26" s="2661">
        <f t="shared" si="53"/>
        <v>1.72E-2</v>
      </c>
      <c r="P26" s="2661">
        <f t="shared" si="53"/>
        <v>1.9799999999999998E-2</v>
      </c>
      <c r="Q26" s="2661">
        <f t="shared" si="53"/>
        <v>8.8000000000000005E-3</v>
      </c>
      <c r="R26" s="2645"/>
      <c r="S26" s="2643"/>
      <c r="T26" s="2644"/>
      <c r="U26" s="2644"/>
      <c r="V26" s="2644"/>
    </row>
    <row r="27" spans="1:34">
      <c r="A27" s="2634" t="s">
        <v>2586</v>
      </c>
      <c r="B27" s="2648">
        <f t="shared" si="64"/>
        <v>288.2649053828776</v>
      </c>
      <c r="C27" s="2648">
        <f t="shared" si="64"/>
        <v>243.64564425013293</v>
      </c>
      <c r="D27" s="2648">
        <f t="shared" si="55"/>
        <v>243.64564425013293</v>
      </c>
      <c r="E27" s="2648">
        <f t="shared" si="65"/>
        <v>393.31080825986544</v>
      </c>
      <c r="F27" s="2648">
        <f t="shared" si="65"/>
        <v>223.07903790551154</v>
      </c>
      <c r="G27" s="3577"/>
      <c r="H27" s="2639">
        <v>2</v>
      </c>
      <c r="I27" s="2639">
        <v>2.04</v>
      </c>
      <c r="J27" s="2639">
        <v>2.33</v>
      </c>
      <c r="K27" s="2639">
        <v>2.0699999999999998</v>
      </c>
      <c r="L27" s="2650">
        <v>0.69</v>
      </c>
      <c r="N27" s="2643">
        <f t="shared" si="57"/>
        <v>2.0400000000000001E-2</v>
      </c>
      <c r="O27" s="2661">
        <f t="shared" si="53"/>
        <v>2.3300000000000001E-2</v>
      </c>
      <c r="P27" s="2661">
        <f t="shared" si="53"/>
        <v>2.07E-2</v>
      </c>
      <c r="Q27" s="2661">
        <f t="shared" si="53"/>
        <v>6.8999999999999999E-3</v>
      </c>
      <c r="R27" s="2645"/>
      <c r="S27" s="2643"/>
      <c r="T27" s="2644"/>
      <c r="U27" s="2644"/>
      <c r="V27" s="2644"/>
      <c r="X27" s="2745"/>
      <c r="Y27" s="2747"/>
    </row>
    <row r="28" spans="1:34">
      <c r="A28" s="2634" t="s">
        <v>2587</v>
      </c>
      <c r="B28" s="2648">
        <f t="shared" si="64"/>
        <v>282.50186729015837</v>
      </c>
      <c r="C28" s="2648">
        <f t="shared" si="64"/>
        <v>238.09796174155468</v>
      </c>
      <c r="D28" s="2648">
        <f t="shared" si="55"/>
        <v>238.09796174155468</v>
      </c>
      <c r="E28" s="2648">
        <f t="shared" si="65"/>
        <v>385.33438646014054</v>
      </c>
      <c r="F28" s="2648">
        <f t="shared" si="65"/>
        <v>221.55034055567739</v>
      </c>
      <c r="G28" s="3578"/>
      <c r="H28" s="2638">
        <v>1</v>
      </c>
      <c r="I28" s="2638">
        <v>1.67</v>
      </c>
      <c r="J28" s="2638">
        <v>1.31</v>
      </c>
      <c r="K28" s="2638">
        <v>1.85</v>
      </c>
      <c r="L28" s="2649">
        <v>0.96</v>
      </c>
      <c r="N28" s="2651">
        <f t="shared" si="57"/>
        <v>1.67E-2</v>
      </c>
      <c r="O28" s="2652">
        <f t="shared" si="53"/>
        <v>1.3100000000000001E-2</v>
      </c>
      <c r="P28" s="2652">
        <f t="shared" si="53"/>
        <v>1.8500000000000003E-2</v>
      </c>
      <c r="Q28" s="2652">
        <f t="shared" si="53"/>
        <v>9.5999999999999992E-3</v>
      </c>
      <c r="R28" s="2645"/>
      <c r="S28" s="2651">
        <f>B28/B29-1</f>
        <v>1.6193767230785472E-2</v>
      </c>
      <c r="T28" s="2652">
        <f>C28/C29-1</f>
        <v>1.7512657015190891E-2</v>
      </c>
      <c r="U28" s="2652">
        <f>E28/E29-1</f>
        <v>1.6713420739157048E-2</v>
      </c>
      <c r="V28" s="2652">
        <f>F28/F29-1</f>
        <v>7.0470025258062563E-3</v>
      </c>
      <c r="X28" s="2746"/>
      <c r="Y28" s="2653"/>
      <c r="Z28" s="2653"/>
    </row>
    <row r="29" spans="1:34" ht="13.5" thickBot="1">
      <c r="A29" s="2634" t="s">
        <v>2588</v>
      </c>
      <c r="B29" s="2678">
        <v>278</v>
      </c>
      <c r="C29" s="2678">
        <v>234</v>
      </c>
      <c r="D29" s="2678">
        <f t="shared" si="55"/>
        <v>234</v>
      </c>
      <c r="E29" s="2678">
        <v>379</v>
      </c>
      <c r="F29" s="2679">
        <v>220</v>
      </c>
      <c r="G29" s="3569">
        <v>2012</v>
      </c>
      <c r="H29" s="2654">
        <v>4</v>
      </c>
      <c r="I29" s="2654">
        <v>0.91</v>
      </c>
      <c r="J29" s="2654">
        <v>0.68</v>
      </c>
      <c r="K29" s="2654">
        <v>0.98</v>
      </c>
      <c r="L29" s="2655">
        <v>0.9</v>
      </c>
      <c r="N29" s="2643">
        <f t="shared" si="57"/>
        <v>9.1000000000000004E-3</v>
      </c>
      <c r="O29" s="2644">
        <f t="shared" si="57"/>
        <v>6.8000000000000005E-3</v>
      </c>
      <c r="P29" s="2644">
        <f t="shared" si="57"/>
        <v>9.7999999999999997E-3</v>
      </c>
      <c r="Q29" s="2644">
        <f t="shared" si="57"/>
        <v>9.0000000000000011E-3</v>
      </c>
      <c r="R29" s="2645"/>
      <c r="S29" s="2646"/>
      <c r="T29" s="2647"/>
      <c r="U29" s="2647"/>
      <c r="V29" s="2647"/>
      <c r="X29" s="2647"/>
      <c r="Y29" s="2647"/>
      <c r="Z29" s="2647"/>
    </row>
    <row r="30" spans="1:34">
      <c r="A30" s="2634" t="s">
        <v>2589</v>
      </c>
      <c r="B30" s="2648">
        <f>B29/(1+N29)</f>
        <v>275.49301357645425</v>
      </c>
      <c r="C30" s="2648">
        <f>C29/(1+O29)</f>
        <v>232.41954707985698</v>
      </c>
      <c r="D30" s="2648">
        <f t="shared" si="55"/>
        <v>232.41954707985698</v>
      </c>
      <c r="E30" s="2648">
        <f t="shared" ref="E30:F32" si="66">E29/(1+P29)</f>
        <v>375.32184591008121</v>
      </c>
      <c r="F30" s="2648">
        <f t="shared" si="66"/>
        <v>218.03766105054513</v>
      </c>
      <c r="G30" s="3570"/>
      <c r="H30" s="2659">
        <v>3</v>
      </c>
      <c r="I30" s="2659">
        <v>0.09</v>
      </c>
      <c r="J30" s="2659">
        <v>0.28999999999999998</v>
      </c>
      <c r="K30" s="2659">
        <v>-0.01</v>
      </c>
      <c r="L30" s="2660">
        <v>0.57999999999999996</v>
      </c>
      <c r="N30" s="2643">
        <f t="shared" si="57"/>
        <v>8.9999999999999998E-4</v>
      </c>
      <c r="O30" s="2644">
        <f t="shared" si="57"/>
        <v>2.8999999999999998E-3</v>
      </c>
      <c r="P30" s="2644">
        <f t="shared" si="57"/>
        <v>-1E-4</v>
      </c>
      <c r="Q30" s="2644">
        <f t="shared" si="57"/>
        <v>5.7999999999999996E-3</v>
      </c>
      <c r="R30" s="2645"/>
      <c r="S30" s="2643"/>
      <c r="T30" s="2644"/>
      <c r="U30" s="2644"/>
      <c r="V30" s="2644"/>
    </row>
    <row r="31" spans="1:34">
      <c r="A31" s="2634" t="s">
        <v>2590</v>
      </c>
      <c r="B31" s="2648">
        <f>B30/(1+N30)</f>
        <v>275.24529281292263</v>
      </c>
      <c r="C31" s="2648">
        <f>C30/(1+O30)</f>
        <v>231.74747938962707</v>
      </c>
      <c r="D31" s="2648">
        <f t="shared" si="55"/>
        <v>231.74747938962707</v>
      </c>
      <c r="E31" s="2648">
        <f t="shared" si="66"/>
        <v>375.35938184826603</v>
      </c>
      <c r="F31" s="2648">
        <f t="shared" si="66"/>
        <v>216.78033510692495</v>
      </c>
      <c r="G31" s="3570"/>
      <c r="H31" s="2639">
        <v>2</v>
      </c>
      <c r="I31" s="2639">
        <v>0.02</v>
      </c>
      <c r="J31" s="2639">
        <v>0.12</v>
      </c>
      <c r="K31" s="2639">
        <v>-0.08</v>
      </c>
      <c r="L31" s="2650">
        <v>1.24</v>
      </c>
      <c r="N31" s="2643">
        <f t="shared" si="57"/>
        <v>2.0000000000000001E-4</v>
      </c>
      <c r="O31" s="2644">
        <f t="shared" si="57"/>
        <v>1.1999999999999999E-3</v>
      </c>
      <c r="P31" s="2644">
        <f t="shared" si="57"/>
        <v>-8.0000000000000004E-4</v>
      </c>
      <c r="Q31" s="2644">
        <f t="shared" si="57"/>
        <v>1.24E-2</v>
      </c>
      <c r="R31" s="2645"/>
      <c r="S31" s="2643"/>
      <c r="T31" s="2644"/>
      <c r="U31" s="2644"/>
      <c r="V31" s="2644"/>
    </row>
    <row r="32" spans="1:34" ht="13.5" thickBot="1">
      <c r="A32" s="2634" t="s">
        <v>2591</v>
      </c>
      <c r="B32" s="2648">
        <f>B31/(1+N31)</f>
        <v>275.19025476197027</v>
      </c>
      <c r="C32" s="2680">
        <v>232</v>
      </c>
      <c r="D32" s="2680">
        <f t="shared" si="55"/>
        <v>232</v>
      </c>
      <c r="E32" s="2648">
        <f t="shared" si="66"/>
        <v>375.65990977608692</v>
      </c>
      <c r="F32" s="2648">
        <f t="shared" si="66"/>
        <v>214.12518283971252</v>
      </c>
      <c r="G32" s="3571"/>
      <c r="H32" s="2638">
        <v>1</v>
      </c>
      <c r="I32" s="2638">
        <v>0.02</v>
      </c>
      <c r="J32" s="2638">
        <v>0.13</v>
      </c>
      <c r="K32" s="2638">
        <v>-0.04</v>
      </c>
      <c r="L32" s="2649">
        <v>0.46</v>
      </c>
      <c r="N32" s="2643">
        <f t="shared" si="57"/>
        <v>2.0000000000000001E-4</v>
      </c>
      <c r="O32" s="2644">
        <f t="shared" si="57"/>
        <v>1.2999999999999999E-3</v>
      </c>
      <c r="P32" s="2644">
        <f t="shared" si="57"/>
        <v>-4.0000000000000002E-4</v>
      </c>
      <c r="Q32" s="2644">
        <f t="shared" si="57"/>
        <v>4.5999999999999999E-3</v>
      </c>
      <c r="R32" s="2645"/>
      <c r="S32" s="2651">
        <f>B32/B33-1</f>
        <v>6.9183549807361189E-4</v>
      </c>
      <c r="T32" s="2652">
        <f>C32/C33-1</f>
        <v>0</v>
      </c>
      <c r="U32" s="2652">
        <f>E32/E33-1</f>
        <v>-9.0449527636460303E-4</v>
      </c>
      <c r="V32" s="2652">
        <f>F32/F33-1</f>
        <v>5.2825485432512753E-3</v>
      </c>
      <c r="X32" s="2653"/>
      <c r="Y32" s="2653"/>
      <c r="Z32" s="2653"/>
    </row>
    <row r="33" spans="1:26" ht="13.5" thickBot="1">
      <c r="A33" s="2634" t="s">
        <v>2592</v>
      </c>
      <c r="B33" s="2640">
        <v>275</v>
      </c>
      <c r="C33" s="2640">
        <v>232</v>
      </c>
      <c r="D33" s="2640">
        <f t="shared" si="55"/>
        <v>232</v>
      </c>
      <c r="E33" s="2640">
        <v>376</v>
      </c>
      <c r="F33" s="2641">
        <v>213</v>
      </c>
      <c r="G33" s="3569">
        <v>2011</v>
      </c>
      <c r="H33" s="2654">
        <v>4</v>
      </c>
      <c r="I33" s="2654">
        <v>-0.2</v>
      </c>
      <c r="J33" s="2654">
        <v>0.04</v>
      </c>
      <c r="K33" s="2654">
        <v>-0.34</v>
      </c>
      <c r="L33" s="2655">
        <v>0.46</v>
      </c>
      <c r="N33" s="2656">
        <f t="shared" si="57"/>
        <v>-2E-3</v>
      </c>
      <c r="O33" s="2657">
        <f t="shared" si="57"/>
        <v>4.0000000000000002E-4</v>
      </c>
      <c r="P33" s="2657">
        <f t="shared" si="57"/>
        <v>-3.4000000000000002E-3</v>
      </c>
      <c r="Q33" s="2657">
        <f t="shared" si="57"/>
        <v>4.5999999999999999E-3</v>
      </c>
      <c r="R33" s="2645"/>
      <c r="S33" s="2646"/>
      <c r="T33" s="2647"/>
      <c r="U33" s="2647"/>
      <c r="V33" s="2647"/>
      <c r="X33" s="2647"/>
      <c r="Y33" s="2647"/>
      <c r="Z33" s="2647"/>
    </row>
    <row r="34" spans="1:26">
      <c r="A34" s="2634" t="s">
        <v>2593</v>
      </c>
      <c r="B34" s="2648">
        <f t="shared" ref="B34:C36" si="67">B33/(1+N33)</f>
        <v>275.55110220440883</v>
      </c>
      <c r="C34" s="2648">
        <f t="shared" si="67"/>
        <v>231.90723710515795</v>
      </c>
      <c r="D34" s="2648">
        <f t="shared" si="55"/>
        <v>231.90723710515795</v>
      </c>
      <c r="E34" s="2648">
        <f t="shared" ref="E34:F36" si="68">E33/(1+P33)</f>
        <v>377.28276138872161</v>
      </c>
      <c r="F34" s="2648">
        <f t="shared" si="68"/>
        <v>212.02468644236512</v>
      </c>
      <c r="G34" s="3570">
        <v>2011</v>
      </c>
      <c r="H34" s="2659">
        <v>3</v>
      </c>
      <c r="I34" s="2659">
        <v>0.13</v>
      </c>
      <c r="J34" s="2659">
        <v>0.75</v>
      </c>
      <c r="K34" s="2659">
        <v>-0.08</v>
      </c>
      <c r="L34" s="2660">
        <v>0.53</v>
      </c>
      <c r="N34" s="2643">
        <f t="shared" si="57"/>
        <v>1.2999999999999999E-3</v>
      </c>
      <c r="O34" s="2661">
        <f t="shared" si="57"/>
        <v>7.4999999999999997E-3</v>
      </c>
      <c r="P34" s="2661">
        <f t="shared" si="57"/>
        <v>-8.0000000000000004E-4</v>
      </c>
      <c r="Q34" s="2661">
        <f t="shared" si="57"/>
        <v>5.3E-3</v>
      </c>
      <c r="R34" s="2645"/>
      <c r="S34" s="2643"/>
      <c r="T34" s="2644"/>
      <c r="U34" s="2644"/>
      <c r="V34" s="2644"/>
    </row>
    <row r="35" spans="1:26">
      <c r="A35" s="2634" t="s">
        <v>2594</v>
      </c>
      <c r="B35" s="2648">
        <f t="shared" si="67"/>
        <v>275.19335084830601</v>
      </c>
      <c r="C35" s="2648">
        <f t="shared" si="67"/>
        <v>230.18088050139744</v>
      </c>
      <c r="D35" s="2648">
        <f t="shared" si="55"/>
        <v>230.18088050139744</v>
      </c>
      <c r="E35" s="2648">
        <f t="shared" si="68"/>
        <v>377.58482925212331</v>
      </c>
      <c r="F35" s="2648">
        <f t="shared" si="68"/>
        <v>210.90687997847917</v>
      </c>
      <c r="G35" s="3570">
        <v>2011</v>
      </c>
      <c r="H35" s="2639">
        <v>2</v>
      </c>
      <c r="I35" s="2639">
        <v>-0.4</v>
      </c>
      <c r="J35" s="2639">
        <v>0.17</v>
      </c>
      <c r="K35" s="2639">
        <v>-0.57999999999999996</v>
      </c>
      <c r="L35" s="2650">
        <v>-0.2</v>
      </c>
      <c r="N35" s="2643">
        <f t="shared" si="57"/>
        <v>-4.0000000000000001E-3</v>
      </c>
      <c r="O35" s="2661">
        <f t="shared" si="57"/>
        <v>1.7000000000000001E-3</v>
      </c>
      <c r="P35" s="2661">
        <f t="shared" si="57"/>
        <v>-5.7999999999999996E-3</v>
      </c>
      <c r="Q35" s="2661">
        <f t="shared" si="57"/>
        <v>-2E-3</v>
      </c>
      <c r="R35" s="2645"/>
      <c r="S35" s="2643"/>
      <c r="T35" s="2644"/>
      <c r="U35" s="2644"/>
      <c r="V35" s="2644"/>
    </row>
    <row r="36" spans="1:26" ht="13.5" thickBot="1">
      <c r="A36" s="2634" t="s">
        <v>2595</v>
      </c>
      <c r="B36" s="2648">
        <f t="shared" si="67"/>
        <v>276.29854502841971</v>
      </c>
      <c r="C36" s="2648">
        <f t="shared" si="67"/>
        <v>229.79023709833027</v>
      </c>
      <c r="D36" s="2648">
        <f t="shared" si="55"/>
        <v>229.79023709833027</v>
      </c>
      <c r="E36" s="2648">
        <f t="shared" si="68"/>
        <v>379.78759731655936</v>
      </c>
      <c r="F36" s="2648">
        <f t="shared" si="68"/>
        <v>211.32953905659235</v>
      </c>
      <c r="G36" s="3571">
        <v>2011</v>
      </c>
      <c r="H36" s="2638">
        <v>1</v>
      </c>
      <c r="I36" s="2638">
        <v>2.65</v>
      </c>
      <c r="J36" s="2638">
        <v>3.76</v>
      </c>
      <c r="K36" s="2638">
        <v>1.89</v>
      </c>
      <c r="L36" s="2649">
        <v>7.95</v>
      </c>
      <c r="N36" s="2651">
        <f t="shared" si="57"/>
        <v>2.6499999999999999E-2</v>
      </c>
      <c r="O36" s="2652">
        <f t="shared" si="57"/>
        <v>3.7599999999999995E-2</v>
      </c>
      <c r="P36" s="2652">
        <f t="shared" si="57"/>
        <v>1.89E-2</v>
      </c>
      <c r="Q36" s="2652">
        <f t="shared" si="57"/>
        <v>7.9500000000000001E-2</v>
      </c>
      <c r="R36" s="2645"/>
      <c r="S36" s="2651">
        <f>B36/B37-1</f>
        <v>2.713213765211786E-2</v>
      </c>
      <c r="T36" s="2652">
        <f>C36/C37-1</f>
        <v>3.9774828499231862E-2</v>
      </c>
      <c r="U36" s="2652">
        <f>E36/E37-1</f>
        <v>1.8197311840641772E-2</v>
      </c>
      <c r="V36" s="2652">
        <f>F36/F37-1</f>
        <v>7.8211933962205826E-2</v>
      </c>
      <c r="X36" s="2653"/>
      <c r="Y36" s="2653"/>
      <c r="Z36" s="2653"/>
    </row>
    <row r="37" spans="1:26" ht="13.5" thickBot="1">
      <c r="A37" s="2634" t="s">
        <v>2596</v>
      </c>
      <c r="B37" s="2640">
        <v>269</v>
      </c>
      <c r="C37" s="2640">
        <v>221</v>
      </c>
      <c r="D37" s="2640">
        <f t="shared" si="55"/>
        <v>221</v>
      </c>
      <c r="E37" s="2640">
        <v>373</v>
      </c>
      <c r="F37" s="2641">
        <v>196</v>
      </c>
      <c r="G37" s="3569">
        <v>2010</v>
      </c>
      <c r="H37" s="2654">
        <v>4</v>
      </c>
      <c r="I37" s="2654">
        <v>5.72</v>
      </c>
      <c r="J37" s="2654">
        <v>6.57</v>
      </c>
      <c r="K37" s="2654">
        <v>5.72</v>
      </c>
      <c r="L37" s="2655">
        <v>2.72</v>
      </c>
      <c r="N37" s="2643">
        <f t="shared" si="57"/>
        <v>5.7200000000000001E-2</v>
      </c>
      <c r="O37" s="2644">
        <f t="shared" si="57"/>
        <v>6.5700000000000008E-2</v>
      </c>
      <c r="P37" s="2644">
        <f t="shared" si="57"/>
        <v>5.7200000000000001E-2</v>
      </c>
      <c r="Q37" s="2644">
        <f t="shared" si="57"/>
        <v>2.7200000000000002E-2</v>
      </c>
      <c r="R37" s="2645"/>
      <c r="S37" s="2646"/>
      <c r="T37" s="2647"/>
      <c r="U37" s="2647"/>
      <c r="V37" s="2647"/>
      <c r="X37" s="2647"/>
      <c r="Y37" s="2647"/>
      <c r="Z37" s="2647"/>
    </row>
    <row r="38" spans="1:26">
      <c r="A38" s="2634" t="s">
        <v>2597</v>
      </c>
      <c r="B38" s="2648">
        <f t="shared" ref="B38:C40" si="69">B37/(1+N37)</f>
        <v>254.44570563753314</v>
      </c>
      <c r="C38" s="2648">
        <f t="shared" si="69"/>
        <v>207.37543398705074</v>
      </c>
      <c r="D38" s="2648">
        <f t="shared" si="55"/>
        <v>207.37543398705074</v>
      </c>
      <c r="E38" s="2648">
        <f t="shared" ref="E38:F40" si="70">E37/(1+P37)</f>
        <v>352.81876655315932</v>
      </c>
      <c r="F38" s="2648">
        <f t="shared" si="70"/>
        <v>190.809968847352</v>
      </c>
      <c r="G38" s="3570">
        <v>2010</v>
      </c>
      <c r="H38" s="2659">
        <v>3</v>
      </c>
      <c r="I38" s="2659">
        <v>4.7300000000000004</v>
      </c>
      <c r="J38" s="2659">
        <v>3.9</v>
      </c>
      <c r="K38" s="2659">
        <v>5.03</v>
      </c>
      <c r="L38" s="2660">
        <v>4.21</v>
      </c>
      <c r="N38" s="2643">
        <f t="shared" si="57"/>
        <v>4.7300000000000002E-2</v>
      </c>
      <c r="O38" s="2644">
        <f t="shared" si="57"/>
        <v>3.9E-2</v>
      </c>
      <c r="P38" s="2644">
        <f t="shared" si="57"/>
        <v>5.0300000000000004E-2</v>
      </c>
      <c r="Q38" s="2644">
        <f t="shared" si="57"/>
        <v>4.2099999999999999E-2</v>
      </c>
      <c r="R38" s="2645"/>
      <c r="S38" s="2643"/>
      <c r="T38" s="2644"/>
      <c r="U38" s="2644"/>
      <c r="V38" s="2644"/>
    </row>
    <row r="39" spans="1:26">
      <c r="A39" s="2634" t="s">
        <v>2598</v>
      </c>
      <c r="B39" s="2648">
        <f t="shared" si="69"/>
        <v>242.95398227588385</v>
      </c>
      <c r="C39" s="2648">
        <f t="shared" si="69"/>
        <v>199.59137053614126</v>
      </c>
      <c r="D39" s="2648">
        <f t="shared" si="55"/>
        <v>199.59137053614126</v>
      </c>
      <c r="E39" s="2648">
        <f t="shared" si="70"/>
        <v>335.92189522342125</v>
      </c>
      <c r="F39" s="2648">
        <f t="shared" si="70"/>
        <v>183.10139991109489</v>
      </c>
      <c r="G39" s="3570">
        <v>2010</v>
      </c>
      <c r="H39" s="2639">
        <v>2</v>
      </c>
      <c r="I39" s="2639">
        <v>4.6900000000000004</v>
      </c>
      <c r="J39" s="2639">
        <v>3.55</v>
      </c>
      <c r="K39" s="2639">
        <v>5.07</v>
      </c>
      <c r="L39" s="2650">
        <v>4.2300000000000004</v>
      </c>
      <c r="N39" s="2643">
        <f t="shared" si="57"/>
        <v>4.6900000000000004E-2</v>
      </c>
      <c r="O39" s="2644">
        <f t="shared" si="57"/>
        <v>3.5499999999999997E-2</v>
      </c>
      <c r="P39" s="2644">
        <f t="shared" si="57"/>
        <v>5.0700000000000002E-2</v>
      </c>
      <c r="Q39" s="2644">
        <f t="shared" si="57"/>
        <v>4.2300000000000004E-2</v>
      </c>
      <c r="R39" s="2645"/>
      <c r="S39" s="2643"/>
      <c r="T39" s="2644"/>
      <c r="U39" s="2644"/>
      <c r="V39" s="2644"/>
    </row>
    <row r="40" spans="1:26" ht="13.5" thickBot="1">
      <c r="A40" s="2634" t="s">
        <v>2599</v>
      </c>
      <c r="B40" s="2648">
        <f t="shared" si="69"/>
        <v>232.06990378821649</v>
      </c>
      <c r="C40" s="2648">
        <f t="shared" si="69"/>
        <v>192.74878854286936</v>
      </c>
      <c r="D40" s="2648">
        <f t="shared" si="55"/>
        <v>192.74878854286936</v>
      </c>
      <c r="E40" s="2648">
        <f t="shared" si="70"/>
        <v>319.71247284992984</v>
      </c>
      <c r="F40" s="2648">
        <f t="shared" si="70"/>
        <v>175.67053622862409</v>
      </c>
      <c r="G40" s="3571">
        <v>2010</v>
      </c>
      <c r="H40" s="2638">
        <v>1</v>
      </c>
      <c r="I40" s="2638">
        <v>5.4</v>
      </c>
      <c r="J40" s="2638">
        <v>3.2</v>
      </c>
      <c r="K40" s="2638">
        <v>6.16</v>
      </c>
      <c r="L40" s="2649">
        <v>4.51</v>
      </c>
      <c r="N40" s="2643">
        <f t="shared" si="57"/>
        <v>5.4000000000000006E-2</v>
      </c>
      <c r="O40" s="2644">
        <f t="shared" si="57"/>
        <v>3.2000000000000001E-2</v>
      </c>
      <c r="P40" s="2644">
        <f t="shared" si="57"/>
        <v>6.1600000000000002E-2</v>
      </c>
      <c r="Q40" s="2644">
        <f t="shared" si="57"/>
        <v>4.5100000000000001E-2</v>
      </c>
      <c r="R40" s="2645"/>
      <c r="S40" s="2651">
        <f>B40/B41-1</f>
        <v>5.4863199037347599E-2</v>
      </c>
      <c r="T40" s="2652">
        <f>C40/C41-1</f>
        <v>3.0742184721226584E-2</v>
      </c>
      <c r="U40" s="2652">
        <f>E40/E41-1</f>
        <v>6.2167683886810154E-2</v>
      </c>
      <c r="V40" s="2652">
        <f>F40/F41-1</f>
        <v>4.5657953741810031E-2</v>
      </c>
      <c r="X40" s="2653"/>
      <c r="Y40" s="2653"/>
      <c r="Z40" s="2653"/>
    </row>
    <row r="41" spans="1:26" ht="13.5" thickBot="1">
      <c r="A41" s="2634" t="s">
        <v>2600</v>
      </c>
      <c r="B41" s="2640">
        <v>220</v>
      </c>
      <c r="C41" s="2640">
        <v>187</v>
      </c>
      <c r="D41" s="2640">
        <f t="shared" si="55"/>
        <v>187</v>
      </c>
      <c r="E41" s="2640">
        <v>301</v>
      </c>
      <c r="F41" s="2641">
        <v>168</v>
      </c>
      <c r="G41" s="3569">
        <v>2009</v>
      </c>
      <c r="H41" s="2654">
        <v>4</v>
      </c>
      <c r="I41" s="2654">
        <v>2.2999999999999998</v>
      </c>
      <c r="J41" s="2654">
        <v>1.04</v>
      </c>
      <c r="K41" s="2654">
        <v>2.84</v>
      </c>
      <c r="L41" s="2655">
        <v>0.67</v>
      </c>
      <c r="N41" s="2656">
        <f t="shared" si="57"/>
        <v>2.3E-2</v>
      </c>
      <c r="O41" s="2657">
        <f t="shared" si="57"/>
        <v>1.04E-2</v>
      </c>
      <c r="P41" s="2657">
        <f t="shared" si="57"/>
        <v>2.8399999999999998E-2</v>
      </c>
      <c r="Q41" s="2657">
        <f t="shared" si="57"/>
        <v>6.7000000000000002E-3</v>
      </c>
      <c r="R41" s="2645"/>
      <c r="S41" s="2646"/>
      <c r="T41" s="2647"/>
      <c r="U41" s="2647"/>
      <c r="V41" s="2647"/>
      <c r="X41" s="2647"/>
      <c r="Y41" s="2647"/>
      <c r="Z41" s="2647"/>
    </row>
    <row r="42" spans="1:26">
      <c r="A42" s="2634" t="s">
        <v>2601</v>
      </c>
      <c r="B42" s="2648">
        <f t="shared" ref="B42:C44" si="71">B41/(1+N41)</f>
        <v>215.05376344086022</v>
      </c>
      <c r="C42" s="2648">
        <f t="shared" si="71"/>
        <v>185.0752177355503</v>
      </c>
      <c r="D42" s="2648">
        <f t="shared" si="55"/>
        <v>185.0752177355503</v>
      </c>
      <c r="E42" s="2648">
        <f t="shared" ref="E42:F44" si="72">E41/(1+P41)</f>
        <v>292.68767016725008</v>
      </c>
      <c r="F42" s="2648">
        <f t="shared" si="72"/>
        <v>166.88189132810174</v>
      </c>
      <c r="G42" s="3570">
        <v>2009</v>
      </c>
      <c r="H42" s="2659">
        <v>3</v>
      </c>
      <c r="I42" s="2659">
        <v>2.1</v>
      </c>
      <c r="J42" s="2659">
        <v>1.86</v>
      </c>
      <c r="K42" s="2659">
        <v>2.29</v>
      </c>
      <c r="L42" s="2660">
        <v>0.85</v>
      </c>
      <c r="N42" s="2643">
        <f t="shared" si="57"/>
        <v>2.1000000000000001E-2</v>
      </c>
      <c r="O42" s="2661">
        <f t="shared" si="57"/>
        <v>1.8600000000000002E-2</v>
      </c>
      <c r="P42" s="2661">
        <f t="shared" si="57"/>
        <v>2.29E-2</v>
      </c>
      <c r="Q42" s="2661">
        <f t="shared" si="57"/>
        <v>8.5000000000000006E-3</v>
      </c>
      <c r="R42" s="2645"/>
      <c r="S42" s="2643"/>
      <c r="T42" s="2644"/>
      <c r="U42" s="2644"/>
      <c r="V42" s="2644"/>
    </row>
    <row r="43" spans="1:26">
      <c r="A43" s="2634" t="s">
        <v>2602</v>
      </c>
      <c r="B43" s="2648">
        <f t="shared" si="71"/>
        <v>210.630522469011</v>
      </c>
      <c r="C43" s="2648">
        <f t="shared" si="71"/>
        <v>181.69567812247232</v>
      </c>
      <c r="D43" s="2648">
        <f t="shared" si="55"/>
        <v>181.69567812247232</v>
      </c>
      <c r="E43" s="2648">
        <f t="shared" si="72"/>
        <v>286.13517466736738</v>
      </c>
      <c r="F43" s="2648">
        <f t="shared" si="72"/>
        <v>165.47535084591149</v>
      </c>
      <c r="G43" s="3570">
        <v>2009</v>
      </c>
      <c r="H43" s="2639">
        <v>2</v>
      </c>
      <c r="I43" s="2639">
        <v>0.86</v>
      </c>
      <c r="J43" s="2639">
        <v>-1.1299999999999999</v>
      </c>
      <c r="K43" s="2639">
        <v>1.79</v>
      </c>
      <c r="L43" s="2650">
        <v>-2.0699999999999998</v>
      </c>
      <c r="N43" s="2643">
        <f t="shared" si="57"/>
        <v>8.6E-3</v>
      </c>
      <c r="O43" s="2661">
        <f t="shared" si="57"/>
        <v>-1.1299999999999999E-2</v>
      </c>
      <c r="P43" s="2661">
        <f t="shared" si="57"/>
        <v>1.7899999999999999E-2</v>
      </c>
      <c r="Q43" s="2661">
        <f t="shared" si="57"/>
        <v>-2.07E-2</v>
      </c>
      <c r="R43" s="2645"/>
      <c r="S43" s="2643"/>
      <c r="T43" s="2644"/>
      <c r="U43" s="2644"/>
      <c r="V43" s="2644"/>
    </row>
    <row r="44" spans="1:26">
      <c r="A44" s="2634" t="s">
        <v>2603</v>
      </c>
      <c r="B44" s="2648">
        <f t="shared" si="71"/>
        <v>208.83454537875372</v>
      </c>
      <c r="C44" s="2648">
        <f t="shared" si="71"/>
        <v>183.77230517090351</v>
      </c>
      <c r="D44" s="2648">
        <f t="shared" si="55"/>
        <v>183.77230517090351</v>
      </c>
      <c r="E44" s="2648">
        <f t="shared" si="72"/>
        <v>281.10342338870947</v>
      </c>
      <c r="F44" s="2648">
        <f t="shared" si="72"/>
        <v>168.97309388942256</v>
      </c>
      <c r="G44" s="3571">
        <v>2009</v>
      </c>
      <c r="H44" s="2638">
        <v>1</v>
      </c>
      <c r="I44" s="2638">
        <v>-2.64</v>
      </c>
      <c r="J44" s="2638">
        <v>-2.5299999999999998</v>
      </c>
      <c r="K44" s="2638">
        <v>-3.02</v>
      </c>
      <c r="L44" s="2649">
        <v>1.52</v>
      </c>
      <c r="N44" s="2651">
        <f t="shared" si="57"/>
        <v>-2.64E-2</v>
      </c>
      <c r="O44" s="2652">
        <f t="shared" si="57"/>
        <v>-2.53E-2</v>
      </c>
      <c r="P44" s="2652">
        <f t="shared" si="57"/>
        <v>-3.0200000000000001E-2</v>
      </c>
      <c r="Q44" s="2652">
        <f t="shared" si="57"/>
        <v>1.52E-2</v>
      </c>
      <c r="R44" s="2645"/>
      <c r="S44" s="2651">
        <f>B44/B45-1</f>
        <v>-2.4137638417038754E-2</v>
      </c>
      <c r="T44" s="2652">
        <f>C44/C45-1</f>
        <v>-2.248773845264096E-2</v>
      </c>
      <c r="U44" s="2652">
        <f>E44/E45-1</f>
        <v>-2.7323794502735366E-2</v>
      </c>
      <c r="V44" s="2652">
        <f>F44/F45-1</f>
        <v>1.7910204153148035E-2</v>
      </c>
      <c r="X44" s="2653"/>
      <c r="Y44" s="2653"/>
      <c r="Z44" s="2653"/>
    </row>
    <row r="45" spans="1:26" ht="13.5" thickBot="1">
      <c r="A45" s="2634" t="s">
        <v>2604</v>
      </c>
      <c r="B45" s="2678">
        <v>214</v>
      </c>
      <c r="C45" s="2678">
        <v>188</v>
      </c>
      <c r="D45" s="2678">
        <f t="shared" si="55"/>
        <v>188</v>
      </c>
      <c r="E45" s="2678">
        <v>289</v>
      </c>
      <c r="F45" s="2679">
        <v>166</v>
      </c>
      <c r="G45" s="3569">
        <v>2008</v>
      </c>
      <c r="H45" s="2654">
        <v>4</v>
      </c>
      <c r="I45" s="2654">
        <v>1.73</v>
      </c>
      <c r="J45" s="2654">
        <v>0.03</v>
      </c>
      <c r="K45" s="2654">
        <v>2.59</v>
      </c>
      <c r="L45" s="2655">
        <v>-1.66</v>
      </c>
      <c r="N45" s="2643">
        <f t="shared" si="57"/>
        <v>1.7299999999999999E-2</v>
      </c>
      <c r="O45" s="2644">
        <f t="shared" si="57"/>
        <v>2.9999999999999997E-4</v>
      </c>
      <c r="P45" s="2644">
        <f t="shared" si="57"/>
        <v>2.5899999999999999E-2</v>
      </c>
      <c r="Q45" s="2644">
        <f t="shared" si="57"/>
        <v>-1.66E-2</v>
      </c>
      <c r="R45" s="2645"/>
      <c r="S45" s="2646"/>
      <c r="T45" s="2647"/>
      <c r="U45" s="2647"/>
      <c r="V45" s="2647"/>
      <c r="X45" s="2647"/>
      <c r="Y45" s="2647"/>
      <c r="Z45" s="2647"/>
    </row>
    <row r="46" spans="1:26">
      <c r="A46" s="2634" t="s">
        <v>2605</v>
      </c>
      <c r="B46" s="2648">
        <f t="shared" ref="B46:C48" si="73">B45/(1+N45)</f>
        <v>210.36075887152265</v>
      </c>
      <c r="C46" s="2648">
        <f t="shared" si="73"/>
        <v>187.94361691492554</v>
      </c>
      <c r="D46" s="2648">
        <f t="shared" si="55"/>
        <v>187.94361691492554</v>
      </c>
      <c r="E46" s="2648">
        <f t="shared" ref="E46:F48" si="74">E45/(1+P45)</f>
        <v>281.70386977288234</v>
      </c>
      <c r="F46" s="2648">
        <f t="shared" si="74"/>
        <v>168.80211511083994</v>
      </c>
      <c r="G46" s="3570">
        <v>2008</v>
      </c>
      <c r="H46" s="2659">
        <v>3</v>
      </c>
      <c r="I46" s="2659">
        <v>1.96</v>
      </c>
      <c r="J46" s="2659">
        <v>2.36</v>
      </c>
      <c r="K46" s="2659">
        <v>1.82</v>
      </c>
      <c r="L46" s="2660">
        <v>2.2200000000000002</v>
      </c>
      <c r="N46" s="2643">
        <f t="shared" si="57"/>
        <v>1.9599999999999999E-2</v>
      </c>
      <c r="O46" s="2644">
        <f t="shared" si="57"/>
        <v>2.3599999999999999E-2</v>
      </c>
      <c r="P46" s="2644">
        <f t="shared" si="57"/>
        <v>1.8200000000000001E-2</v>
      </c>
      <c r="Q46" s="2644">
        <f t="shared" si="57"/>
        <v>2.2200000000000001E-2</v>
      </c>
      <c r="R46" s="2645"/>
      <c r="S46" s="2643"/>
      <c r="T46" s="2644"/>
      <c r="U46" s="2644"/>
      <c r="V46" s="2644"/>
    </row>
    <row r="47" spans="1:26">
      <c r="A47" s="2634" t="s">
        <v>2606</v>
      </c>
      <c r="B47" s="2648">
        <f t="shared" si="73"/>
        <v>206.31694671589116</v>
      </c>
      <c r="C47" s="2648">
        <f t="shared" si="73"/>
        <v>183.61041121036101</v>
      </c>
      <c r="D47" s="2648">
        <f t="shared" si="55"/>
        <v>183.61041121036101</v>
      </c>
      <c r="E47" s="2648">
        <f t="shared" si="74"/>
        <v>276.66850301795557</v>
      </c>
      <c r="F47" s="2648">
        <f t="shared" si="74"/>
        <v>165.1360938278614</v>
      </c>
      <c r="G47" s="3570">
        <v>2008</v>
      </c>
      <c r="H47" s="2639">
        <v>2</v>
      </c>
      <c r="I47" s="2639">
        <v>4.93</v>
      </c>
      <c r="J47" s="2639">
        <v>7.38</v>
      </c>
      <c r="K47" s="2639">
        <v>3.98</v>
      </c>
      <c r="L47" s="2650">
        <v>6.86</v>
      </c>
      <c r="N47" s="2643">
        <f t="shared" si="57"/>
        <v>4.9299999999999997E-2</v>
      </c>
      <c r="O47" s="2644">
        <f t="shared" si="57"/>
        <v>7.3800000000000004E-2</v>
      </c>
      <c r="P47" s="2644">
        <f t="shared" si="57"/>
        <v>3.9800000000000002E-2</v>
      </c>
      <c r="Q47" s="2644">
        <f t="shared" si="57"/>
        <v>6.8600000000000008E-2</v>
      </c>
      <c r="R47" s="2645"/>
      <c r="S47" s="2643"/>
      <c r="T47" s="2644"/>
      <c r="U47" s="2644"/>
      <c r="V47" s="2644"/>
    </row>
    <row r="48" spans="1:26" s="2684" customFormat="1" ht="13.5" thickBot="1">
      <c r="A48" s="2634" t="s">
        <v>2607</v>
      </c>
      <c r="B48" s="2681">
        <f t="shared" si="73"/>
        <v>196.62341248059772</v>
      </c>
      <c r="C48" s="2681">
        <f t="shared" si="73"/>
        <v>170.99125648199012</v>
      </c>
      <c r="D48" s="2681">
        <f t="shared" si="55"/>
        <v>170.99125648199012</v>
      </c>
      <c r="E48" s="2681">
        <f t="shared" si="74"/>
        <v>266.07857570490052</v>
      </c>
      <c r="F48" s="2681">
        <f t="shared" si="74"/>
        <v>154.53499328828505</v>
      </c>
      <c r="G48" s="3571">
        <v>2008</v>
      </c>
      <c r="H48" s="2682">
        <v>1</v>
      </c>
      <c r="I48" s="2682">
        <v>4.1399999999999997</v>
      </c>
      <c r="J48" s="2682">
        <v>3.45</v>
      </c>
      <c r="K48" s="2682">
        <v>4.95</v>
      </c>
      <c r="L48" s="2683">
        <v>4.82</v>
      </c>
      <c r="N48" s="2685">
        <f t="shared" si="57"/>
        <v>4.1399999999999999E-2</v>
      </c>
      <c r="O48" s="2686">
        <f t="shared" si="57"/>
        <v>3.4500000000000003E-2</v>
      </c>
      <c r="P48" s="2686">
        <f t="shared" si="57"/>
        <v>4.9500000000000002E-2</v>
      </c>
      <c r="Q48" s="2686">
        <f t="shared" si="57"/>
        <v>4.82E-2</v>
      </c>
      <c r="R48" s="2687"/>
      <c r="S48" s="2685">
        <f>B48/B49-1</f>
        <v>4.5869215322328349E-2</v>
      </c>
      <c r="T48" s="2686">
        <f>C48/C49-1</f>
        <v>3.6310645345394743E-2</v>
      </c>
      <c r="U48" s="2686">
        <f>E48/E49-1</f>
        <v>4.7553447657088688E-2</v>
      </c>
      <c r="V48" s="2686">
        <f>F48/F49-1</f>
        <v>4.4155360055980086E-2</v>
      </c>
      <c r="X48" s="2688"/>
      <c r="Y48" s="2688"/>
      <c r="Z48" s="2688"/>
    </row>
    <row r="49" spans="1:26" ht="13.5" thickBot="1">
      <c r="A49" s="2634" t="s">
        <v>2608</v>
      </c>
      <c r="B49" s="2640">
        <v>188</v>
      </c>
      <c r="C49" s="2640">
        <v>165</v>
      </c>
      <c r="D49" s="2640">
        <f t="shared" si="55"/>
        <v>165</v>
      </c>
      <c r="E49" s="2640">
        <v>254</v>
      </c>
      <c r="F49" s="2641">
        <v>148</v>
      </c>
      <c r="G49" s="3569">
        <v>2007</v>
      </c>
      <c r="H49" s="2689">
        <v>4</v>
      </c>
      <c r="I49" s="2689">
        <v>5.51</v>
      </c>
      <c r="J49" s="2689">
        <v>4.8899999999999997</v>
      </c>
      <c r="K49" s="2689">
        <v>6.43</v>
      </c>
      <c r="L49" s="2690">
        <v>5.36</v>
      </c>
      <c r="N49" s="2691">
        <f t="shared" ref="N49:O52" si="75">B49/B50-1</f>
        <v>4.1339718365245526E-2</v>
      </c>
      <c r="O49" s="2692">
        <f t="shared" si="75"/>
        <v>4.0324492593776018E-2</v>
      </c>
      <c r="P49" s="2692">
        <f t="shared" ref="P49:Q52" si="76">E49/E50-1</f>
        <v>6.1625555347990968E-2</v>
      </c>
      <c r="Q49" s="2692">
        <f t="shared" si="76"/>
        <v>4.6757569250590603E-2</v>
      </c>
      <c r="R49" s="2645"/>
      <c r="S49" s="2646"/>
      <c r="T49" s="2647"/>
      <c r="U49" s="2647"/>
      <c r="V49" s="2647"/>
      <c r="X49" s="2647"/>
      <c r="Y49" s="2647"/>
      <c r="Z49" s="2647"/>
    </row>
    <row r="50" spans="1:26">
      <c r="A50" s="2634" t="s">
        <v>2609</v>
      </c>
      <c r="B50" s="2648">
        <f t="shared" ref="B50:C52" si="77">B51+(B$49-B$53)*I50/SUM(I$49:I$52)</f>
        <v>180.5366651097618</v>
      </c>
      <c r="C50" s="2648">
        <f t="shared" si="77"/>
        <v>158.60435967302453</v>
      </c>
      <c r="D50" s="2648">
        <f t="shared" si="55"/>
        <v>158.60435967302453</v>
      </c>
      <c r="E50" s="2648">
        <f t="shared" ref="E50:F52" si="78">E51+(E$49-E$53)*K50/SUM(K$49:K$52)</f>
        <v>239.25573260785075</v>
      </c>
      <c r="F50" s="2648">
        <f t="shared" si="78"/>
        <v>141.38899430740037</v>
      </c>
      <c r="G50" s="3570">
        <v>2007</v>
      </c>
      <c r="H50" s="2659">
        <v>3</v>
      </c>
      <c r="I50" s="2659">
        <v>8.65</v>
      </c>
      <c r="J50" s="2659">
        <v>8.06</v>
      </c>
      <c r="K50" s="2659">
        <v>9.94</v>
      </c>
      <c r="L50" s="2660">
        <v>5.8</v>
      </c>
      <c r="N50" s="2691">
        <f t="shared" si="75"/>
        <v>6.940217571740015E-2</v>
      </c>
      <c r="O50" s="2692">
        <f t="shared" si="75"/>
        <v>7.1197482471153428E-2</v>
      </c>
      <c r="P50" s="2692">
        <f t="shared" si="76"/>
        <v>0.10529679922579582</v>
      </c>
      <c r="Q50" s="2692">
        <f t="shared" si="76"/>
        <v>5.3292245059512133E-2</v>
      </c>
      <c r="R50" s="2645"/>
      <c r="S50" s="2643"/>
      <c r="T50" s="2644"/>
      <c r="U50" s="2644"/>
      <c r="V50" s="2644"/>
      <c r="X50" s="2693"/>
      <c r="Y50" s="2693"/>
      <c r="Z50" s="2693"/>
    </row>
    <row r="51" spans="1:26">
      <c r="A51" s="2634" t="s">
        <v>2610</v>
      </c>
      <c r="B51" s="2648">
        <f t="shared" si="77"/>
        <v>168.82017748715555</v>
      </c>
      <c r="C51" s="2648">
        <f t="shared" si="77"/>
        <v>148.06267029972753</v>
      </c>
      <c r="D51" s="2648">
        <f t="shared" si="55"/>
        <v>148.06267029972753</v>
      </c>
      <c r="E51" s="2648">
        <f t="shared" si="78"/>
        <v>216.46288379323747</v>
      </c>
      <c r="F51" s="2648">
        <f t="shared" si="78"/>
        <v>134.23529411764704</v>
      </c>
      <c r="G51" s="3570">
        <v>2007</v>
      </c>
      <c r="H51" s="2639">
        <v>2</v>
      </c>
      <c r="I51" s="2639">
        <v>3.67</v>
      </c>
      <c r="J51" s="2639">
        <v>2.3199999999999998</v>
      </c>
      <c r="K51" s="2639">
        <v>5.0199999999999996</v>
      </c>
      <c r="L51" s="2650">
        <v>6.71</v>
      </c>
      <c r="N51" s="2691">
        <f t="shared" si="75"/>
        <v>3.0339138143848032E-2</v>
      </c>
      <c r="O51" s="2692">
        <f t="shared" si="75"/>
        <v>2.0922341588790472E-2</v>
      </c>
      <c r="P51" s="2692">
        <f t="shared" si="76"/>
        <v>5.6164796592717003E-2</v>
      </c>
      <c r="Q51" s="2692">
        <f t="shared" si="76"/>
        <v>6.5704536723887319E-2</v>
      </c>
      <c r="R51" s="2645"/>
      <c r="S51" s="2643"/>
      <c r="T51" s="2644"/>
      <c r="U51" s="2644"/>
      <c r="V51" s="2644"/>
      <c r="X51" s="2693"/>
      <c r="Y51" s="2693"/>
      <c r="Z51" s="2693"/>
    </row>
    <row r="52" spans="1:26">
      <c r="A52" s="2634" t="s">
        <v>2611</v>
      </c>
      <c r="B52" s="2648">
        <f t="shared" si="77"/>
        <v>163.84913591779542</v>
      </c>
      <c r="C52" s="2648">
        <f t="shared" si="77"/>
        <v>145.0283378746594</v>
      </c>
      <c r="D52" s="2648">
        <f t="shared" si="55"/>
        <v>145.0283378746594</v>
      </c>
      <c r="E52" s="2648">
        <f t="shared" si="78"/>
        <v>204.95180722891567</v>
      </c>
      <c r="F52" s="2648">
        <f t="shared" si="78"/>
        <v>125.95920303605313</v>
      </c>
      <c r="G52" s="3571">
        <v>2007</v>
      </c>
      <c r="H52" s="2638">
        <v>1</v>
      </c>
      <c r="I52" s="2638">
        <v>3.58</v>
      </c>
      <c r="J52" s="2638">
        <v>3.08</v>
      </c>
      <c r="K52" s="2638">
        <v>4.34</v>
      </c>
      <c r="L52" s="2649">
        <v>3.21</v>
      </c>
      <c r="N52" s="2694">
        <f t="shared" si="75"/>
        <v>3.0497710174814063E-2</v>
      </c>
      <c r="O52" s="2695">
        <f t="shared" si="75"/>
        <v>2.8569772160704998E-2</v>
      </c>
      <c r="P52" s="2695">
        <f t="shared" si="76"/>
        <v>5.1034908866234296E-2</v>
      </c>
      <c r="Q52" s="2695">
        <f t="shared" si="76"/>
        <v>3.245248390207478E-2</v>
      </c>
      <c r="R52" s="2645"/>
      <c r="S52" s="2651">
        <f>B52/B53-1</f>
        <v>3.0497710174814063E-2</v>
      </c>
      <c r="T52" s="2652">
        <f>C52/C53-1</f>
        <v>2.8569772160704998E-2</v>
      </c>
      <c r="U52" s="2652">
        <f>E52/E53-1</f>
        <v>5.1034908866234296E-2</v>
      </c>
      <c r="V52" s="2652">
        <f>F52/F53-1</f>
        <v>3.245248390207478E-2</v>
      </c>
      <c r="X52" s="2693"/>
      <c r="Y52" s="2693"/>
      <c r="Z52" s="2693"/>
    </row>
    <row r="53" spans="1:26" ht="13.5" thickBot="1">
      <c r="A53" s="2634" t="s">
        <v>2612</v>
      </c>
      <c r="B53" s="2662">
        <v>159</v>
      </c>
      <c r="C53" s="2662">
        <v>141</v>
      </c>
      <c r="D53" s="2662">
        <f t="shared" si="55"/>
        <v>141</v>
      </c>
      <c r="E53" s="2662">
        <v>195</v>
      </c>
      <c r="F53" s="2663">
        <v>122</v>
      </c>
      <c r="G53" s="3569">
        <v>2006</v>
      </c>
      <c r="H53" s="2654">
        <v>4</v>
      </c>
      <c r="I53" s="2654">
        <v>3.79</v>
      </c>
      <c r="J53" s="2654">
        <v>2.21</v>
      </c>
      <c r="K53" s="2654">
        <v>5.65</v>
      </c>
      <c r="L53" s="2655">
        <v>5.41</v>
      </c>
      <c r="N53" s="2691">
        <f t="shared" ref="N53:O56" si="79">I53/SUM(I$53:I$56)*(B$53/B$57-1)</f>
        <v>7.245466462748526E-2</v>
      </c>
      <c r="O53" s="2692">
        <f t="shared" si="79"/>
        <v>2.3237230038062766E-2</v>
      </c>
      <c r="P53" s="2692">
        <f t="shared" ref="P53:Q56" si="80">K53/SUM(K$53:K$56)*(E$53/E$57-1)</f>
        <v>0.16146893866323722</v>
      </c>
      <c r="Q53" s="2692">
        <f t="shared" si="80"/>
        <v>5.0755230321793784E-2</v>
      </c>
      <c r="R53" s="2645"/>
      <c r="S53" s="2646"/>
      <c r="T53" s="2647"/>
      <c r="U53" s="2647"/>
      <c r="V53" s="2647"/>
      <c r="X53" s="2693"/>
      <c r="Y53" s="2693"/>
      <c r="Z53" s="2693"/>
    </row>
    <row r="54" spans="1:26">
      <c r="A54" s="2634" t="s">
        <v>2613</v>
      </c>
      <c r="B54" s="2648">
        <f t="shared" ref="B54:C56" si="81">B55+(B$53-B$57)*I54/SUM(I$53:I$56)</f>
        <v>149.00125628140702</v>
      </c>
      <c r="C54" s="2648">
        <f t="shared" si="81"/>
        <v>137.95592286501378</v>
      </c>
      <c r="D54" s="2648">
        <f t="shared" si="55"/>
        <v>137.95592286501378</v>
      </c>
      <c r="E54" s="2648">
        <f t="shared" ref="E54:F56" si="82">E55+(E$53-E$57)*K54/SUM(K$53:K$56)</f>
        <v>169.97231450719823</v>
      </c>
      <c r="F54" s="2648">
        <f t="shared" si="82"/>
        <v>116.21390374331551</v>
      </c>
      <c r="G54" s="3570">
        <v>2006</v>
      </c>
      <c r="H54" s="2659">
        <v>3</v>
      </c>
      <c r="I54" s="2659">
        <v>0.92</v>
      </c>
      <c r="J54" s="2659">
        <v>1.08</v>
      </c>
      <c r="K54" s="2659">
        <v>0.73</v>
      </c>
      <c r="L54" s="2660">
        <v>1.08</v>
      </c>
      <c r="N54" s="2691">
        <f t="shared" si="79"/>
        <v>1.7587939698492462E-2</v>
      </c>
      <c r="O54" s="2692">
        <f t="shared" si="79"/>
        <v>1.1355750425840628E-2</v>
      </c>
      <c r="P54" s="2692">
        <f t="shared" si="80"/>
        <v>2.0862358446754544E-2</v>
      </c>
      <c r="Q54" s="2692">
        <f t="shared" si="80"/>
        <v>1.0132282578103011E-2</v>
      </c>
      <c r="R54" s="2645"/>
      <c r="S54" s="2643"/>
      <c r="T54" s="2644"/>
      <c r="U54" s="2644"/>
      <c r="V54" s="2644"/>
      <c r="X54" s="2693"/>
      <c r="Y54" s="2693"/>
      <c r="Z54" s="2693"/>
    </row>
    <row r="55" spans="1:26">
      <c r="A55" s="2634" t="s">
        <v>2614</v>
      </c>
      <c r="B55" s="2648">
        <f t="shared" si="81"/>
        <v>146.57412060301507</v>
      </c>
      <c r="C55" s="2648">
        <f t="shared" si="81"/>
        <v>136.46831955922866</v>
      </c>
      <c r="D55" s="2648">
        <f t="shared" si="55"/>
        <v>136.46831955922866</v>
      </c>
      <c r="E55" s="2648">
        <f t="shared" si="82"/>
        <v>166.73864894795128</v>
      </c>
      <c r="F55" s="2648">
        <f t="shared" si="82"/>
        <v>115.05882352941177</v>
      </c>
      <c r="G55" s="3570">
        <v>2006</v>
      </c>
      <c r="H55" s="2639">
        <v>2</v>
      </c>
      <c r="I55" s="2639">
        <v>0.96</v>
      </c>
      <c r="J55" s="2639">
        <v>0.25</v>
      </c>
      <c r="K55" s="2639">
        <v>1.9</v>
      </c>
      <c r="L55" s="2650">
        <v>0.95</v>
      </c>
      <c r="N55" s="2691">
        <f t="shared" si="79"/>
        <v>1.8352632728861701E-2</v>
      </c>
      <c r="O55" s="2692">
        <f t="shared" si="79"/>
        <v>2.6286459319075526E-3</v>
      </c>
      <c r="P55" s="2692">
        <f t="shared" si="80"/>
        <v>5.4299289107991269E-2</v>
      </c>
      <c r="Q55" s="2692">
        <f t="shared" si="80"/>
        <v>8.9126559714794995E-3</v>
      </c>
      <c r="R55" s="2645"/>
      <c r="S55" s="2643"/>
      <c r="T55" s="2644"/>
      <c r="U55" s="2644"/>
      <c r="V55" s="2644"/>
      <c r="X55" s="2693"/>
      <c r="Y55" s="2693"/>
      <c r="Z55" s="2693"/>
    </row>
    <row r="56" spans="1:26">
      <c r="A56" s="2634" t="s">
        <v>2615</v>
      </c>
      <c r="B56" s="2648">
        <f t="shared" si="81"/>
        <v>144.04145728643215</v>
      </c>
      <c r="C56" s="2648">
        <f t="shared" si="81"/>
        <v>136.12396694214877</v>
      </c>
      <c r="D56" s="2648">
        <f t="shared" si="55"/>
        <v>136.12396694214877</v>
      </c>
      <c r="E56" s="2648">
        <f t="shared" si="82"/>
        <v>158.32225913621264</v>
      </c>
      <c r="F56" s="2648">
        <f t="shared" si="82"/>
        <v>114.04278074866311</v>
      </c>
      <c r="G56" s="3571">
        <v>2006</v>
      </c>
      <c r="H56" s="2638">
        <v>1</v>
      </c>
      <c r="I56" s="2638">
        <v>2.29</v>
      </c>
      <c r="J56" s="2638">
        <v>3.72</v>
      </c>
      <c r="K56" s="2638">
        <v>0.75</v>
      </c>
      <c r="L56" s="2649">
        <v>0.04</v>
      </c>
      <c r="N56" s="2694">
        <f t="shared" si="79"/>
        <v>4.3778675988638847E-2</v>
      </c>
      <c r="O56" s="2695">
        <f t="shared" si="79"/>
        <v>3.9114251466784385E-2</v>
      </c>
      <c r="P56" s="2695">
        <f t="shared" si="80"/>
        <v>2.1433929911049188E-2</v>
      </c>
      <c r="Q56" s="2695">
        <f t="shared" si="80"/>
        <v>3.7526972511492629E-4</v>
      </c>
      <c r="R56" s="2645"/>
      <c r="S56" s="2651">
        <f>B56/B57-1</f>
        <v>4.3778675988638716E-2</v>
      </c>
      <c r="T56" s="2652">
        <f>C56/C57-1</f>
        <v>3.91142514667846E-2</v>
      </c>
      <c r="U56" s="2652">
        <f>E56/E57-1</f>
        <v>2.143392991104931E-2</v>
      </c>
      <c r="V56" s="2652">
        <f>F56/F57-1</f>
        <v>3.7526972511492396E-4</v>
      </c>
      <c r="X56" s="2693"/>
      <c r="Y56" s="2693"/>
      <c r="Z56" s="2693"/>
    </row>
    <row r="57" spans="1:26" ht="13.5" thickBot="1">
      <c r="A57" s="2634" t="s">
        <v>2616</v>
      </c>
      <c r="B57" s="2662">
        <v>138</v>
      </c>
      <c r="C57" s="2662">
        <v>131</v>
      </c>
      <c r="D57" s="2662">
        <f t="shared" si="55"/>
        <v>131</v>
      </c>
      <c r="E57" s="2662">
        <v>155</v>
      </c>
      <c r="F57" s="2663">
        <v>114</v>
      </c>
      <c r="G57" s="3569">
        <v>2005</v>
      </c>
      <c r="H57" s="2654">
        <v>4</v>
      </c>
      <c r="I57" s="2654">
        <v>3.29</v>
      </c>
      <c r="J57" s="2654">
        <v>1.44</v>
      </c>
      <c r="K57" s="2654">
        <v>0.66</v>
      </c>
      <c r="L57" s="2655">
        <v>7.78</v>
      </c>
      <c r="N57" s="2691">
        <f t="shared" ref="N57:O60" si="83">I57/SUM(I$57:I$60)*(B$57/B$61-1)</f>
        <v>9.9404603216919935E-2</v>
      </c>
      <c r="O57" s="2692">
        <f t="shared" si="83"/>
        <v>4.7636550760861554E-2</v>
      </c>
      <c r="P57" s="2692">
        <f t="shared" ref="P57:Q60" si="84">K57/SUM(K$57:K$60)*(E$57/E$61-1)</f>
        <v>8.3756345177664976E-2</v>
      </c>
      <c r="Q57" s="2692">
        <f t="shared" si="84"/>
        <v>5.2148766661559584E-2</v>
      </c>
      <c r="R57" s="2645"/>
      <c r="S57" s="2646"/>
      <c r="T57" s="2647"/>
      <c r="U57" s="2647"/>
      <c r="V57" s="2647"/>
      <c r="X57" s="2693"/>
      <c r="Y57" s="2693"/>
      <c r="Z57" s="2693"/>
    </row>
    <row r="58" spans="1:26">
      <c r="A58" s="2634" t="s">
        <v>2617</v>
      </c>
      <c r="B58" s="2648">
        <f t="shared" ref="B58:C60" si="85">B59+(B$57-B$61)*I58/SUM(I$57:I$60)</f>
        <v>125.9720430107527</v>
      </c>
      <c r="C58" s="2648">
        <f t="shared" si="85"/>
        <v>125.1883408071749</v>
      </c>
      <c r="D58" s="2648">
        <f t="shared" si="55"/>
        <v>125.1883408071749</v>
      </c>
      <c r="E58" s="2648">
        <f t="shared" ref="E58:F60" si="86">E59+(E$57-E$61)*K58/SUM(K$57:K$60)</f>
        <v>144.61421319796952</v>
      </c>
      <c r="F58" s="2648">
        <f t="shared" si="86"/>
        <v>108.42008196721311</v>
      </c>
      <c r="G58" s="3570">
        <v>2005</v>
      </c>
      <c r="H58" s="2659">
        <v>3</v>
      </c>
      <c r="I58" s="2659">
        <v>0.46</v>
      </c>
      <c r="J58" s="2659">
        <v>0.32</v>
      </c>
      <c r="K58" s="2659">
        <v>0.42</v>
      </c>
      <c r="L58" s="2660">
        <v>0.64</v>
      </c>
      <c r="N58" s="2691">
        <f t="shared" si="83"/>
        <v>1.3898515951301874E-2</v>
      </c>
      <c r="O58" s="2692">
        <f t="shared" si="83"/>
        <v>1.0585900169080346E-2</v>
      </c>
      <c r="P58" s="2692">
        <f t="shared" si="84"/>
        <v>5.3299492385786795E-2</v>
      </c>
      <c r="Q58" s="2692">
        <f t="shared" si="84"/>
        <v>4.2898728359123568E-3</v>
      </c>
      <c r="R58" s="2645"/>
      <c r="S58" s="2643"/>
      <c r="T58" s="2644"/>
      <c r="U58" s="2644"/>
      <c r="V58" s="2644"/>
      <c r="X58" s="2693"/>
      <c r="Y58" s="2693"/>
      <c r="Z58" s="2693"/>
    </row>
    <row r="59" spans="1:26">
      <c r="A59" s="2634" t="s">
        <v>2618</v>
      </c>
      <c r="B59" s="2648">
        <f t="shared" si="85"/>
        <v>124.29032258064517</v>
      </c>
      <c r="C59" s="2648">
        <f t="shared" si="85"/>
        <v>123.8968609865471</v>
      </c>
      <c r="D59" s="2648">
        <f t="shared" si="55"/>
        <v>123.8968609865471</v>
      </c>
      <c r="E59" s="2648">
        <f t="shared" si="86"/>
        <v>138.00507614213197</v>
      </c>
      <c r="F59" s="2648">
        <f t="shared" si="86"/>
        <v>107.96106557377048</v>
      </c>
      <c r="G59" s="3570">
        <v>2005</v>
      </c>
      <c r="H59" s="2639">
        <v>2</v>
      </c>
      <c r="I59" s="2639">
        <v>0.47</v>
      </c>
      <c r="J59" s="2639">
        <v>0.1</v>
      </c>
      <c r="K59" s="2639">
        <v>0.52</v>
      </c>
      <c r="L59" s="2650">
        <v>0.79</v>
      </c>
      <c r="N59" s="2691">
        <f t="shared" si="83"/>
        <v>1.420065760241713E-2</v>
      </c>
      <c r="O59" s="2692">
        <f t="shared" si="83"/>
        <v>3.3080938028376083E-3</v>
      </c>
      <c r="P59" s="2692">
        <f t="shared" si="84"/>
        <v>6.598984771573603E-2</v>
      </c>
      <c r="Q59" s="2692">
        <f t="shared" si="84"/>
        <v>5.2953117818293153E-3</v>
      </c>
      <c r="R59" s="2645"/>
      <c r="S59" s="2643"/>
      <c r="T59" s="2644"/>
      <c r="U59" s="2644"/>
      <c r="V59" s="2644"/>
      <c r="X59" s="2693"/>
      <c r="Y59" s="2693"/>
      <c r="Z59" s="2693"/>
    </row>
    <row r="60" spans="1:26">
      <c r="A60" s="2634" t="s">
        <v>2619</v>
      </c>
      <c r="B60" s="2648">
        <f t="shared" si="85"/>
        <v>122.57204301075269</v>
      </c>
      <c r="C60" s="2648">
        <f t="shared" si="85"/>
        <v>123.4932735426009</v>
      </c>
      <c r="D60" s="2648">
        <f t="shared" si="55"/>
        <v>123.4932735426009</v>
      </c>
      <c r="E60" s="2648">
        <f t="shared" si="86"/>
        <v>129.82233502538071</v>
      </c>
      <c r="F60" s="2648">
        <f t="shared" si="86"/>
        <v>107.39446721311475</v>
      </c>
      <c r="G60" s="3571">
        <v>2005</v>
      </c>
      <c r="H60" s="2638">
        <v>1</v>
      </c>
      <c r="I60" s="2638">
        <v>0.43</v>
      </c>
      <c r="J60" s="2638">
        <v>0.37</v>
      </c>
      <c r="K60" s="2638">
        <v>0.37</v>
      </c>
      <c r="L60" s="2649">
        <v>0.55000000000000004</v>
      </c>
      <c r="N60" s="2694">
        <f t="shared" si="83"/>
        <v>1.2992090997956099E-2</v>
      </c>
      <c r="O60" s="2695">
        <f t="shared" si="83"/>
        <v>1.2239947070499151E-2</v>
      </c>
      <c r="P60" s="2695">
        <f t="shared" si="84"/>
        <v>4.6954314720812178E-2</v>
      </c>
      <c r="Q60" s="2695">
        <f t="shared" si="84"/>
        <v>3.6866094683621815E-3</v>
      </c>
      <c r="R60" s="2645"/>
      <c r="S60" s="2651">
        <f>B60/B61-1</f>
        <v>1.2992090997956174E-2</v>
      </c>
      <c r="T60" s="2652">
        <f>C60/C61-1</f>
        <v>1.2239947070499246E-2</v>
      </c>
      <c r="U60" s="2652">
        <f>E60/E61-1</f>
        <v>4.695431472081224E-2</v>
      </c>
      <c r="V60" s="2652">
        <f>F60/F61-1</f>
        <v>3.6866094683620787E-3</v>
      </c>
      <c r="X60" s="2693"/>
      <c r="Y60" s="2693"/>
      <c r="Z60" s="2693"/>
    </row>
    <row r="61" spans="1:26" ht="13.5" thickBot="1">
      <c r="A61" s="2634" t="s">
        <v>2620</v>
      </c>
      <c r="B61" s="2678">
        <v>121</v>
      </c>
      <c r="C61" s="2678">
        <v>122</v>
      </c>
      <c r="D61" s="2678">
        <f t="shared" si="55"/>
        <v>122</v>
      </c>
      <c r="E61" s="2678">
        <v>124</v>
      </c>
      <c r="F61" s="2679">
        <v>107</v>
      </c>
      <c r="G61" s="3569">
        <v>2004</v>
      </c>
      <c r="H61" s="2654">
        <v>4</v>
      </c>
      <c r="I61" s="2654">
        <v>0.33</v>
      </c>
      <c r="J61" s="2654">
        <v>0.5</v>
      </c>
      <c r="K61" s="2654">
        <v>0.5</v>
      </c>
      <c r="L61" s="2655">
        <v>0</v>
      </c>
      <c r="N61" s="2691">
        <f t="shared" ref="N61:O64" si="87">I61/SUM(I$61:I$64)*(B$61/B$65-1)</f>
        <v>1.3391770148526898E-2</v>
      </c>
      <c r="O61" s="2692">
        <f t="shared" si="87"/>
        <v>1.063264221158958E-2</v>
      </c>
      <c r="P61" s="2692">
        <f t="shared" ref="P61:Q64" si="88">K61/SUM(K$61:K$64)*(E$61/E$65-1)</f>
        <v>2.2244466688911134E-2</v>
      </c>
      <c r="Q61" s="2692">
        <f t="shared" si="88"/>
        <v>0</v>
      </c>
      <c r="R61" s="2645"/>
      <c r="S61" s="2646"/>
      <c r="T61" s="2647"/>
      <c r="U61" s="2647"/>
      <c r="V61" s="2647"/>
      <c r="X61" s="2693"/>
      <c r="Y61" s="2693"/>
      <c r="Z61" s="2693"/>
    </row>
    <row r="62" spans="1:26">
      <c r="A62" s="2634" t="s">
        <v>2621</v>
      </c>
      <c r="B62" s="2648">
        <f t="shared" ref="B62:C64" si="89">B63+(B$61-B$65)*I62/SUM(I$61:I$64)</f>
        <v>119.51351351351352</v>
      </c>
      <c r="C62" s="2648">
        <f t="shared" si="89"/>
        <v>120.7878787878788</v>
      </c>
      <c r="D62" s="2648">
        <f t="shared" si="55"/>
        <v>120.7878787878788</v>
      </c>
      <c r="E62" s="2648">
        <f t="shared" ref="E62:F64" si="90">E63+(E$61-E$65)*K62/SUM(K$61:K$64)</f>
        <v>121.5975975975976</v>
      </c>
      <c r="F62" s="2648">
        <f t="shared" si="90"/>
        <v>107</v>
      </c>
      <c r="G62" s="3570">
        <v>2004</v>
      </c>
      <c r="H62" s="2659">
        <v>3</v>
      </c>
      <c r="I62" s="2659">
        <v>0.56000000000000005</v>
      </c>
      <c r="J62" s="2659">
        <v>0.8</v>
      </c>
      <c r="K62" s="2659">
        <v>0.83</v>
      </c>
      <c r="L62" s="2660">
        <v>0.06</v>
      </c>
      <c r="N62" s="2691">
        <f t="shared" si="87"/>
        <v>2.2725428130833527E-2</v>
      </c>
      <c r="O62" s="2692">
        <f t="shared" si="87"/>
        <v>1.7012227538543329E-2</v>
      </c>
      <c r="P62" s="2692">
        <f t="shared" si="88"/>
        <v>3.6925814703592477E-2</v>
      </c>
      <c r="Q62" s="2692">
        <f t="shared" si="88"/>
        <v>2.8846153846153744E-2</v>
      </c>
      <c r="R62" s="2645"/>
      <c r="S62" s="2643"/>
      <c r="T62" s="2644"/>
      <c r="U62" s="2644"/>
      <c r="V62" s="2644"/>
      <c r="X62" s="2693"/>
      <c r="Y62" s="2693"/>
      <c r="Z62" s="2693"/>
    </row>
    <row r="63" spans="1:26">
      <c r="A63" s="2634" t="s">
        <v>2622</v>
      </c>
      <c r="B63" s="2648">
        <f t="shared" si="89"/>
        <v>116.99099099099099</v>
      </c>
      <c r="C63" s="2648">
        <f t="shared" si="89"/>
        <v>118.84848484848486</v>
      </c>
      <c r="D63" s="2648">
        <f t="shared" si="55"/>
        <v>118.84848484848486</v>
      </c>
      <c r="E63" s="2648">
        <f t="shared" si="90"/>
        <v>117.60960960960961</v>
      </c>
      <c r="F63" s="2648">
        <f t="shared" si="90"/>
        <v>104</v>
      </c>
      <c r="G63" s="3570">
        <v>2004</v>
      </c>
      <c r="H63" s="2639">
        <v>2</v>
      </c>
      <c r="I63" s="2639">
        <v>1</v>
      </c>
      <c r="J63" s="2639">
        <v>1.5</v>
      </c>
      <c r="K63" s="2639">
        <v>1.5</v>
      </c>
      <c r="L63" s="2650">
        <v>0</v>
      </c>
      <c r="N63" s="2691">
        <f t="shared" si="87"/>
        <v>4.0581121662202721E-2</v>
      </c>
      <c r="O63" s="2692">
        <f t="shared" si="87"/>
        <v>3.1897926634768738E-2</v>
      </c>
      <c r="P63" s="2692">
        <f t="shared" si="88"/>
        <v>6.6733400066733395E-2</v>
      </c>
      <c r="Q63" s="2692">
        <f t="shared" si="88"/>
        <v>0</v>
      </c>
      <c r="R63" s="2645"/>
      <c r="S63" s="2643"/>
      <c r="T63" s="2644"/>
      <c r="U63" s="2644"/>
      <c r="V63" s="2644"/>
      <c r="X63" s="2693"/>
      <c r="Y63" s="2693"/>
      <c r="Z63" s="2693"/>
    </row>
    <row r="64" spans="1:26" s="2684" customFormat="1" ht="13.5" thickBot="1">
      <c r="A64" s="2634" t="s">
        <v>2623</v>
      </c>
      <c r="B64" s="2681">
        <f t="shared" si="89"/>
        <v>112.48648648648648</v>
      </c>
      <c r="C64" s="2681">
        <f t="shared" si="89"/>
        <v>115.21212121212122</v>
      </c>
      <c r="D64" s="2681">
        <f t="shared" si="55"/>
        <v>115.21212121212122</v>
      </c>
      <c r="E64" s="2681">
        <f t="shared" si="90"/>
        <v>110.4024024024024</v>
      </c>
      <c r="F64" s="2681">
        <f t="shared" si="90"/>
        <v>104</v>
      </c>
      <c r="G64" s="3571">
        <v>2004</v>
      </c>
      <c r="H64" s="2682">
        <v>1</v>
      </c>
      <c r="I64" s="2682">
        <v>0.33</v>
      </c>
      <c r="J64" s="2682">
        <v>0.5</v>
      </c>
      <c r="K64" s="2682">
        <v>0.5</v>
      </c>
      <c r="L64" s="2683">
        <v>0</v>
      </c>
      <c r="N64" s="2696">
        <f t="shared" si="87"/>
        <v>1.3391770148526898E-2</v>
      </c>
      <c r="O64" s="2697">
        <f t="shared" si="87"/>
        <v>1.063264221158958E-2</v>
      </c>
      <c r="P64" s="2697">
        <f t="shared" si="88"/>
        <v>2.2244466688911134E-2</v>
      </c>
      <c r="Q64" s="2697">
        <f t="shared" si="88"/>
        <v>0</v>
      </c>
      <c r="R64" s="2687"/>
      <c r="S64" s="2685">
        <f>B64/B65-1</f>
        <v>1.3391770148526883E-2</v>
      </c>
      <c r="T64" s="2686">
        <f>C64/C65-1</f>
        <v>1.063264221158966E-2</v>
      </c>
      <c r="U64" s="2686">
        <f>E64/E65-1</f>
        <v>2.2244466688911224E-2</v>
      </c>
      <c r="V64" s="2686">
        <f>F64/F65-1</f>
        <v>0</v>
      </c>
      <c r="X64" s="2698"/>
      <c r="Y64" s="2698"/>
      <c r="Z64" s="2698"/>
    </row>
    <row r="65" spans="1:26" ht="13.5" thickBot="1">
      <c r="A65" s="2634" t="s">
        <v>2624</v>
      </c>
      <c r="B65" s="2699">
        <v>111</v>
      </c>
      <c r="C65" s="2699">
        <v>114</v>
      </c>
      <c r="D65" s="2699">
        <f t="shared" si="55"/>
        <v>114</v>
      </c>
      <c r="E65" s="2699">
        <v>108</v>
      </c>
      <c r="F65" s="2700">
        <v>104</v>
      </c>
      <c r="G65" s="3569">
        <v>2003</v>
      </c>
      <c r="H65" s="2689">
        <v>4</v>
      </c>
      <c r="I65" s="2701"/>
      <c r="J65" s="2701"/>
      <c r="K65" s="2701"/>
      <c r="L65" s="2701"/>
      <c r="N65" s="2702"/>
      <c r="O65" s="2701"/>
      <c r="P65" s="2701"/>
      <c r="Q65" s="2701"/>
      <c r="S65" s="2702"/>
      <c r="T65" s="2701"/>
      <c r="U65" s="2701"/>
      <c r="V65" s="2701"/>
      <c r="X65" s="2693"/>
      <c r="Y65" s="2693"/>
      <c r="Z65" s="2693"/>
    </row>
    <row r="66" spans="1:26">
      <c r="A66" s="2634" t="s">
        <v>2625</v>
      </c>
      <c r="B66" s="2703">
        <f t="shared" ref="B66:C68" si="91">B67+(B$65-B$69)/4</f>
        <v>109.75</v>
      </c>
      <c r="C66" s="2703">
        <f t="shared" si="91"/>
        <v>112.25</v>
      </c>
      <c r="D66" s="2703">
        <f t="shared" si="55"/>
        <v>112.25</v>
      </c>
      <c r="E66" s="2703">
        <f t="shared" ref="E66:F68" si="92">E67+(E$65-E$69)/4</f>
        <v>107.25</v>
      </c>
      <c r="F66" s="2703">
        <f t="shared" si="92"/>
        <v>103.5</v>
      </c>
      <c r="G66" s="3570">
        <v>2003</v>
      </c>
      <c r="H66" s="2659">
        <v>3</v>
      </c>
      <c r="I66" s="2701"/>
      <c r="J66" s="2701"/>
      <c r="K66" s="2701"/>
      <c r="L66" s="2701"/>
      <c r="X66" s="2693"/>
      <c r="Y66" s="2693"/>
      <c r="Z66" s="2693"/>
    </row>
    <row r="67" spans="1:26">
      <c r="A67" s="2634" t="s">
        <v>2626</v>
      </c>
      <c r="B67" s="2703">
        <f t="shared" si="91"/>
        <v>108.5</v>
      </c>
      <c r="C67" s="2703">
        <f t="shared" si="91"/>
        <v>110.5</v>
      </c>
      <c r="D67" s="2703">
        <f t="shared" si="55"/>
        <v>110.5</v>
      </c>
      <c r="E67" s="2703">
        <f t="shared" si="92"/>
        <v>106.5</v>
      </c>
      <c r="F67" s="2703">
        <f t="shared" si="92"/>
        <v>103</v>
      </c>
      <c r="G67" s="3570">
        <v>2003</v>
      </c>
      <c r="H67" s="2639">
        <v>2</v>
      </c>
      <c r="I67" s="2701"/>
      <c r="J67" s="2701"/>
      <c r="K67" s="2701"/>
      <c r="L67" s="2701"/>
      <c r="X67" s="2693"/>
      <c r="Y67" s="2693"/>
      <c r="Z67" s="2693"/>
    </row>
    <row r="68" spans="1:26" ht="13.5" thickBot="1">
      <c r="A68" s="2634" t="s">
        <v>2627</v>
      </c>
      <c r="B68" s="2703">
        <f t="shared" si="91"/>
        <v>107.25</v>
      </c>
      <c r="C68" s="2703">
        <f t="shared" si="91"/>
        <v>108.75</v>
      </c>
      <c r="D68" s="2703">
        <f t="shared" si="55"/>
        <v>108.75</v>
      </c>
      <c r="E68" s="2703">
        <f t="shared" si="92"/>
        <v>105.75</v>
      </c>
      <c r="F68" s="2703">
        <f t="shared" si="92"/>
        <v>102.5</v>
      </c>
      <c r="G68" s="3571">
        <v>2003</v>
      </c>
      <c r="H68" s="2704">
        <v>1</v>
      </c>
      <c r="I68" s="2701"/>
      <c r="J68" s="2701"/>
      <c r="K68" s="2701"/>
      <c r="L68" s="2701"/>
      <c r="S68" s="2643"/>
      <c r="T68" s="2644"/>
      <c r="U68" s="2644"/>
      <c r="X68" s="2693"/>
      <c r="Y68" s="2693"/>
      <c r="Z68" s="2693"/>
    </row>
    <row r="69" spans="1:26" ht="13.5" thickBot="1">
      <c r="A69" s="2634" t="s">
        <v>2628</v>
      </c>
      <c r="B69" s="2705">
        <v>106</v>
      </c>
      <c r="C69" s="2705">
        <v>107</v>
      </c>
      <c r="D69" s="2705">
        <f t="shared" si="55"/>
        <v>107</v>
      </c>
      <c r="E69" s="2705">
        <v>105</v>
      </c>
      <c r="F69" s="2706">
        <v>102</v>
      </c>
      <c r="G69" s="3569">
        <v>2002</v>
      </c>
      <c r="H69" s="2654">
        <v>4</v>
      </c>
      <c r="I69" s="2701"/>
      <c r="J69" s="2701"/>
      <c r="K69" s="2701"/>
      <c r="L69" s="2701"/>
      <c r="N69" s="2702"/>
      <c r="O69" s="2701"/>
      <c r="P69" s="2701"/>
      <c r="Q69" s="2701"/>
      <c r="S69" s="2702"/>
      <c r="T69" s="2701"/>
      <c r="U69" s="2701"/>
      <c r="V69" s="2701"/>
      <c r="X69" s="2693"/>
      <c r="Y69" s="2693"/>
      <c r="Z69" s="2693"/>
    </row>
    <row r="70" spans="1:26">
      <c r="A70" s="2634" t="s">
        <v>2629</v>
      </c>
      <c r="B70" s="2703">
        <f t="shared" ref="B70:C72" si="93">B71+(B$69-B$73)/4</f>
        <v>105</v>
      </c>
      <c r="C70" s="2703">
        <f t="shared" si="93"/>
        <v>106</v>
      </c>
      <c r="D70" s="2703">
        <f t="shared" si="55"/>
        <v>106</v>
      </c>
      <c r="E70" s="2703">
        <f t="shared" ref="E70:F72" si="94">E71+(E$69-E$73)/4</f>
        <v>104.5</v>
      </c>
      <c r="F70" s="2703">
        <f t="shared" si="94"/>
        <v>101.5</v>
      </c>
      <c r="G70" s="3570">
        <v>2002</v>
      </c>
      <c r="H70" s="2659">
        <v>3</v>
      </c>
      <c r="I70" s="2701"/>
      <c r="J70" s="2701"/>
      <c r="K70" s="2701"/>
      <c r="L70" s="2701"/>
      <c r="X70" s="2693"/>
      <c r="Y70" s="2693"/>
      <c r="Z70" s="2693"/>
    </row>
    <row r="71" spans="1:26">
      <c r="A71" s="2634" t="s">
        <v>2630</v>
      </c>
      <c r="B71" s="2703">
        <f t="shared" si="93"/>
        <v>104</v>
      </c>
      <c r="C71" s="2703">
        <f t="shared" si="93"/>
        <v>105</v>
      </c>
      <c r="D71" s="2703">
        <f t="shared" si="55"/>
        <v>105</v>
      </c>
      <c r="E71" s="2703">
        <f t="shared" si="94"/>
        <v>104</v>
      </c>
      <c r="F71" s="2703">
        <f t="shared" si="94"/>
        <v>101</v>
      </c>
      <c r="G71" s="3570">
        <v>2002</v>
      </c>
      <c r="H71" s="2639">
        <v>2</v>
      </c>
      <c r="I71" s="2701"/>
      <c r="J71" s="2701"/>
      <c r="K71" s="2701"/>
      <c r="L71" s="2701"/>
      <c r="X71" s="2693"/>
      <c r="Y71" s="2693"/>
      <c r="Z71" s="2693"/>
    </row>
    <row r="72" spans="1:26" s="2670" customFormat="1" ht="13.5" thickBot="1">
      <c r="A72" s="2666" t="s">
        <v>2631</v>
      </c>
      <c r="B72" s="2707">
        <f t="shared" si="93"/>
        <v>103</v>
      </c>
      <c r="C72" s="2707">
        <f t="shared" si="93"/>
        <v>104</v>
      </c>
      <c r="D72" s="2707">
        <f t="shared" si="55"/>
        <v>104</v>
      </c>
      <c r="E72" s="2707">
        <f t="shared" si="94"/>
        <v>103.5</v>
      </c>
      <c r="F72" s="2707">
        <f t="shared" si="94"/>
        <v>100.5</v>
      </c>
      <c r="G72" s="3571">
        <v>2002</v>
      </c>
      <c r="H72" s="2708">
        <v>1</v>
      </c>
      <c r="I72" s="2709"/>
      <c r="J72" s="2709"/>
      <c r="K72" s="2709"/>
      <c r="L72" s="2709"/>
      <c r="N72" s="2710"/>
      <c r="S72" s="2710"/>
      <c r="X72" s="2711"/>
      <c r="Y72" s="2711"/>
      <c r="Z72" s="2711"/>
    </row>
    <row r="73" spans="1:26" ht="13.5" thickBot="1">
      <c r="B73" s="2712">
        <v>102</v>
      </c>
      <c r="C73" s="2713">
        <v>103</v>
      </c>
      <c r="D73" s="2713">
        <f t="shared" si="55"/>
        <v>103</v>
      </c>
      <c r="E73" s="2713">
        <v>103</v>
      </c>
      <c r="F73" s="2714">
        <v>100</v>
      </c>
      <c r="I73" s="2701"/>
      <c r="J73" s="2701"/>
      <c r="K73" s="2701"/>
      <c r="L73" s="2701"/>
      <c r="N73" s="2702"/>
      <c r="O73" s="2701"/>
      <c r="P73" s="2701"/>
      <c r="Q73" s="2701"/>
      <c r="S73" s="2702"/>
      <c r="T73" s="2701"/>
      <c r="U73" s="2701"/>
      <c r="V73" s="2701"/>
      <c r="X73" s="2647"/>
      <c r="Y73" s="2647"/>
      <c r="Z73" s="2647"/>
    </row>
    <row r="75" spans="1:26" s="2716" customFormat="1">
      <c r="A75" s="2715" t="s">
        <v>2632</v>
      </c>
      <c r="G75" s="2717"/>
      <c r="N75" s="2717"/>
      <c r="S75" s="2717"/>
    </row>
    <row r="76" spans="1:26" s="2716" customFormat="1">
      <c r="A76" s="2716" t="s">
        <v>2633</v>
      </c>
      <c r="G76" s="2717"/>
      <c r="N76" s="2717"/>
      <c r="S76" s="2717"/>
    </row>
    <row r="77" spans="1:26" s="2716" customFormat="1">
      <c r="A77" s="2716" t="s">
        <v>2634</v>
      </c>
      <c r="G77" s="2717"/>
      <c r="I77" s="2718"/>
      <c r="J77" s="2718"/>
      <c r="K77" s="2718"/>
      <c r="L77" s="2718"/>
      <c r="N77" s="2719"/>
      <c r="O77" s="2718"/>
      <c r="P77" s="2718"/>
      <c r="Q77" s="2718"/>
      <c r="S77" s="2719"/>
      <c r="T77" s="2718"/>
      <c r="U77" s="2718"/>
      <c r="V77" s="2718"/>
    </row>
    <row r="78" spans="1:26" s="2716" customFormat="1">
      <c r="A78" s="2716" t="s">
        <v>2635</v>
      </c>
      <c r="G78" s="2717"/>
      <c r="N78" s="2717"/>
      <c r="S78" s="2717"/>
    </row>
    <row r="85" spans="7:22" ht="13.5" thickBot="1"/>
    <row r="86" spans="7:22">
      <c r="G86" s="2642"/>
      <c r="S86" s="2720" t="s">
        <v>2636</v>
      </c>
      <c r="T86" s="2721" t="s">
        <v>2637</v>
      </c>
      <c r="U86" s="2721" t="s">
        <v>2638</v>
      </c>
      <c r="V86" s="2721" t="s">
        <v>2639</v>
      </c>
    </row>
    <row r="87" spans="7:22">
      <c r="G87" s="2642"/>
      <c r="N87" s="2646"/>
      <c r="O87" s="2647"/>
      <c r="P87" s="2647"/>
      <c r="Q87" s="2647"/>
      <c r="S87" s="2722">
        <v>2006</v>
      </c>
      <c r="T87" s="2723">
        <v>15.1</v>
      </c>
      <c r="U87" s="2723">
        <v>7.43</v>
      </c>
      <c r="V87" s="2723">
        <v>26.26</v>
      </c>
    </row>
    <row r="88" spans="7:22">
      <c r="G88" s="2642"/>
      <c r="N88" s="2646"/>
      <c r="O88" s="2647"/>
      <c r="P88" s="2647"/>
      <c r="Q88" s="2647"/>
      <c r="S88" s="2725">
        <v>2005</v>
      </c>
      <c r="T88" s="2724">
        <v>13.9</v>
      </c>
      <c r="U88" s="2724">
        <v>7.49</v>
      </c>
      <c r="V88" s="2724">
        <v>24.92</v>
      </c>
    </row>
    <row r="89" spans="7:22">
      <c r="G89" s="2642"/>
      <c r="N89" s="2646"/>
      <c r="O89" s="2647"/>
      <c r="P89" s="2647"/>
      <c r="Q89" s="2647"/>
      <c r="S89" s="2722">
        <v>2004</v>
      </c>
      <c r="T89" s="2723">
        <v>9.48</v>
      </c>
      <c r="U89" s="2723">
        <v>7.2</v>
      </c>
      <c r="V89" s="2723">
        <v>14.68</v>
      </c>
    </row>
    <row r="90" spans="7:22">
      <c r="G90" s="2642"/>
      <c r="N90" s="2646"/>
      <c r="O90" s="2647"/>
      <c r="P90" s="2647"/>
      <c r="Q90" s="2647"/>
      <c r="S90" s="2725">
        <v>2003</v>
      </c>
      <c r="T90" s="2724">
        <v>4.5</v>
      </c>
      <c r="U90" s="2724">
        <v>6.12</v>
      </c>
      <c r="V90" s="2724">
        <v>2.34</v>
      </c>
    </row>
    <row r="91" spans="7:22" ht="13.5" thickBot="1">
      <c r="G91" s="2642"/>
      <c r="N91" s="2646"/>
      <c r="O91" s="2647"/>
      <c r="P91" s="2647"/>
      <c r="Q91" s="2647"/>
      <c r="S91" s="2726">
        <v>2002</v>
      </c>
      <c r="T91" s="2727">
        <v>3.59</v>
      </c>
      <c r="U91" s="2727">
        <v>4.54</v>
      </c>
      <c r="V91" s="2727">
        <v>2.5499999999999998</v>
      </c>
    </row>
    <row r="92" spans="7:22">
      <c r="G92" s="2642"/>
      <c r="N92" s="2646"/>
      <c r="O92" s="2647"/>
      <c r="P92" s="2647"/>
      <c r="Q92" s="2647"/>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c r="S102" s="2642"/>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sheetData>
  <sheetProtection password="C66D"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63" t="s">
        <v>2039</v>
      </c>
      <c r="B1" s="3263"/>
      <c r="C1" s="3263"/>
      <c r="D1" s="3263"/>
      <c r="E1" s="3263"/>
      <c r="F1" s="3263"/>
      <c r="G1" s="3263"/>
      <c r="H1" s="3263"/>
      <c r="I1" s="3263"/>
      <c r="J1" s="3263"/>
      <c r="K1" s="3263"/>
      <c r="L1" s="3263"/>
      <c r="M1" s="3263"/>
      <c r="N1" s="3263"/>
      <c r="O1" s="3263"/>
      <c r="P1" s="3263"/>
      <c r="Q1" s="3263"/>
      <c r="R1" s="3263"/>
    </row>
    <row r="2" spans="1:18">
      <c r="A2" s="1807" t="s">
        <v>2041</v>
      </c>
      <c r="B2" s="1807"/>
      <c r="C2" s="1807"/>
      <c r="D2" s="1807"/>
      <c r="E2" s="1807"/>
      <c r="F2" s="1807"/>
      <c r="G2" s="1807"/>
      <c r="H2" s="1807"/>
      <c r="I2" s="1808"/>
      <c r="J2" s="1808"/>
      <c r="K2" s="1809" t="str">
        <f>"估价期日："&amp;TEXT(项目基本情况!D3,"yyyy年m月d日;;")</f>
        <v>估价期日：2018年10月15日</v>
      </c>
      <c r="L2" s="1807"/>
      <c r="M2" s="1807"/>
      <c r="N2" s="1807"/>
      <c r="O2" s="1807"/>
      <c r="P2" s="1807"/>
      <c r="Q2" s="1807"/>
      <c r="R2" s="1809" t="str">
        <f>"估价期日的国有建设用地使用权性质："&amp;项目基本情况!B16</f>
        <v>估价期日的国有建设用地使用权性质：</v>
      </c>
    </row>
    <row r="3" spans="1:18" ht="23.25" customHeight="1">
      <c r="A3" s="3264" t="s">
        <v>2030</v>
      </c>
      <c r="B3" s="3264" t="s">
        <v>2732</v>
      </c>
      <c r="C3" s="3265" t="s">
        <v>2031</v>
      </c>
      <c r="D3" s="3264" t="s">
        <v>2736</v>
      </c>
      <c r="E3" s="3267" t="s">
        <v>2032</v>
      </c>
      <c r="F3" s="3267"/>
      <c r="G3" s="3267"/>
      <c r="H3" s="3267" t="s">
        <v>2033</v>
      </c>
      <c r="I3" s="3267"/>
      <c r="J3" s="3267"/>
      <c r="K3" s="3265" t="s">
        <v>2034</v>
      </c>
      <c r="L3" s="3265" t="s">
        <v>2035</v>
      </c>
      <c r="M3" s="3264" t="s">
        <v>2733</v>
      </c>
      <c r="N3" s="3266" t="str">
        <f>"（分摊）"&amp;项目基本情况!B16&amp;"国有建设用地使用权面积/㎡"</f>
        <v>（分摊）国有建设用地使用权面积/㎡</v>
      </c>
      <c r="O3" s="3264" t="s">
        <v>2064</v>
      </c>
      <c r="P3" s="3265" t="s">
        <v>2044</v>
      </c>
      <c r="Q3" s="3265" t="s">
        <v>2065</v>
      </c>
      <c r="R3" s="3265" t="s">
        <v>2036</v>
      </c>
    </row>
    <row r="4" spans="1:18" ht="36.75" customHeight="1">
      <c r="A4" s="3264"/>
      <c r="B4" s="3264"/>
      <c r="C4" s="3265"/>
      <c r="D4" s="3264"/>
      <c r="E4" s="2628" t="s">
        <v>2043</v>
      </c>
      <c r="F4" s="2628" t="s">
        <v>2745</v>
      </c>
      <c r="G4" s="2628" t="s">
        <v>2037</v>
      </c>
      <c r="H4" s="2628" t="s">
        <v>2038</v>
      </c>
      <c r="I4" s="2628" t="s">
        <v>2746</v>
      </c>
      <c r="J4" s="2628" t="s">
        <v>2037</v>
      </c>
      <c r="K4" s="3265"/>
      <c r="L4" s="3265"/>
      <c r="M4" s="3264"/>
      <c r="N4" s="3266"/>
      <c r="O4" s="3264"/>
      <c r="P4" s="3265"/>
      <c r="Q4" s="3265"/>
      <c r="R4" s="3265"/>
    </row>
    <row r="5" spans="1:18" ht="135" customHeight="1">
      <c r="A5" s="1943" t="s">
        <v>2656</v>
      </c>
      <c r="B5" s="2846" t="s">
        <v>2654</v>
      </c>
      <c r="C5" s="2627">
        <v>22</v>
      </c>
      <c r="D5" s="2626" t="s">
        <v>2655</v>
      </c>
      <c r="E5" s="1810">
        <f>项目基本情况!B12</f>
        <v>0</v>
      </c>
      <c r="F5" s="2626">
        <v>258</v>
      </c>
      <c r="G5" s="1810">
        <f>项目基本情况!B13</f>
        <v>0</v>
      </c>
      <c r="H5" s="2626">
        <v>1.5</v>
      </c>
      <c r="I5" s="2626">
        <v>1.5</v>
      </c>
      <c r="J5" s="2626">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t="str">
        <f>IF(项目基本情况!B16="出让",项目基本情况!D20,"——")</f>
        <v>——</v>
      </c>
      <c r="N5" s="1810">
        <f>项目基本情况!C22</f>
        <v>78298.679999999993</v>
      </c>
      <c r="O5" s="1810">
        <f>项目基本情况!C21</f>
        <v>400500</v>
      </c>
      <c r="P5" s="1810">
        <f ca="1">'结果表-办公'!E42</f>
        <v>77614</v>
      </c>
      <c r="Q5" s="1810">
        <f ca="1">'结果表-办公'!D42</f>
        <v>15174</v>
      </c>
      <c r="R5" s="1811">
        <f ca="1">'结果表-办公'!C42</f>
        <v>607711</v>
      </c>
    </row>
    <row r="6" spans="1:18">
      <c r="A6" s="3260" t="str">
        <f>IF(项目基本情况!B9="市场价格","——","抵押价格")</f>
        <v>——</v>
      </c>
      <c r="B6" s="3261"/>
      <c r="C6" s="3261"/>
      <c r="D6" s="3261"/>
      <c r="E6" s="3261"/>
      <c r="F6" s="3261"/>
      <c r="G6" s="3261"/>
      <c r="H6" s="3261"/>
      <c r="I6" s="3261"/>
      <c r="J6" s="3261"/>
      <c r="K6" s="3261"/>
      <c r="L6" s="3261"/>
      <c r="M6" s="3261"/>
      <c r="N6" s="3261"/>
      <c r="O6" s="3261"/>
      <c r="P6" s="3261"/>
      <c r="Q6" s="3262"/>
      <c r="R6" s="1812" t="str">
        <f>'结果表-办公'!O39</f>
        <v>——</v>
      </c>
    </row>
    <row r="7" spans="1:18">
      <c r="A7" s="3260" t="str">
        <f>IF(项目基本情况!B9="市场价格","——",IF(项目基本情况!E8="已注销及未注销","抵押担保权已注销时的抵押价格","——"))</f>
        <v>——</v>
      </c>
      <c r="B7" s="3261"/>
      <c r="C7" s="3261"/>
      <c r="D7" s="3261"/>
      <c r="E7" s="3261"/>
      <c r="F7" s="3261"/>
      <c r="G7" s="3261"/>
      <c r="H7" s="3261"/>
      <c r="I7" s="3261"/>
      <c r="J7" s="3261"/>
      <c r="K7" s="3261"/>
      <c r="L7" s="3261"/>
      <c r="M7" s="3261"/>
      <c r="N7" s="3261"/>
      <c r="O7" s="3261"/>
      <c r="P7" s="3261"/>
      <c r="Q7" s="3262"/>
      <c r="R7" s="1812" t="str">
        <f>'结果表-办公'!O40</f>
        <v>——</v>
      </c>
    </row>
    <row r="8" spans="1:18">
      <c r="A8" s="3260" t="str">
        <f>IF(项目基本情况!B9="市场价格","——",项目基本情况!E9)</f>
        <v>——</v>
      </c>
      <c r="B8" s="3261"/>
      <c r="C8" s="3261"/>
      <c r="D8" s="3261"/>
      <c r="E8" s="3261"/>
      <c r="F8" s="3261"/>
      <c r="G8" s="3261"/>
      <c r="H8" s="3261"/>
      <c r="I8" s="3261"/>
      <c r="J8" s="3261"/>
      <c r="K8" s="3261"/>
      <c r="L8" s="3261"/>
      <c r="M8" s="3261"/>
      <c r="N8" s="3261"/>
      <c r="O8" s="3261"/>
      <c r="P8" s="3261"/>
      <c r="Q8" s="3262"/>
      <c r="R8" s="1812" t="str">
        <f>'结果表-办公'!O41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dimension ref="A1"/>
  <sheetViews>
    <sheetView workbookViewId="0">
      <selection activeCell="O30" sqref="O30"/>
    </sheetView>
  </sheetViews>
  <sheetFormatPr defaultRowHeight="13.5"/>
  <sheetData/>
  <phoneticPr fontId="228"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69" t="s">
        <v>2066</v>
      </c>
      <c r="B1" s="3269"/>
      <c r="C1" s="3269"/>
      <c r="D1" s="3269"/>
    </row>
    <row r="2" spans="1:4" ht="47.25" customHeight="1">
      <c r="A2" s="3270" t="str">
        <f>"1.权利限制："&amp;项目基本情况!L24&amp;"未设定租赁等其他他项权利。"</f>
        <v>1.权利限制：根据估价对象《不动产权证书》原件、《国有土地使用权》复印件，截至估价期日，估价对象抵押权未见登记。未设定租赁等其他他项权利。</v>
      </c>
      <c r="B2" s="3270"/>
      <c r="C2" s="3270"/>
      <c r="D2" s="3270"/>
    </row>
    <row r="3" spans="1:4" ht="48" customHeight="1">
      <c r="A3" s="326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9"/>
      <c r="C3" s="3269"/>
      <c r="D3" s="3269"/>
    </row>
    <row r="4" spans="1:4" ht="36.75" customHeight="1">
      <c r="A4" s="3269" t="str">
        <f>"3.估价规划限制条件：详见"&amp;项目基本情况!E21&amp;"。"</f>
        <v>3.估价规划限制条件：详见《建设工程规划许可证》[]、《出让合同》[]。</v>
      </c>
      <c r="B4" s="3269"/>
      <c r="C4" s="3269"/>
      <c r="D4" s="3269"/>
    </row>
    <row r="5" spans="1:4">
      <c r="A5" s="3268" t="s">
        <v>2067</v>
      </c>
      <c r="B5" s="3268"/>
      <c r="C5" s="3268"/>
      <c r="D5" s="3268"/>
    </row>
    <row r="6" spans="1:4">
      <c r="A6" s="3269" t="s">
        <v>2045</v>
      </c>
      <c r="B6" s="3269"/>
      <c r="C6" s="3269"/>
      <c r="D6" s="3269"/>
    </row>
    <row r="7" spans="1:4" ht="33" customHeight="1">
      <c r="A7" s="3269" t="s">
        <v>2576</v>
      </c>
      <c r="B7" s="3269"/>
      <c r="C7" s="3269"/>
      <c r="D7" s="3269"/>
    </row>
    <row r="8" spans="1:4" ht="32.25" customHeight="1">
      <c r="A8" s="326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69"/>
      <c r="C8" s="3269"/>
      <c r="D8" s="3269"/>
    </row>
    <row r="9" spans="1:4" ht="33.75" customHeight="1">
      <c r="A9" s="3269" t="str">
        <f>IF(项目基本情况!B8="抵押","3.抵押双方在办理抵押登记手续时，应使用本公司出具的正式《土地估价报告》，特提请报告使用者注意。","——")</f>
        <v>——</v>
      </c>
      <c r="B9" s="3269"/>
      <c r="C9" s="3269"/>
      <c r="D9" s="3269"/>
    </row>
    <row r="10" spans="1:4">
      <c r="A10" s="3269" t="str">
        <f>IF(项目基本情况!B8="抵押","4.估价师所知悉的法定优先受偿款情况为：","——")</f>
        <v>——</v>
      </c>
      <c r="B10" s="3269"/>
      <c r="C10" s="3269"/>
      <c r="D10" s="3269"/>
    </row>
    <row r="11" spans="1:4" ht="37.5" customHeight="1">
      <c r="A11" s="3271" t="str">
        <f>IF(项目基本情况!B8="抵押","（1）"&amp;CONCATENATE(项目基本情况!L24,项目基本情况!L25,项目基本情况!L26),"——")</f>
        <v>——</v>
      </c>
      <c r="B11" s="3271"/>
      <c r="C11" s="3271"/>
      <c r="D11" s="3271"/>
    </row>
    <row r="12" spans="1:4" ht="168" customHeight="1">
      <c r="A12" s="3268" t="s">
        <v>2069</v>
      </c>
      <c r="B12" s="3268"/>
      <c r="C12" s="3268"/>
      <c r="D12" s="3268"/>
    </row>
    <row r="13" spans="1:4">
      <c r="A13" s="3272" t="s">
        <v>2747</v>
      </c>
      <c r="B13" s="3272"/>
      <c r="C13" s="3272"/>
      <c r="D13" s="3272"/>
    </row>
    <row r="14" spans="1:4">
      <c r="A14" s="3271" t="str">
        <f>IF(项目基本情况!B8="抵押","综上，"&amp;'结果表-办公'!K47,"——")</f>
        <v>——</v>
      </c>
      <c r="B14" s="3271"/>
      <c r="C14" s="3271"/>
      <c r="D14" s="3271"/>
    </row>
    <row r="15" spans="1:4" ht="58.5" customHeight="1">
      <c r="A15" s="3269" t="str">
        <f>IF('结果表-办公'!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9"/>
      <c r="C15" s="3269"/>
      <c r="D15" s="3269"/>
    </row>
    <row r="16" spans="1:4" ht="70.5" customHeight="1">
      <c r="A16" s="3269" t="str">
        <f>IF('结果表-办公'!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9"/>
      <c r="C16" s="3269"/>
      <c r="D16" s="3269"/>
    </row>
    <row r="17" spans="1:4">
      <c r="A17" s="3269" t="s">
        <v>2703</v>
      </c>
      <c r="B17" s="3269"/>
      <c r="C17" s="3269"/>
      <c r="D17" s="3269"/>
    </row>
    <row r="18" spans="1:4">
      <c r="A18" s="3269" t="s">
        <v>2695</v>
      </c>
      <c r="B18" s="3269"/>
      <c r="C18" s="3269"/>
      <c r="D18" s="3269"/>
    </row>
    <row r="19" spans="1:4">
      <c r="A19" s="2847" t="s">
        <v>2696</v>
      </c>
      <c r="B19" s="2847" t="s">
        <v>2697</v>
      </c>
      <c r="C19" s="2847" t="s">
        <v>2698</v>
      </c>
      <c r="D19" s="2847" t="s">
        <v>2699</v>
      </c>
    </row>
    <row r="20" spans="1:4">
      <c r="A20" s="2847" t="str">
        <f>项目基本情况!B4</f>
        <v>叶凌</v>
      </c>
      <c r="B20" s="2847">
        <f ca="1">项目基本情况!C4</f>
        <v>94010078</v>
      </c>
      <c r="C20" s="2849"/>
      <c r="D20" s="1800" t="s">
        <v>2704</v>
      </c>
    </row>
    <row r="21" spans="1:4">
      <c r="A21" s="2847" t="str">
        <f>项目基本情况!D4</f>
        <v>杨红英</v>
      </c>
      <c r="B21" s="2847">
        <f ca="1">项目基本情况!E4</f>
        <v>2004110128</v>
      </c>
      <c r="C21" s="2849"/>
      <c r="D21" s="1800" t="s">
        <v>2705</v>
      </c>
    </row>
    <row r="23" spans="1:4">
      <c r="A23" s="3269" t="s">
        <v>2700</v>
      </c>
      <c r="B23" s="3269"/>
      <c r="C23" s="3269"/>
      <c r="D23" s="3269"/>
    </row>
    <row r="24" spans="1:4">
      <c r="A24" s="2847" t="s">
        <v>2696</v>
      </c>
      <c r="B24" s="2847" t="s">
        <v>2701</v>
      </c>
      <c r="C24" s="2847" t="s">
        <v>2698</v>
      </c>
      <c r="D24" s="2847" t="s">
        <v>2699</v>
      </c>
    </row>
    <row r="25" spans="1:4">
      <c r="A25" s="2850" t="s">
        <v>2702</v>
      </c>
      <c r="B25" s="2847" t="s">
        <v>952</v>
      </c>
      <c r="C25" s="2849"/>
      <c r="D25" s="1800" t="s">
        <v>2705</v>
      </c>
    </row>
    <row r="29" spans="1:4">
      <c r="D29" s="2848" t="s">
        <v>2040</v>
      </c>
    </row>
    <row r="30" spans="1:4">
      <c r="D30" s="285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80" t="s">
        <v>53</v>
      </c>
      <c r="B15" s="3281" t="s">
        <v>846</v>
      </c>
      <c r="C15" s="3277"/>
    </row>
    <row r="16" spans="1:7" ht="14.25">
      <c r="A16" s="3280"/>
      <c r="B16" s="3278" t="s">
        <v>54</v>
      </c>
      <c r="C16" s="1172" t="s">
        <v>53</v>
      </c>
    </row>
    <row r="17" spans="1:3" ht="14.25">
      <c r="A17" s="3280"/>
      <c r="B17" s="3278"/>
      <c r="C17" s="1172" t="s">
        <v>55</v>
      </c>
    </row>
    <row r="18" spans="1:3" ht="14.25">
      <c r="A18" s="3280"/>
      <c r="B18" s="3278"/>
      <c r="C18" s="1172" t="s">
        <v>56</v>
      </c>
    </row>
    <row r="19" spans="1:3" ht="14.25">
      <c r="A19" s="3280"/>
      <c r="B19" s="3276" t="s">
        <v>57</v>
      </c>
      <c r="C19" s="3277"/>
    </row>
    <row r="20" spans="1:3" ht="14.25">
      <c r="A20" s="1173" t="s">
        <v>58</v>
      </c>
      <c r="B20" s="1174"/>
      <c r="C20" s="1175"/>
    </row>
    <row r="21" spans="1:3" ht="14.25">
      <c r="A21" s="3279" t="s">
        <v>59</v>
      </c>
      <c r="B21" s="3276" t="s">
        <v>60</v>
      </c>
      <c r="C21" s="3277"/>
    </row>
    <row r="22" spans="1:3" ht="14.25">
      <c r="A22" s="3279"/>
      <c r="B22" s="3276" t="s">
        <v>61</v>
      </c>
      <c r="C22" s="3277"/>
    </row>
    <row r="23" spans="1:3" ht="14.25">
      <c r="A23" s="3279"/>
      <c r="B23" s="3276" t="s">
        <v>62</v>
      </c>
      <c r="C23" s="3277"/>
    </row>
    <row r="24" spans="1:3" ht="14.25">
      <c r="A24" s="3279"/>
      <c r="B24" s="3282" t="s">
        <v>63</v>
      </c>
      <c r="C24" s="1176" t="s">
        <v>837</v>
      </c>
    </row>
    <row r="25" spans="1:3" ht="14.25">
      <c r="A25" s="3279"/>
      <c r="B25" s="3283"/>
      <c r="C25" s="1176" t="s">
        <v>838</v>
      </c>
    </row>
    <row r="26" spans="1:3" ht="14.25">
      <c r="A26" s="3279"/>
      <c r="B26" s="3283"/>
      <c r="C26" s="1176" t="s">
        <v>839</v>
      </c>
    </row>
    <row r="27" spans="1:3" ht="14.25">
      <c r="A27" s="3279"/>
      <c r="B27" s="3283"/>
      <c r="C27" s="1176" t="s">
        <v>840</v>
      </c>
    </row>
    <row r="28" spans="1:3" ht="14.25">
      <c r="A28" s="3279"/>
      <c r="B28" s="3283"/>
      <c r="C28" s="1176" t="s">
        <v>841</v>
      </c>
    </row>
    <row r="29" spans="1:3" ht="14.25">
      <c r="A29" s="3279"/>
      <c r="B29" s="3283"/>
      <c r="C29" s="1176" t="s">
        <v>842</v>
      </c>
    </row>
    <row r="30" spans="1:3" ht="14.25">
      <c r="A30" s="3279"/>
      <c r="B30" s="3283"/>
      <c r="C30" s="1176" t="s">
        <v>843</v>
      </c>
    </row>
    <row r="31" spans="1:3" ht="14.25">
      <c r="A31" s="3279"/>
      <c r="B31" s="3283"/>
      <c r="C31" s="1176" t="s">
        <v>844</v>
      </c>
    </row>
    <row r="32" spans="1:3" ht="14.25">
      <c r="A32" s="3279"/>
      <c r="B32" s="3283"/>
      <c r="C32" s="1176" t="s">
        <v>1647</v>
      </c>
    </row>
    <row r="33" spans="1:3" ht="14.25">
      <c r="A33" s="3279"/>
      <c r="B33" s="3273" t="s">
        <v>1653</v>
      </c>
      <c r="C33" s="1176" t="s">
        <v>1648</v>
      </c>
    </row>
    <row r="34" spans="1:3" ht="14.25">
      <c r="A34" s="3279"/>
      <c r="B34" s="3274"/>
      <c r="C34" s="1181" t="s">
        <v>1649</v>
      </c>
    </row>
    <row r="35" spans="1:3" ht="14.25">
      <c r="A35" s="3279"/>
      <c r="B35" s="3274"/>
      <c r="C35" s="1182" t="s">
        <v>1650</v>
      </c>
    </row>
    <row r="36" spans="1:3" ht="14.25">
      <c r="A36" s="3279"/>
      <c r="B36" s="3274"/>
      <c r="C36" s="1182" t="s">
        <v>1651</v>
      </c>
    </row>
    <row r="37" spans="1:3" ht="14.25">
      <c r="A37" s="3279"/>
      <c r="B37" s="3275"/>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7" customWidth="1"/>
    <col min="2" max="5" width="22.625" style="3157"/>
    <col min="6" max="6" width="25.625" style="3157" customWidth="1"/>
    <col min="7" max="16384" width="22.625" style="3157"/>
  </cols>
  <sheetData>
    <row r="2" spans="1:6" ht="20.25" customHeight="1">
      <c r="A2" s="3154" t="s">
        <v>1908</v>
      </c>
      <c r="B2" s="3155">
        <f ca="1">TODAY()</f>
        <v>43473</v>
      </c>
      <c r="C2" s="3156" t="s">
        <v>1909</v>
      </c>
      <c r="D2" s="3156"/>
    </row>
    <row r="3" spans="1:6" ht="20.25" customHeight="1">
      <c r="A3" s="3158" t="s">
        <v>1910</v>
      </c>
      <c r="B3" s="3159" t="s">
        <v>1911</v>
      </c>
      <c r="C3" s="3159" t="s">
        <v>1912</v>
      </c>
      <c r="D3" s="3160" t="s">
        <v>1913</v>
      </c>
      <c r="E3" s="3159" t="s">
        <v>1914</v>
      </c>
      <c r="F3" s="3159" t="s">
        <v>1912</v>
      </c>
    </row>
    <row r="4" spans="1:6" ht="20.25" customHeight="1">
      <c r="A4" s="3159" t="s">
        <v>1915</v>
      </c>
      <c r="B4" s="3159">
        <f ca="1">IF(C4&lt;B2,"已过期",1119970066)</f>
        <v>1119970066</v>
      </c>
      <c r="C4" s="3161">
        <v>43849</v>
      </c>
      <c r="D4" s="3159" t="s">
        <v>1915</v>
      </c>
      <c r="E4" s="3159">
        <f ca="1">IF(F4&lt;B2,"已过期",96010014)</f>
        <v>96010014</v>
      </c>
      <c r="F4" s="3162">
        <v>47118</v>
      </c>
    </row>
    <row r="5" spans="1:6" ht="20.25" customHeight="1">
      <c r="A5" s="3159" t="s">
        <v>1916</v>
      </c>
      <c r="B5" s="3159">
        <f ca="1">IF(C5&lt;B2,"已过期",1119970074)</f>
        <v>1119970074</v>
      </c>
      <c r="C5" s="3161">
        <v>43849</v>
      </c>
      <c r="D5" s="3159" t="s">
        <v>1916</v>
      </c>
      <c r="E5" s="3159">
        <f ca="1">IF(F5&lt;B2,"已过期",2002110027)</f>
        <v>2002110027</v>
      </c>
      <c r="F5" s="3162">
        <v>46752</v>
      </c>
    </row>
    <row r="6" spans="1:6" ht="20.25" customHeight="1">
      <c r="A6" s="3159" t="s">
        <v>1917</v>
      </c>
      <c r="B6" s="3159">
        <f ca="1">IF(C6&lt;B2,"已过期",1119970111)</f>
        <v>1119970111</v>
      </c>
      <c r="C6" s="3161">
        <v>43849</v>
      </c>
      <c r="D6" s="3159" t="s">
        <v>1917</v>
      </c>
      <c r="E6" s="3159">
        <f ca="1">IF(F6&lt;B2,"已过期",94010078)</f>
        <v>94010078</v>
      </c>
      <c r="F6" s="3162">
        <v>46387</v>
      </c>
    </row>
    <row r="7" spans="1:6" ht="20.25" customHeight="1">
      <c r="A7" s="3159" t="s">
        <v>1918</v>
      </c>
      <c r="B7" s="3159">
        <f ca="1">IF(C7&lt;B2,"已过期",1120050019)</f>
        <v>1120050019</v>
      </c>
      <c r="C7" s="3161">
        <v>44395</v>
      </c>
      <c r="D7" s="3159" t="s">
        <v>1918</v>
      </c>
      <c r="E7" s="3159">
        <f ca="1">IF(F7&lt;B2,"已过期",2002110030)</f>
        <v>2002110030</v>
      </c>
      <c r="F7" s="3162">
        <v>46387</v>
      </c>
    </row>
    <row r="8" spans="1:6" ht="20.25" customHeight="1">
      <c r="A8" s="3159" t="s">
        <v>1919</v>
      </c>
      <c r="B8" s="3159">
        <f ca="1">IF(C8&lt;B2,"已过期",1120000080)</f>
        <v>1120000080</v>
      </c>
      <c r="C8" s="3161">
        <v>43849</v>
      </c>
      <c r="D8" s="3159" t="s">
        <v>1919</v>
      </c>
      <c r="E8" s="3159">
        <f ca="1">IF(F8&lt;B2,"已过期",2000110082)</f>
        <v>2000110082</v>
      </c>
      <c r="F8" s="3162">
        <v>46387</v>
      </c>
    </row>
    <row r="9" spans="1:6" ht="20.25" customHeight="1">
      <c r="A9" s="3159" t="s">
        <v>1920</v>
      </c>
      <c r="B9" s="3159">
        <f ca="1">IF(C9&lt;B2,"已过期",1419970001)</f>
        <v>1419970001</v>
      </c>
      <c r="C9" s="3161">
        <v>43867</v>
      </c>
      <c r="D9" s="3159" t="s">
        <v>1920</v>
      </c>
      <c r="E9" s="3159">
        <f ca="1">IF(F9&lt;B2,"已过期",2002110125)</f>
        <v>2002110125</v>
      </c>
      <c r="F9" s="3162">
        <v>47118</v>
      </c>
    </row>
    <row r="10" spans="1:6" ht="20.25" customHeight="1">
      <c r="A10" s="3159" t="s">
        <v>1921</v>
      </c>
      <c r="B10" s="3159">
        <f ca="1">IF(C10&lt;B2,"已过期",1120060040)</f>
        <v>1120060040</v>
      </c>
      <c r="C10" s="3161">
        <v>43483</v>
      </c>
      <c r="D10" s="3159" t="s">
        <v>1921</v>
      </c>
      <c r="E10" s="3159">
        <f ca="1">IF(F10&lt;B2,"已过期",2004110096)</f>
        <v>2004110096</v>
      </c>
      <c r="F10" s="3162">
        <v>47118</v>
      </c>
    </row>
    <row r="11" spans="1:6" ht="20.25" customHeight="1">
      <c r="A11" s="3159" t="s">
        <v>1922</v>
      </c>
      <c r="B11" s="3159">
        <f ca="1">IF(C11&lt;B2,"已过期",1120100036)</f>
        <v>1120100036</v>
      </c>
      <c r="C11" s="3161">
        <v>43622</v>
      </c>
      <c r="D11" s="3159" t="s">
        <v>1922</v>
      </c>
      <c r="E11" s="3159">
        <f ca="1">IF(F11&lt;B2,"已过期",2010110070)</f>
        <v>2010110070</v>
      </c>
      <c r="F11" s="3162">
        <v>47907</v>
      </c>
    </row>
    <row r="12" spans="1:6" ht="20.25" customHeight="1">
      <c r="A12" s="3159"/>
      <c r="B12" s="3159"/>
      <c r="C12" s="3161"/>
      <c r="D12" s="3159"/>
      <c r="E12" s="3159"/>
      <c r="F12" s="3162"/>
    </row>
    <row r="13" spans="1:6" ht="20.25" customHeight="1">
      <c r="A13" s="3159" t="s">
        <v>1923</v>
      </c>
      <c r="B13" s="3159">
        <f ca="1">IF(C13&lt;B2,"已过期",1120070131)</f>
        <v>1120070131</v>
      </c>
      <c r="C13" s="3161">
        <v>43814</v>
      </c>
      <c r="D13" s="3159" t="s">
        <v>1923</v>
      </c>
      <c r="E13" s="3159">
        <f ca="1">IF(F13&lt;B2,"已过期",2014110011)</f>
        <v>2014110011</v>
      </c>
      <c r="F13" s="3162">
        <v>49302</v>
      </c>
    </row>
    <row r="14" spans="1:6" ht="20.25" customHeight="1">
      <c r="A14" s="3159" t="s">
        <v>2980</v>
      </c>
      <c r="B14" s="3159">
        <f ca="1">IF(C14&lt;B2,"已过期",1120040230)</f>
        <v>1120040230</v>
      </c>
      <c r="C14" s="3163">
        <v>43835</v>
      </c>
      <c r="D14" s="3164" t="s">
        <v>2981</v>
      </c>
      <c r="E14" s="3159">
        <f ca="1">IF(F14&lt;B2,"已过期",98030020)</f>
        <v>98030020</v>
      </c>
      <c r="F14" s="3162">
        <v>47118</v>
      </c>
    </row>
    <row r="15" spans="1:6" ht="20.25" customHeight="1">
      <c r="A15" s="3159" t="s">
        <v>2575</v>
      </c>
      <c r="B15" s="3159">
        <f ca="1">IF(C15&lt;B2,"已过期",1120070085)</f>
        <v>1120070085</v>
      </c>
      <c r="C15" s="3163">
        <v>43814</v>
      </c>
      <c r="D15" s="3159" t="s">
        <v>2982</v>
      </c>
      <c r="E15" s="3159">
        <f ca="1">IF(F15&lt;B2,"已过期",2004110128)</f>
        <v>2004110128</v>
      </c>
      <c r="F15" s="3165">
        <v>47118</v>
      </c>
    </row>
    <row r="16" spans="1:6" ht="20.25" customHeight="1">
      <c r="A16" s="3159" t="s">
        <v>1924</v>
      </c>
      <c r="B16" s="3159">
        <f ca="1">IF(C16&lt;B2,"已过期",1120140022)</f>
        <v>1120140022</v>
      </c>
      <c r="C16" s="3161">
        <v>44029</v>
      </c>
      <c r="D16" s="3159" t="s">
        <v>2983</v>
      </c>
      <c r="E16" s="3159">
        <f ca="1">IF(F16&lt;B2,"已过期",2008110059)</f>
        <v>2008110059</v>
      </c>
      <c r="F16" s="3162">
        <v>47177</v>
      </c>
    </row>
    <row r="17" spans="1:7" ht="20.25" customHeight="1">
      <c r="A17" s="3159"/>
      <c r="B17" s="3159"/>
      <c r="C17" s="3161"/>
      <c r="D17" s="3164" t="s">
        <v>2984</v>
      </c>
      <c r="E17" s="3159">
        <f ca="1">IF(F17&lt;B2,"已过期",2014110076)</f>
        <v>2014110076</v>
      </c>
      <c r="F17" s="3162">
        <v>49302</v>
      </c>
    </row>
    <row r="18" spans="1:7" ht="20.25" customHeight="1">
      <c r="A18" s="3159"/>
      <c r="B18" s="3159"/>
      <c r="C18" s="3161"/>
      <c r="D18" s="3159"/>
      <c r="E18" s="3159"/>
      <c r="F18" s="3162"/>
    </row>
    <row r="19" spans="1:7" ht="20.25" customHeight="1">
      <c r="A19" s="3159"/>
      <c r="B19" s="3159"/>
      <c r="C19" s="3161"/>
      <c r="D19" s="3159"/>
      <c r="E19" s="3159"/>
      <c r="F19" s="3159"/>
    </row>
    <row r="20" spans="1:7" ht="20.25" customHeight="1">
      <c r="A20" s="3159"/>
      <c r="B20" s="3159"/>
      <c r="C20" s="3161"/>
      <c r="D20" s="3159"/>
      <c r="E20" s="3159"/>
      <c r="F20" s="3159"/>
    </row>
    <row r="21" spans="1:7" ht="20.25" customHeight="1">
      <c r="A21" s="3159"/>
      <c r="B21" s="3159"/>
      <c r="C21" s="3161"/>
      <c r="D21" s="3159" t="s">
        <v>1925</v>
      </c>
      <c r="E21" s="3159">
        <f ca="1">IF(F21&lt;B2,"已过期",2011110090)</f>
        <v>2011110090</v>
      </c>
      <c r="F21" s="3162">
        <v>48302</v>
      </c>
    </row>
    <row r="22" spans="1:7" ht="20.25" customHeight="1">
      <c r="A22" s="3159" t="s">
        <v>1926</v>
      </c>
      <c r="B22" s="3159">
        <f ca="1">IF(C22&lt;B2,"已过期",1120020033)</f>
        <v>1120020033</v>
      </c>
      <c r="C22" s="3161">
        <v>44339</v>
      </c>
      <c r="D22" s="3159" t="s">
        <v>1926</v>
      </c>
      <c r="E22" s="3159">
        <f ca="1">IF(F22&lt;B2,"已过期",2000110137)</f>
        <v>2000110137</v>
      </c>
      <c r="F22" s="3162">
        <v>46387</v>
      </c>
    </row>
    <row r="23" spans="1:7" ht="20.25" customHeight="1">
      <c r="A23" s="3159"/>
      <c r="B23" s="3159"/>
      <c r="C23" s="3161"/>
      <c r="D23" s="3159"/>
      <c r="E23" s="3159"/>
      <c r="F23" s="3159"/>
    </row>
    <row r="24" spans="1:7" s="3167" customFormat="1" ht="20.25" customHeight="1">
      <c r="A24" s="3158" t="s">
        <v>2054</v>
      </c>
      <c r="B24" s="3158" t="s">
        <v>2054</v>
      </c>
      <c r="C24" s="3161"/>
      <c r="D24" s="3166" t="s">
        <v>2054</v>
      </c>
      <c r="E24" s="3158" t="s">
        <v>2054</v>
      </c>
      <c r="F24" s="3165"/>
    </row>
    <row r="25" spans="1:7" ht="20.25" customHeight="1">
      <c r="A25" s="3284" t="s">
        <v>1927</v>
      </c>
      <c r="B25" s="3284"/>
      <c r="C25" s="3284"/>
      <c r="D25" s="3284"/>
      <c r="E25" s="3284"/>
      <c r="F25" s="3284"/>
      <c r="G25" s="3284"/>
    </row>
    <row r="26" spans="1:7" ht="20.25" customHeight="1">
      <c r="A26" s="3285" t="s">
        <v>1928</v>
      </c>
      <c r="B26" s="3285"/>
      <c r="C26" s="3285"/>
      <c r="D26" s="3285" t="s">
        <v>1929</v>
      </c>
      <c r="E26" s="3285"/>
      <c r="F26" s="3285"/>
    </row>
    <row r="27" spans="1:7" s="3154" customFormat="1" ht="20.25" customHeight="1">
      <c r="A27" s="3168" t="s">
        <v>1930</v>
      </c>
      <c r="B27" s="3169" t="s">
        <v>1931</v>
      </c>
      <c r="C27" s="3169" t="s">
        <v>1932</v>
      </c>
      <c r="D27" s="3159" t="s">
        <v>1930</v>
      </c>
      <c r="E27" s="3169" t="s">
        <v>1931</v>
      </c>
      <c r="F27" s="3169" t="s">
        <v>1932</v>
      </c>
    </row>
    <row r="28" spans="1:7" s="3154" customFormat="1" ht="20.25" customHeight="1">
      <c r="A28" s="3170" t="s">
        <v>1933</v>
      </c>
      <c r="B28" s="3170" t="s">
        <v>1934</v>
      </c>
      <c r="C28" s="3162">
        <v>43725</v>
      </c>
      <c r="D28" s="3170" t="s">
        <v>1935</v>
      </c>
      <c r="E28" s="3170" t="s">
        <v>1936</v>
      </c>
      <c r="F28" s="3171">
        <v>44377</v>
      </c>
    </row>
    <row r="29" spans="1:7" s="3154" customFormat="1" ht="20.25" customHeight="1">
      <c r="A29" s="3170"/>
      <c r="B29" s="3170"/>
      <c r="C29" s="3172"/>
      <c r="D29" s="3170" t="s">
        <v>1937</v>
      </c>
      <c r="E29" s="3173" t="s">
        <v>2941</v>
      </c>
      <c r="F29" s="3174">
        <v>43281</v>
      </c>
    </row>
    <row r="30" spans="1:7" ht="20.25" customHeight="1">
      <c r="C30" s="3175"/>
      <c r="D30" s="3175"/>
    </row>
  </sheetData>
  <sheetProtection password="C66D" sheet="1" objects="1" scenarios="1"/>
  <mergeCells count="3">
    <mergeCell ref="A25:G25"/>
    <mergeCell ref="A26:C26"/>
    <mergeCell ref="D26:F26"/>
  </mergeCells>
  <phoneticPr fontId="3" type="noConversion"/>
  <conditionalFormatting sqref="C24:D24">
    <cfRule type="expression" dxfId="222" priority="113">
      <formula>AND($C24-TODAY()&lt;30,TODAY()&lt;$C24)</formula>
    </cfRule>
  </conditionalFormatting>
  <conditionalFormatting sqref="C28">
    <cfRule type="expression" dxfId="221" priority="112">
      <formula>AND($C28-TODAY()&lt;30,TODAY()&lt;$C28)</formula>
    </cfRule>
  </conditionalFormatting>
  <conditionalFormatting sqref="C28 F4">
    <cfRule type="cellIs" dxfId="220" priority="114" stopIfTrue="1" operator="lessThan">
      <formula>$B$2</formula>
    </cfRule>
  </conditionalFormatting>
  <conditionalFormatting sqref="F5">
    <cfRule type="cellIs" dxfId="219" priority="110" stopIfTrue="1" operator="lessThan">
      <formula>$B$2</formula>
    </cfRule>
  </conditionalFormatting>
  <conditionalFormatting sqref="F6 F8 F10">
    <cfRule type="cellIs" dxfId="218" priority="108" stopIfTrue="1" operator="lessThan">
      <formula>$B$2</formula>
    </cfRule>
  </conditionalFormatting>
  <conditionalFormatting sqref="C24:D24">
    <cfRule type="expression" dxfId="217" priority="106">
      <formula>AND($C24-TODAY()&lt;30,TODAY()&lt;$C24)</formula>
    </cfRule>
  </conditionalFormatting>
  <conditionalFormatting sqref="F7 F9 F11 C24:D24">
    <cfRule type="cellIs" dxfId="216" priority="107" stopIfTrue="1" operator="lessThan">
      <formula>$B$2</formula>
    </cfRule>
  </conditionalFormatting>
  <conditionalFormatting sqref="F18">
    <cfRule type="cellIs" dxfId="215" priority="79" stopIfTrue="1" operator="lessThan">
      <formula>$B$2</formula>
    </cfRule>
  </conditionalFormatting>
  <conditionalFormatting sqref="F22">
    <cfRule type="cellIs" dxfId="214" priority="78" stopIfTrue="1" operator="lessThan">
      <formula>$B$2</formula>
    </cfRule>
  </conditionalFormatting>
  <conditionalFormatting sqref="F21">
    <cfRule type="cellIs" dxfId="213" priority="77" stopIfTrue="1" operator="lessThan">
      <formula>$B$2</formula>
    </cfRule>
  </conditionalFormatting>
  <conditionalFormatting sqref="B4:B11 E4:E11 E18:E23 B17:B23 B13 E13">
    <cfRule type="cellIs" dxfId="212" priority="75" stopIfTrue="1" operator="equal">
      <formula>"已过期"</formula>
    </cfRule>
  </conditionalFormatting>
  <conditionalFormatting sqref="F28">
    <cfRule type="cellIs" dxfId="211" priority="72" stopIfTrue="1" operator="lessThan">
      <formula>$B$2</formula>
    </cfRule>
  </conditionalFormatting>
  <conditionalFormatting sqref="F29">
    <cfRule type="cellIs" dxfId="210" priority="70" stopIfTrue="1" operator="lessThan">
      <formula>$B$2</formula>
    </cfRule>
  </conditionalFormatting>
  <conditionalFormatting sqref="F28">
    <cfRule type="expression" dxfId="209" priority="116">
      <formula>AND($E28-TODAY()&lt;30,TODAY()&lt;$E28)</formula>
    </cfRule>
  </conditionalFormatting>
  <conditionalFormatting sqref="F29">
    <cfRule type="expression" dxfId="208" priority="117" stopIfTrue="1">
      <formula>AND($E29-TODAY()&lt;30,TODAY()&lt;$E29)</formula>
    </cfRule>
  </conditionalFormatting>
  <conditionalFormatting sqref="C5">
    <cfRule type="expression" dxfId="207" priority="67">
      <formula>AND($C5-TODAY()&lt;30,TODAY()&lt;$C5)</formula>
    </cfRule>
  </conditionalFormatting>
  <conditionalFormatting sqref="C5">
    <cfRule type="cellIs" dxfId="206" priority="68" stopIfTrue="1" operator="lessThan">
      <formula>$B$2</formula>
    </cfRule>
  </conditionalFormatting>
  <conditionalFormatting sqref="C4:C6">
    <cfRule type="expression" dxfId="205" priority="65">
      <formula>AND($C4-TODAY()&lt;30,TODAY()&lt;$C4)</formula>
    </cfRule>
  </conditionalFormatting>
  <conditionalFormatting sqref="C4:C6">
    <cfRule type="cellIs" dxfId="204" priority="66" stopIfTrue="1" operator="lessThan">
      <formula>$B$2</formula>
    </cfRule>
  </conditionalFormatting>
  <conditionalFormatting sqref="C8:C9">
    <cfRule type="expression" dxfId="203" priority="63">
      <formula>AND($C8-TODAY()&lt;30,TODAY()&lt;$C8)</formula>
    </cfRule>
  </conditionalFormatting>
  <conditionalFormatting sqref="C8:C9">
    <cfRule type="cellIs" dxfId="202" priority="64" stopIfTrue="1" operator="lessThan">
      <formula>$B$2</formula>
    </cfRule>
  </conditionalFormatting>
  <conditionalFormatting sqref="C7">
    <cfRule type="expression" dxfId="201" priority="46">
      <formula>AND($C7-TODAY()&lt;30,TODAY()&lt;$C7)</formula>
    </cfRule>
  </conditionalFormatting>
  <conditionalFormatting sqref="C7">
    <cfRule type="cellIs" dxfId="200" priority="47" stopIfTrue="1" operator="lessThan">
      <formula>$B$2</formula>
    </cfRule>
  </conditionalFormatting>
  <conditionalFormatting sqref="C10:C11 C13 C23 C17:C21">
    <cfRule type="expression" dxfId="199" priority="44">
      <formula>AND($C10-TODAY()&lt;30,TODAY()&lt;$C10)</formula>
    </cfRule>
  </conditionalFormatting>
  <conditionalFormatting sqref="C10:C11 C13 C23 C17:C21">
    <cfRule type="cellIs" dxfId="198" priority="45" stopIfTrue="1" operator="lessThan">
      <formula>$B$2</formula>
    </cfRule>
  </conditionalFormatting>
  <conditionalFormatting sqref="F13">
    <cfRule type="cellIs" dxfId="197" priority="43" stopIfTrue="1" operator="lessThan">
      <formula>$B$2</formula>
    </cfRule>
  </conditionalFormatting>
  <conditionalFormatting sqref="F12">
    <cfRule type="cellIs" dxfId="196" priority="35" stopIfTrue="1" operator="lessThan">
      <formula>$B$2</formula>
    </cfRule>
  </conditionalFormatting>
  <conditionalFormatting sqref="B12 E12">
    <cfRule type="cellIs" dxfId="195" priority="34" stopIfTrue="1" operator="equal">
      <formula>"已过期"</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22">
    <cfRule type="expression" dxfId="192" priority="24">
      <formula>AND($C22-TODAY()&lt;30,TODAY()&lt;$C22)</formula>
    </cfRule>
  </conditionalFormatting>
  <conditionalFormatting sqref="C22">
    <cfRule type="cellIs" dxfId="191" priority="25" stopIfTrue="1" operator="lessThan">
      <formula>$B$2</formula>
    </cfRule>
  </conditionalFormatting>
  <conditionalFormatting sqref="C16">
    <cfRule type="expression" dxfId="190" priority="22">
      <formula>AND($C16-TODAY()&lt;30,TODAY()&lt;$C16)</formula>
    </cfRule>
  </conditionalFormatting>
  <conditionalFormatting sqref="C16">
    <cfRule type="cellIs" dxfId="189" priority="23" stopIfTrue="1" operator="lessThan">
      <formula>$B$2</formula>
    </cfRule>
  </conditionalFormatting>
  <conditionalFormatting sqref="C16">
    <cfRule type="expression" dxfId="188" priority="20">
      <formula>AND($C16-TODAY()&lt;30,TODAY()&lt;$C16)</formula>
    </cfRule>
  </conditionalFormatting>
  <conditionalFormatting sqref="C16">
    <cfRule type="cellIs" dxfId="187" priority="21" stopIfTrue="1" operator="lessThan">
      <formula>$B$2</formula>
    </cfRule>
  </conditionalFormatting>
  <conditionalFormatting sqref="B16">
    <cfRule type="cellIs" dxfId="186" priority="19" stopIfTrue="1" operator="equal">
      <formula>"已过期"</formula>
    </cfRule>
  </conditionalFormatting>
  <conditionalFormatting sqref="C14:C15">
    <cfRule type="expression" dxfId="185" priority="17">
      <formula>AND($C14-TODAY()&lt;30,TODAY()&lt;$C14)</formula>
    </cfRule>
  </conditionalFormatting>
  <conditionalFormatting sqref="C14:C15">
    <cfRule type="cellIs" dxfId="184" priority="18" stopIfTrue="1" operator="lessThan">
      <formula>$B$2</formula>
    </cfRule>
  </conditionalFormatting>
  <conditionalFormatting sqref="C14">
    <cfRule type="expression" dxfId="183" priority="15">
      <formula>AND($C14-TODAY()&lt;30,TODAY()&lt;$C14)</formula>
    </cfRule>
  </conditionalFormatting>
  <conditionalFormatting sqref="C14">
    <cfRule type="cellIs" dxfId="182" priority="16" stopIfTrue="1" operator="lessThan">
      <formula>$B$2</formula>
    </cfRule>
  </conditionalFormatting>
  <conditionalFormatting sqref="C15">
    <cfRule type="expression" dxfId="181" priority="13">
      <formula>AND($C15-TODAY()&lt;30,TODAY()&lt;$C15)</formula>
    </cfRule>
  </conditionalFormatting>
  <conditionalFormatting sqref="C15">
    <cfRule type="cellIs" dxfId="180" priority="14" stopIfTrue="1" operator="lessThan">
      <formula>$B$2</formula>
    </cfRule>
  </conditionalFormatting>
  <conditionalFormatting sqref="B14">
    <cfRule type="cellIs" dxfId="179" priority="12" stopIfTrue="1" operator="equal">
      <formula>"已过期"</formula>
    </cfRule>
  </conditionalFormatting>
  <conditionalFormatting sqref="B15">
    <cfRule type="cellIs" dxfId="178" priority="11" stopIfTrue="1" operator="equal">
      <formula>"已过期"</formula>
    </cfRule>
  </conditionalFormatting>
  <conditionalFormatting sqref="A15">
    <cfRule type="cellIs" dxfId="177" priority="10" stopIfTrue="1" operator="equal">
      <formula>"已过期"</formula>
    </cfRule>
  </conditionalFormatting>
  <conditionalFormatting sqref="C15">
    <cfRule type="expression" dxfId="176" priority="9">
      <formula>AND($C15-TODAY()&lt;30,TODAY()&lt;$C15)</formula>
    </cfRule>
  </conditionalFormatting>
  <conditionalFormatting sqref="F16">
    <cfRule type="cellIs" dxfId="175" priority="8" stopIfTrue="1" operator="lessThan">
      <formula>$B$2</formula>
    </cfRule>
  </conditionalFormatting>
  <conditionalFormatting sqref="E16">
    <cfRule type="cellIs" dxfId="174" priority="7" stopIfTrue="1" operator="equal">
      <formula>"已过期"</formula>
    </cfRule>
  </conditionalFormatting>
  <conditionalFormatting sqref="E15">
    <cfRule type="cellIs" dxfId="173" priority="6" stopIfTrue="1" operator="equal">
      <formula>"已过期"</formula>
    </cfRule>
  </conditionalFormatting>
  <conditionalFormatting sqref="D15">
    <cfRule type="cellIs" dxfId="172" priority="5" stopIfTrue="1" operator="equal">
      <formula>"已过期"</formula>
    </cfRule>
  </conditionalFormatting>
  <conditionalFormatting sqref="F17">
    <cfRule type="cellIs" dxfId="171" priority="4" stopIfTrue="1" operator="lessThan">
      <formula>$B$2</formula>
    </cfRule>
  </conditionalFormatting>
  <conditionalFormatting sqref="E17">
    <cfRule type="cellIs" dxfId="170" priority="3" stopIfTrue="1" operator="equal">
      <formula>"已过期"</formula>
    </cfRule>
  </conditionalFormatting>
  <conditionalFormatting sqref="E14">
    <cfRule type="cellIs" dxfId="169" priority="2" stopIfTrue="1" operator="equal">
      <formula>"已过期"</formula>
    </cfRule>
  </conditionalFormatting>
  <conditionalFormatting sqref="F14">
    <cfRule type="cellIs" dxfId="16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topLeftCell="A4" workbookViewId="0">
      <selection activeCell="B34" sqref="B34"/>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2546</v>
      </c>
      <c r="R1" s="2561" t="s">
        <v>2540</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1"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8" t="s">
        <v>2953</v>
      </c>
      <c r="C18" s="1554"/>
    </row>
    <row r="19" spans="1:3">
      <c r="A19" s="8" t="s">
        <v>120</v>
      </c>
      <c r="B19" s="3088" t="s">
        <v>2961</v>
      </c>
      <c r="C19" s="1554"/>
    </row>
    <row r="20" spans="1:3">
      <c r="A20" s="8" t="s">
        <v>121</v>
      </c>
      <c r="B20" s="8" t="s">
        <v>1642</v>
      </c>
      <c r="C20" s="1554"/>
    </row>
    <row r="21" spans="1:3">
      <c r="A21" s="8" t="s">
        <v>122</v>
      </c>
      <c r="B21" s="3198" t="s">
        <v>2991</v>
      </c>
      <c r="C21" s="1554"/>
    </row>
    <row r="22" spans="1:3">
      <c r="A22" s="8" t="s">
        <v>123</v>
      </c>
      <c r="B22" s="3198" t="s">
        <v>2992</v>
      </c>
      <c r="C22" s="1554"/>
    </row>
    <row r="23" spans="1:3">
      <c r="A23" s="8" t="s">
        <v>124</v>
      </c>
      <c r="B23" s="8" t="s">
        <v>1642</v>
      </c>
      <c r="C23" s="1554"/>
    </row>
    <row r="24" spans="1:3">
      <c r="A24" s="8" t="s">
        <v>12</v>
      </c>
      <c r="B24" s="8" t="s">
        <v>2993</v>
      </c>
      <c r="C24" s="1554"/>
    </row>
    <row r="25" spans="1:3">
      <c r="A25" s="8" t="s">
        <v>125</v>
      </c>
      <c r="B25" s="8" t="s">
        <v>2994</v>
      </c>
      <c r="C25" s="1554"/>
    </row>
    <row r="26" spans="1:3">
      <c r="A26" s="8" t="s">
        <v>126</v>
      </c>
      <c r="B26" s="8" t="s">
        <v>1642</v>
      </c>
      <c r="C26" s="1554"/>
    </row>
    <row r="27" spans="1:3">
      <c r="A27" s="8" t="s">
        <v>1642</v>
      </c>
      <c r="B27" s="10" t="s">
        <v>2988</v>
      </c>
      <c r="C27" s="1554"/>
    </row>
    <row r="28" spans="1:3">
      <c r="A28" s="8" t="s">
        <v>1642</v>
      </c>
      <c r="B28" s="10" t="s">
        <v>2989</v>
      </c>
      <c r="C28" s="1554"/>
    </row>
    <row r="29" spans="1:3">
      <c r="A29" s="8" t="s">
        <v>1642</v>
      </c>
      <c r="B29" s="8" t="s">
        <v>2990</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国有建设用地使用权作为抵押担保物，向办理贷款手续。特委托北京康正宏基房地产评估有限公司对上述抵押物进行评估。本次评估为确定标的物之抵押贷款额度提供参考依据而评估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767"/>
    </row>
    <row r="52" spans="1:5">
      <c r="A52" s="1765" t="s">
        <v>1987</v>
      </c>
      <c r="B52" s="1768" t="s">
        <v>1988</v>
      </c>
      <c r="C52" s="1766" t="s">
        <v>1989</v>
      </c>
      <c r="D52" s="1766" t="s">
        <v>1990</v>
      </c>
      <c r="E52" s="1767"/>
    </row>
    <row r="53" spans="1:5">
      <c r="A53" s="3286"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2018年10月15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767"/>
      <c r="E53" s="1767"/>
    </row>
    <row r="54" spans="1:5">
      <c r="A54" s="3286"/>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767"/>
      <c r="E54" s="1767"/>
    </row>
    <row r="55" spans="1:5">
      <c r="A55" s="3286"/>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767"/>
      <c r="E55" s="1767"/>
    </row>
    <row r="56" spans="1:5">
      <c r="A56" s="3286"/>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767"/>
      <c r="E56" s="1767"/>
    </row>
    <row r="57" spans="1:5">
      <c r="A57" s="3286"/>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138</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结果汇总表</vt:lpstr>
      <vt:lpstr>结果表-商业</vt:lpstr>
      <vt:lpstr>基准地价-商业</vt:lpstr>
      <vt:lpstr>不动产收益法-商业</vt:lpstr>
      <vt:lpstr>剩余法-商业</vt:lpstr>
      <vt:lpstr>不动产比较法-商业</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酒店收入计算</vt:lpstr>
      <vt:lpstr>成本逼近法</vt:lpstr>
      <vt:lpstr>不动产比较法-住宅</vt:lpstr>
      <vt:lpstr>结果表-办公</vt:lpstr>
      <vt:lpstr>基准地价-办公</vt:lpstr>
      <vt:lpstr>不动产收益法-办公</vt:lpstr>
      <vt:lpstr>剩余法-办公</vt:lpstr>
      <vt:lpstr>不动产比较法-办公</vt:lpstr>
      <vt:lpstr>不动产比较法-工业</vt:lpstr>
      <vt:lpstr>不动产比较法-车位</vt:lpstr>
      <vt:lpstr>不动产比较法-仓储</vt:lpstr>
      <vt:lpstr>典型户型修正</vt:lpstr>
      <vt:lpstr>存贷款利率</vt:lpstr>
      <vt:lpstr>商业租金案例</vt:lpstr>
      <vt:lpstr>系统读取表</vt:lpstr>
      <vt:lpstr>办公案例</vt:lpstr>
      <vt:lpstr>商业案例</vt:lpstr>
      <vt:lpstr>面积拆分</vt:lpstr>
      <vt:lpstr>地价</vt:lpstr>
      <vt:lpstr>办公租金案例</vt:lpstr>
      <vt:lpstr>'不动产比较法-办公'!Print_Area</vt:lpstr>
      <vt:lpstr>'不动产比较法-商业'!Print_Area</vt:lpstr>
      <vt:lpstr>'不动产收益法-办公'!Print_Area</vt:lpstr>
      <vt:lpstr>'不动产收益法-商业'!Print_Area</vt:lpstr>
      <vt:lpstr>'剩余法-办公'!Print_Area</vt:lpstr>
      <vt:lpstr>'剩余法-商业'!Print_Area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2019-01-04T09:32:12Z</cp:lastPrinted>
  <dcterms:created xsi:type="dcterms:W3CDTF">2015-07-13T07:17:23Z</dcterms:created>
  <dcterms:modified xsi:type="dcterms:W3CDTF">2019-01-08T10:01:41Z</dcterms:modified>
</cp:coreProperties>
</file>