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工作\顺义区仓上南街1号院商业办公车位\"/>
    </mc:Choice>
  </mc:AlternateContent>
  <xr:revisionPtr revIDLastSave="0" documentId="13_ncr:1_{B77ACD27-C00D-429D-9209-CF92BC2CD367}" xr6:coauthVersionLast="47" xr6:coauthVersionMax="47" xr10:uidLastSave="{00000000-0000-0000-0000-000000000000}"/>
  <bookViews>
    <workbookView xWindow="-120" yWindow="-120" windowWidth="21840" windowHeight="1314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r:id="rId27"/>
    <sheet name="商业案例" sheetId="83" r:id="rId28"/>
    <sheet name="收益法-商业" sheetId="87" r:id="rId29"/>
    <sheet name="结果表-办公" sheetId="86" r:id="rId30"/>
    <sheet name="比较法-办公" sheetId="34" r:id="rId31"/>
    <sheet name="办公案例" sheetId="82" r:id="rId32"/>
    <sheet name="收益法-办公" sheetId="85" r:id="rId33"/>
    <sheet name="结果表-车位" sheetId="84" r:id="rId34"/>
    <sheet name="比较法-车位" sheetId="35" r:id="rId35"/>
    <sheet name="车位案例" sheetId="81" r:id="rId36"/>
    <sheet name="收益法-车位" sheetId="67" r:id="rId37"/>
    <sheet name="比较法-工业" sheetId="37"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s>
  <definedNames>
    <definedName name="_xlnm._FilterDatabase" localSheetId="30" hidden="1">'比较法-办公'!$A$1:$L$50</definedName>
    <definedName name="_xlnm._FilterDatabase" localSheetId="38" hidden="1">'比较法-仓储'!$A$1:$L$37</definedName>
    <definedName name="_xlnm._FilterDatabase" localSheetId="34" hidden="1">'比较法-车位'!$A$1:$L$39</definedName>
    <definedName name="_xlnm._FilterDatabase" localSheetId="3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8">'比较法-仓储'!$A$1:$K$42,'比较法-仓储'!$A$45:$M$96</definedName>
    <definedName name="_xlnm.Print_Area" localSheetId="34">'比较法-车位'!$A$1:$K$44,'比较法-车位'!$A$47:$M$102</definedName>
    <definedName name="_xlnm.Print_Area" localSheetId="3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1">假设开发法!$A$1:$K$32</definedName>
    <definedName name="_xlnm.Print_Area" localSheetId="29">'结果表-办公'!$A$1:$I$127</definedName>
    <definedName name="_xlnm.Print_Area" localSheetId="33">'结果表-车位'!$A$1:$I$127</definedName>
    <definedName name="_xlnm.Print_Area" localSheetId="18">'结果表-商业'!$A$1:$I$127</definedName>
    <definedName name="_xlnm.Print_Area" localSheetId="22">收益法!$A$1:$F$43,收益法!$H$3:$M$29,收益法!$A$46:$F$71,收益法!$I$46:$N$65</definedName>
    <definedName name="_xlnm.Print_Area" localSheetId="24">'收益法（汇总）'!$A$1:$F$13</definedName>
    <definedName name="_xlnm.Print_Area" localSheetId="32">'收益法-办公'!$A$1:$F$43,'收益法-办公'!$H$3:$M$29,'收益法-办公'!$A$45:$F$71,'收益法-办公'!$I$46:$N$65</definedName>
    <definedName name="_xlnm.Print_Area" localSheetId="36">'收益法-车位'!$A$1:$F$43,'收益法-车位'!$H$3:$M$29,'收益法-车位'!$A$45:$F$71,'收益法-车位'!$I$46:$N$65</definedName>
    <definedName name="_xlnm.Print_Area" localSheetId="28">'收益法-商业'!$A$1:$F$43,'收益法-商业'!$H$3:$M$29,'收益法-商业'!$A$45:$F$71,'收益法-商业'!$I$46:$N$65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6" i="74" l="1"/>
  <c r="B15" i="74"/>
  <c r="B14" i="74"/>
  <c r="C36" i="33"/>
  <c r="C33" i="33"/>
  <c r="I7" i="33"/>
  <c r="G7" i="33"/>
  <c r="E7" i="33"/>
  <c r="Q72" i="87"/>
  <c r="Q59" i="87"/>
  <c r="K59" i="87"/>
  <c r="P74" i="87" s="1"/>
  <c r="Q58" i="87"/>
  <c r="Q51" i="87"/>
  <c r="J51" i="87"/>
  <c r="J50" i="87"/>
  <c r="M47" i="87"/>
  <c r="D46" i="87"/>
  <c r="F34" i="87"/>
  <c r="F62" i="87" s="1"/>
  <c r="F33" i="87"/>
  <c r="F61" i="87" s="1"/>
  <c r="F32" i="87"/>
  <c r="F60" i="87" s="1"/>
  <c r="F28" i="87"/>
  <c r="C28" i="87"/>
  <c r="F23" i="87"/>
  <c r="D24" i="87" s="1"/>
  <c r="D23" i="87"/>
  <c r="D22" i="87"/>
  <c r="F21" i="87"/>
  <c r="M20" i="87"/>
  <c r="F20" i="87"/>
  <c r="M19" i="87"/>
  <c r="M18" i="87"/>
  <c r="F18" i="87"/>
  <c r="F17" i="87"/>
  <c r="F15" i="87"/>
  <c r="G1" i="87"/>
  <c r="A120" i="86"/>
  <c r="E111" i="86"/>
  <c r="H112" i="86" s="1"/>
  <c r="E109" i="86"/>
  <c r="A124" i="86" s="1"/>
  <c r="E107" i="86"/>
  <c r="A122" i="86" s="1"/>
  <c r="H106" i="86"/>
  <c r="H105" i="86"/>
  <c r="H104" i="86"/>
  <c r="H103" i="86"/>
  <c r="D120" i="86" s="1"/>
  <c r="D101" i="86"/>
  <c r="C101" i="86"/>
  <c r="D93" i="86"/>
  <c r="C91" i="86"/>
  <c r="E90" i="86"/>
  <c r="D89" i="86"/>
  <c r="C89" i="86" s="1"/>
  <c r="C87" i="86" s="1"/>
  <c r="D78" i="86"/>
  <c r="H77" i="86"/>
  <c r="D77" i="86"/>
  <c r="C77" i="86" s="1"/>
  <c r="C74" i="86" s="1"/>
  <c r="C76" i="86"/>
  <c r="D68" i="86"/>
  <c r="F59" i="86"/>
  <c r="O55" i="86" s="1"/>
  <c r="E59" i="86"/>
  <c r="N55" i="86" s="1"/>
  <c r="N56" i="86"/>
  <c r="M56" i="86"/>
  <c r="K56" i="86"/>
  <c r="J56" i="86"/>
  <c r="F56" i="86"/>
  <c r="O54" i="86" s="1"/>
  <c r="K55" i="86"/>
  <c r="J55" i="86"/>
  <c r="J57" i="86" s="1"/>
  <c r="J59" i="86" s="1"/>
  <c r="J61" i="86" s="1"/>
  <c r="I55" i="86"/>
  <c r="F55" i="86"/>
  <c r="O53" i="86" s="1"/>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7" i="86"/>
  <c r="C18" i="86" s="1"/>
  <c r="D18" i="86" s="1"/>
  <c r="L4" i="86"/>
  <c r="K4" i="86"/>
  <c r="H1" i="86"/>
  <c r="I37" i="34"/>
  <c r="G37" i="34"/>
  <c r="C67" i="34"/>
  <c r="D67" i="34"/>
  <c r="D66" i="34"/>
  <c r="C66" i="34"/>
  <c r="C10" i="34"/>
  <c r="E10" i="34"/>
  <c r="C37" i="34"/>
  <c r="E37" i="34"/>
  <c r="I7" i="34"/>
  <c r="G7" i="34"/>
  <c r="E7" i="34"/>
  <c r="Q72" i="85"/>
  <c r="Q59" i="85"/>
  <c r="K59" i="85"/>
  <c r="P74" i="85" s="1"/>
  <c r="Q58" i="85"/>
  <c r="Q51" i="85"/>
  <c r="J50" i="85"/>
  <c r="J51" i="85" s="1"/>
  <c r="M47" i="85"/>
  <c r="D46" i="85"/>
  <c r="F34" i="85"/>
  <c r="F62" i="85" s="1"/>
  <c r="F33" i="85"/>
  <c r="F61" i="85" s="1"/>
  <c r="F32" i="85"/>
  <c r="F60" i="85" s="1"/>
  <c r="F28" i="85"/>
  <c r="C28" i="85"/>
  <c r="F23" i="85"/>
  <c r="D24" i="85" s="1"/>
  <c r="D23" i="85"/>
  <c r="D22" i="85"/>
  <c r="F21" i="85"/>
  <c r="M20" i="85"/>
  <c r="F20" i="85"/>
  <c r="M19" i="85"/>
  <c r="M18" i="85"/>
  <c r="F18" i="85"/>
  <c r="F17" i="85"/>
  <c r="F15" i="85"/>
  <c r="G1" i="85"/>
  <c r="A124" i="84"/>
  <c r="A120" i="84"/>
  <c r="E111" i="84"/>
  <c r="H112"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5" i="84" s="1"/>
  <c r="N56" i="84"/>
  <c r="M56" i="84"/>
  <c r="K56" i="84"/>
  <c r="J56" i="84"/>
  <c r="J57" i="84" s="1"/>
  <c r="J59" i="84" s="1"/>
  <c r="J61" i="84" s="1"/>
  <c r="F56" i="84"/>
  <c r="O55" i="84"/>
  <c r="K55" i="84"/>
  <c r="J55" i="84"/>
  <c r="I55" i="84"/>
  <c r="F55" i="84"/>
  <c r="O54" i="84"/>
  <c r="N54" i="84"/>
  <c r="F54" i="84"/>
  <c r="O53"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H1" i="84"/>
  <c r="I29" i="35"/>
  <c r="I37" i="35"/>
  <c r="G37" i="35"/>
  <c r="E37" i="35"/>
  <c r="C29" i="35"/>
  <c r="E29" i="35"/>
  <c r="G29" i="35"/>
  <c r="Y7" i="1"/>
  <c r="Y8" i="1"/>
  <c r="Y6" i="1"/>
  <c r="N8" i="1"/>
  <c r="N7" i="1"/>
  <c r="N6" i="1"/>
  <c r="I31" i="35"/>
  <c r="G31" i="35"/>
  <c r="E31" i="35"/>
  <c r="I7" i="35"/>
  <c r="G7" i="35"/>
  <c r="E7" i="35"/>
  <c r="S121" i="81"/>
  <c r="S120" i="81"/>
  <c r="S77" i="81"/>
  <c r="S76" i="81"/>
  <c r="S24" i="81"/>
  <c r="S23" i="81"/>
  <c r="G21" i="6"/>
  <c r="C21" i="6"/>
  <c r="M15" i="3"/>
  <c r="C9" i="80"/>
  <c r="F20" i="6"/>
  <c r="F19" i="6"/>
  <c r="C20" i="6"/>
  <c r="C19" i="6"/>
  <c r="K14" i="3"/>
  <c r="I13" i="3"/>
  <c r="D60" i="78"/>
  <c r="C60" i="78"/>
  <c r="D53" i="78"/>
  <c r="D52" i="78"/>
  <c r="D51" i="78" s="1"/>
  <c r="B51" i="78"/>
  <c r="B56" i="78" s="1"/>
  <c r="C76" i="87"/>
  <c r="D35" i="86"/>
  <c r="D34" i="86"/>
  <c r="C76" i="85"/>
  <c r="D35" i="84"/>
  <c r="D34" i="84"/>
  <c r="Q71" i="87" l="1"/>
  <c r="P61" i="87"/>
  <c r="C92" i="86"/>
  <c r="C94" i="86"/>
  <c r="D121" i="86"/>
  <c r="K120" i="86"/>
  <c r="H111" i="86"/>
  <c r="D126" i="86" s="1"/>
  <c r="D127" i="86" s="1"/>
  <c r="A126" i="86"/>
  <c r="H109" i="86"/>
  <c r="Q71" i="85"/>
  <c r="P61" i="85"/>
  <c r="C18" i="84"/>
  <c r="D18" i="84" s="1"/>
  <c r="D121" i="84"/>
  <c r="K120" i="84"/>
  <c r="C92" i="84"/>
  <c r="C94" i="84"/>
  <c r="H111" i="84"/>
  <c r="D126" i="84" s="1"/>
  <c r="D127" i="84" s="1"/>
  <c r="A126" i="84"/>
  <c r="H110" i="84"/>
  <c r="B55" i="78"/>
  <c r="D55" i="78" s="1"/>
  <c r="C51" i="78"/>
  <c r="C56" i="78" s="1"/>
  <c r="C58" i="78" s="1"/>
  <c r="B62" i="78"/>
  <c r="B54" i="78"/>
  <c r="D54" i="78" s="1"/>
  <c r="D56" i="78" s="1"/>
  <c r="J15" i="87"/>
  <c r="M29" i="87"/>
  <c r="L47" i="85"/>
  <c r="F26" i="87"/>
  <c r="F9" i="85"/>
  <c r="M8" i="87"/>
  <c r="F9" i="87"/>
  <c r="M28" i="87"/>
  <c r="F8" i="85"/>
  <c r="M23" i="87"/>
  <c r="M27" i="85"/>
  <c r="M26" i="87"/>
  <c r="F43" i="85"/>
  <c r="F38" i="87"/>
  <c r="M8" i="85"/>
  <c r="F37" i="85"/>
  <c r="M6" i="87"/>
  <c r="M22" i="85"/>
  <c r="F42" i="85"/>
  <c r="F7" i="87"/>
  <c r="L47" i="87"/>
  <c r="M24" i="85"/>
  <c r="M22" i="87"/>
  <c r="M28" i="85"/>
  <c r="M9" i="87"/>
  <c r="F8" i="87"/>
  <c r="F6" i="85"/>
  <c r="F36" i="85"/>
  <c r="F42" i="87"/>
  <c r="F43" i="87"/>
  <c r="F13" i="85"/>
  <c r="M24" i="87"/>
  <c r="M29" i="85"/>
  <c r="F26" i="85"/>
  <c r="F6" i="87"/>
  <c r="F13" i="87"/>
  <c r="M26" i="85"/>
  <c r="F36" i="87"/>
  <c r="F40" i="87"/>
  <c r="F38" i="85"/>
  <c r="J15" i="85"/>
  <c r="M6" i="85"/>
  <c r="M27" i="87"/>
  <c r="F16" i="85"/>
  <c r="F37" i="87"/>
  <c r="M23" i="85"/>
  <c r="F40" i="85"/>
  <c r="F7" i="85"/>
  <c r="F16" i="87"/>
  <c r="M9" i="85"/>
  <c r="N59" i="87" l="1"/>
  <c r="M59" i="87"/>
  <c r="L59" i="87"/>
  <c r="C6" i="87"/>
  <c r="F31" i="87"/>
  <c r="F68" i="87"/>
  <c r="F65" i="87"/>
  <c r="F51" i="87"/>
  <c r="F66" i="87"/>
  <c r="M7" i="87"/>
  <c r="J6" i="87" s="1"/>
  <c r="F50" i="87"/>
  <c r="F71" i="87"/>
  <c r="C27" i="87"/>
  <c r="F64" i="87"/>
  <c r="D124" i="86"/>
  <c r="D125" i="86" s="1"/>
  <c r="H110" i="86"/>
  <c r="F71" i="85"/>
  <c r="F68" i="85"/>
  <c r="F64" i="85"/>
  <c r="C27" i="85"/>
  <c r="F65" i="85"/>
  <c r="N59" i="85"/>
  <c r="M59" i="85"/>
  <c r="L59" i="85"/>
  <c r="F51" i="85"/>
  <c r="F66" i="85"/>
  <c r="C6" i="85"/>
  <c r="F31" i="85"/>
  <c r="M7" i="85"/>
  <c r="M17" i="85" s="1"/>
  <c r="F50" i="85"/>
  <c r="D58" i="78"/>
  <c r="D62" i="78" s="1"/>
  <c r="C62" i="78" s="1"/>
  <c r="C17" i="87"/>
  <c r="C17" i="85"/>
  <c r="C14" i="85"/>
  <c r="C16" i="85"/>
  <c r="C16" i="87"/>
  <c r="C14" i="87"/>
  <c r="M17" i="87" l="1"/>
  <c r="F59" i="87"/>
  <c r="C18" i="87"/>
  <c r="C15" i="87"/>
  <c r="J19" i="87"/>
  <c r="J18" i="87"/>
  <c r="Q61" i="87"/>
  <c r="Q74" i="87"/>
  <c r="C49" i="87"/>
  <c r="C33" i="87"/>
  <c r="C32" i="87"/>
  <c r="C49" i="85"/>
  <c r="C61" i="85" s="1"/>
  <c r="C18" i="85"/>
  <c r="C15" i="85"/>
  <c r="J6" i="85"/>
  <c r="C33" i="85"/>
  <c r="C32" i="85"/>
  <c r="F59" i="85"/>
  <c r="Q61" i="85"/>
  <c r="Q74" i="85"/>
  <c r="G14" i="73"/>
  <c r="F14" i="73"/>
  <c r="E14" i="73"/>
  <c r="C19" i="87" l="1"/>
  <c r="C20" i="87" s="1"/>
  <c r="C61" i="87"/>
  <c r="C19" i="85"/>
  <c r="C20" i="85" s="1"/>
  <c r="C26" i="85" s="1"/>
  <c r="J19" i="85"/>
  <c r="J18" i="85"/>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C26" i="87"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AA3" i="71" s="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W29" i="39"/>
  <c r="AB21" i="37"/>
  <c r="U21" i="37"/>
  <c r="J21" i="37"/>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K5" i="3" s="1"/>
  <c r="BB14" i="3"/>
  <c r="BC14" i="3"/>
  <c r="BD14" i="3"/>
  <c r="BE14" i="3"/>
  <c r="BE5" i="3" s="1"/>
  <c r="BF14" i="3"/>
  <c r="BG14" i="3"/>
  <c r="BH14" i="3"/>
  <c r="BH5" i="3" s="1"/>
  <c r="BI14" i="3"/>
  <c r="BI5" i="3" s="1"/>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F25" i="35" s="1"/>
  <c r="B75" i="35"/>
  <c r="J24" i="35" s="1"/>
  <c r="AC24" i="35" s="1"/>
  <c r="B73" i="35"/>
  <c r="J23" i="35" s="1"/>
  <c r="AC23" i="35" s="1"/>
  <c r="H23" i="35"/>
  <c r="U23" i="35" s="1"/>
  <c r="B57" i="35"/>
  <c r="F11" i="35" s="1"/>
  <c r="B61" i="35"/>
  <c r="B59" i="35"/>
  <c r="F12" i="35" s="1"/>
  <c r="B131" i="34"/>
  <c r="B129" i="34"/>
  <c r="B127" i="34"/>
  <c r="B99" i="34"/>
  <c r="B97" i="34"/>
  <c r="B95" i="34"/>
  <c r="B93" i="34"/>
  <c r="B75" i="34"/>
  <c r="B73" i="34"/>
  <c r="B71" i="34"/>
  <c r="F12" i="34" s="1"/>
  <c r="S12" i="34" s="1"/>
  <c r="B130" i="33"/>
  <c r="B128" i="33"/>
  <c r="B126" i="33"/>
  <c r="B98" i="33"/>
  <c r="B96" i="33"/>
  <c r="B94" i="33"/>
  <c r="B74" i="33"/>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F26" i="33" s="1"/>
  <c r="AA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25" i="33" s="1"/>
  <c r="S25"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F36" i="39"/>
  <c r="S36" i="39" s="1"/>
  <c r="H36" i="39"/>
  <c r="AB36" i="39" s="1"/>
  <c r="F35" i="39"/>
  <c r="AA35" i="39" s="1"/>
  <c r="W40" i="39"/>
  <c r="W25" i="37"/>
  <c r="U30" i="37"/>
  <c r="W31" i="37"/>
  <c r="E103" i="37"/>
  <c r="F103" i="37"/>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s="1"/>
  <c r="H39" i="37"/>
  <c r="AB39" i="37"/>
  <c r="F11" i="40"/>
  <c r="AA11" i="40"/>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23" i="35"/>
  <c r="AA23" i="35" s="1"/>
  <c r="J32" i="35"/>
  <c r="AC32" i="35" s="1"/>
  <c r="J16" i="35"/>
  <c r="AC16" i="35" s="1"/>
  <c r="H16" i="35"/>
  <c r="U16" i="35" s="1"/>
  <c r="F16" i="35"/>
  <c r="S16" i="35" s="1"/>
  <c r="H33" i="35"/>
  <c r="J20" i="35"/>
  <c r="W20" i="35" s="1"/>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S35" i="34"/>
  <c r="F28" i="34"/>
  <c r="AA28" i="34" s="1"/>
  <c r="F25" i="34"/>
  <c r="S25" i="34" s="1"/>
  <c r="H17" i="34"/>
  <c r="U17" i="34" s="1"/>
  <c r="F15" i="34"/>
  <c r="AA15" i="34" s="1"/>
  <c r="J15" i="34"/>
  <c r="AC15" i="34" s="1"/>
  <c r="H15" i="34"/>
  <c r="AB15" i="34" s="1"/>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17" i="34"/>
  <c r="AA17" i="34" s="1"/>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W13" i="33" s="1"/>
  <c r="H13" i="33"/>
  <c r="U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W14" i="33" s="1"/>
  <c r="H30" i="33"/>
  <c r="AB30" i="33" s="1"/>
  <c r="F30" i="33"/>
  <c r="J30" i="33"/>
  <c r="AC30" i="33" s="1"/>
  <c r="H44" i="33"/>
  <c r="J44" i="33"/>
  <c r="AC44" i="33"/>
  <c r="F44" i="33"/>
  <c r="S44" i="33" s="1"/>
  <c r="J46" i="33"/>
  <c r="AC46" i="33" s="1"/>
  <c r="F46" i="33"/>
  <c r="AA46" i="33" s="1"/>
  <c r="H46" i="33"/>
  <c r="U46" i="33" s="1"/>
  <c r="H13" i="34"/>
  <c r="U13" i="34" s="1"/>
  <c r="J13" i="34"/>
  <c r="W13" i="34" s="1"/>
  <c r="F13" i="34"/>
  <c r="AA13" i="34" s="1"/>
  <c r="J29" i="34"/>
  <c r="W29" i="34" s="1"/>
  <c r="F29" i="34"/>
  <c r="S29" i="34" s="1"/>
  <c r="H29" i="34"/>
  <c r="AB29" i="34" s="1"/>
  <c r="J31" i="34"/>
  <c r="W31" i="34" s="1"/>
  <c r="AC31" i="34"/>
  <c r="H31" i="34"/>
  <c r="F31" i="34"/>
  <c r="S31" i="34" s="1"/>
  <c r="H45" i="34"/>
  <c r="U45" i="34" s="1"/>
  <c r="J45" i="34"/>
  <c r="W45" i="34" s="1"/>
  <c r="F45" i="34"/>
  <c r="S45" i="34" s="1"/>
  <c r="H47" i="34"/>
  <c r="U47" i="34" s="1"/>
  <c r="F47" i="34"/>
  <c r="S47" i="34" s="1"/>
  <c r="J47" i="34"/>
  <c r="AC47" i="34" s="1"/>
  <c r="F13" i="35"/>
  <c r="J13" i="35"/>
  <c r="AC13" i="35" s="1"/>
  <c r="H13" i="35"/>
  <c r="U13" i="35" s="1"/>
  <c r="J35" i="35"/>
  <c r="AC35" i="35" s="1"/>
  <c r="F35" i="35"/>
  <c r="S35" i="35" s="1"/>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J36" i="37"/>
  <c r="AC36" i="37" s="1"/>
  <c r="J10" i="36"/>
  <c r="AC10" i="36" s="1"/>
  <c r="AB30" i="21"/>
  <c r="AB46" i="34"/>
  <c r="AA14" i="34"/>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C36" i="34"/>
  <c r="AC31" i="33"/>
  <c r="AC45" i="33"/>
  <c r="W44" i="33"/>
  <c r="U19" i="21"/>
  <c r="W44" i="21"/>
  <c r="AB38" i="21"/>
  <c r="F43" i="33"/>
  <c r="AA43" i="33" s="1"/>
  <c r="W40" i="37"/>
  <c r="G107" i="37"/>
  <c r="H107" i="37" s="1"/>
  <c r="I107" i="37" s="1"/>
  <c r="J107" i="37" s="1"/>
  <c r="K107" i="37" s="1"/>
  <c r="L107" i="37" s="1"/>
  <c r="M107" i="37" s="1"/>
  <c r="H37" i="21"/>
  <c r="U37" i="21" s="1"/>
  <c r="S42" i="2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94" i="3"/>
  <c r="AZ198"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BL380" i="3"/>
  <c r="G381" i="3"/>
  <c r="BA383" i="3"/>
  <c r="AZ383" i="3" s="1"/>
  <c r="BL384" i="3"/>
  <c r="AZ384" i="3" s="1"/>
  <c r="G385" i="3"/>
  <c r="BA387" i="3"/>
  <c r="BL388" i="3"/>
  <c r="G389" i="3"/>
  <c r="BA391" i="3"/>
  <c r="AZ391" i="3" s="1"/>
  <c r="BL392" i="3"/>
  <c r="G393" i="3"/>
  <c r="AZ283" i="3"/>
  <c r="AZ291" i="3"/>
  <c r="BM5" i="3"/>
  <c r="BJ5" i="3"/>
  <c r="BF5" i="3"/>
  <c r="BD5" i="3"/>
  <c r="AC5" i="3"/>
  <c r="AZ506" i="3"/>
  <c r="AZ496" i="3"/>
  <c r="G548" i="3"/>
  <c r="G538" i="3"/>
  <c r="G520" i="3"/>
  <c r="G502" i="3"/>
  <c r="BS5" i="3"/>
  <c r="BN5" i="3"/>
  <c r="G17" i="3"/>
  <c r="BA17" i="3"/>
  <c r="BT5" i="3"/>
  <c r="AZ350" i="3"/>
  <c r="BR5" i="3"/>
  <c r="AZ380" i="3"/>
  <c r="AZ392"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s="1"/>
  <c r="F96" i="37"/>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72"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AB34" i="36"/>
  <c r="U34" i="36"/>
  <c r="AC12" i="39"/>
  <c r="W12" i="39"/>
  <c r="AC39" i="40"/>
  <c r="W39" i="40"/>
  <c r="AZ412" i="3"/>
  <c r="AZ433" i="3"/>
  <c r="W12" i="33"/>
  <c r="AC12" i="33"/>
  <c r="AA32" i="36"/>
  <c r="S32" i="36"/>
  <c r="AZ437" i="3"/>
  <c r="AA47" i="34"/>
  <c r="W28" i="37"/>
  <c r="S19" i="39"/>
  <c r="F12" i="33"/>
  <c r="AA12" i="33" s="1"/>
  <c r="H12" i="39"/>
  <c r="U12" i="39" s="1"/>
  <c r="F39" i="40"/>
  <c r="AZ224" i="3"/>
  <c r="AZ297" i="3"/>
  <c r="AZ173" i="3"/>
  <c r="AZ181" i="3"/>
  <c r="B12" i="1"/>
  <c r="E12" i="1" s="1"/>
  <c r="B10" i="1"/>
  <c r="E10" i="1" s="1"/>
  <c r="K12" i="1"/>
  <c r="M12" i="1" s="1"/>
  <c r="S13" i="1"/>
  <c r="AR13" i="1" s="1"/>
  <c r="R13" i="1"/>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S23" i="35"/>
  <c r="W24" i="35"/>
  <c r="AB13" i="35"/>
  <c r="U29" i="35"/>
  <c r="U28" i="35"/>
  <c r="AB27" i="35"/>
  <c r="AA33" i="35"/>
  <c r="AC30" i="35"/>
  <c r="S28" i="35"/>
  <c r="S22" i="35"/>
  <c r="AC12"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U43" i="34"/>
  <c r="AC39" i="34"/>
  <c r="AC42" i="34"/>
  <c r="AB35" i="34"/>
  <c r="U39" i="34"/>
  <c r="S43" i="34"/>
  <c r="AA45" i="34"/>
  <c r="AA25" i="34"/>
  <c r="AA29" i="34"/>
  <c r="S13" i="34"/>
  <c r="H10" i="34"/>
  <c r="AB10" i="34" s="1"/>
  <c r="F11" i="34"/>
  <c r="S11" i="34" s="1"/>
  <c r="S32" i="33"/>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J32" i="33"/>
  <c r="W32" i="33" s="1"/>
  <c r="F91" i="33"/>
  <c r="H27" i="33"/>
  <c r="U27" i="33" s="1"/>
  <c r="F87" i="33"/>
  <c r="G87" i="33" s="1"/>
  <c r="H87" i="33" s="1"/>
  <c r="I87" i="33" s="1"/>
  <c r="J87" i="33" s="1"/>
  <c r="K87" i="33" s="1"/>
  <c r="L87" i="33" s="1"/>
  <c r="M87" i="33" s="1"/>
  <c r="H25" i="33"/>
  <c r="AB25" i="33" s="1"/>
  <c r="F81" i="33"/>
  <c r="G81" i="33" s="1"/>
  <c r="F19" i="33"/>
  <c r="S19" i="33" s="1"/>
  <c r="S15" i="33"/>
  <c r="W15" i="33"/>
  <c r="U9" i="33"/>
  <c r="J10" i="33"/>
  <c r="W10" i="33" s="1"/>
  <c r="H10" i="33"/>
  <c r="U10" i="33" s="1"/>
  <c r="AB14" i="33"/>
  <c r="W43" i="21"/>
  <c r="W36" i="21"/>
  <c r="W41" i="21"/>
  <c r="AB39" i="21"/>
  <c r="AA43" i="21"/>
  <c r="S39" i="21"/>
  <c r="AA38" i="21"/>
  <c r="AA36" i="21"/>
  <c r="AC40" i="21"/>
  <c r="J15" i="21"/>
  <c r="W15" i="21"/>
  <c r="F77" i="21"/>
  <c r="G77" i="21" s="1"/>
  <c r="F23" i="21"/>
  <c r="S23" i="21"/>
  <c r="E85" i="21"/>
  <c r="AA14" i="21"/>
  <c r="D120" i="9"/>
  <c r="D121" i="9" s="1"/>
  <c r="D7" i="52" s="1"/>
  <c r="C18" i="9"/>
  <c r="D18" i="9" s="1"/>
  <c r="BL17" i="3"/>
  <c r="AZ17"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S24" i="35"/>
  <c r="U24" i="35"/>
  <c r="W35" i="35"/>
  <c r="AA35" i="37"/>
  <c r="W36" i="37"/>
  <c r="S27" i="37"/>
  <c r="S28" i="37"/>
  <c r="W32" i="37"/>
  <c r="U36" i="37"/>
  <c r="S40" i="37"/>
  <c r="U38" i="37"/>
  <c r="AB37" i="37"/>
  <c r="AC34" i="37"/>
  <c r="AB35" i="37"/>
  <c r="AA31" i="37"/>
  <c r="U19" i="37"/>
  <c r="AA29" i="37"/>
  <c r="U8" i="37"/>
  <c r="AA40" i="34"/>
  <c r="AB40" i="34"/>
  <c r="AB33" i="34"/>
  <c r="AC45" i="34"/>
  <c r="AA31" i="34"/>
  <c r="AA30" i="34"/>
  <c r="AB45" i="34"/>
  <c r="AB47" i="34"/>
  <c r="AB36" i="34"/>
  <c r="W33" i="34"/>
  <c r="AC32" i="34"/>
  <c r="AC29" i="34"/>
  <c r="W46" i="34"/>
  <c r="AC46" i="34"/>
  <c r="S32" i="34"/>
  <c r="AA32" i="34"/>
  <c r="U30" i="34"/>
  <c r="AB30" i="34"/>
  <c r="U38" i="34"/>
  <c r="AC40" i="34"/>
  <c r="W40" i="34"/>
  <c r="AA36" i="34"/>
  <c r="S36" i="34"/>
  <c r="U9" i="34"/>
  <c r="S46" i="34"/>
  <c r="AA46" i="34"/>
  <c r="U32" i="34"/>
  <c r="AB32" i="34"/>
  <c r="U14" i="34"/>
  <c r="AB14" i="34"/>
  <c r="AC43" i="34"/>
  <c r="W43" i="34"/>
  <c r="AC35" i="34"/>
  <c r="W35" i="34"/>
  <c r="W46" i="33"/>
  <c r="U44" i="33"/>
  <c r="AB44" i="33"/>
  <c r="S30" i="33"/>
  <c r="AA30" i="33"/>
  <c r="AC14" i="33"/>
  <c r="W30" i="33"/>
  <c r="S31" i="33"/>
  <c r="AA3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D68" i="9"/>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AC35" i="33"/>
  <c r="G91" i="33"/>
  <c r="H91" i="33" s="1"/>
  <c r="I91" i="33" s="1"/>
  <c r="J91" i="33" s="1"/>
  <c r="K91" i="33" s="1"/>
  <c r="L91" i="33" s="1"/>
  <c r="M91" i="33" s="1"/>
  <c r="J27" i="33"/>
  <c r="W27" i="33" s="1"/>
  <c r="J25" i="33"/>
  <c r="AC25" i="33" s="1"/>
  <c r="H19" i="33"/>
  <c r="AB19" i="33" s="1"/>
  <c r="S37" i="21"/>
  <c r="AA23" i="21"/>
  <c r="AB15" i="21"/>
  <c r="J23" i="21"/>
  <c r="AC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9" i="67"/>
  <c r="E9" i="76"/>
  <c r="M22" i="67"/>
  <c r="L47" i="67"/>
  <c r="M23" i="67"/>
  <c r="B12" i="76"/>
  <c r="D6" i="73"/>
  <c r="F26" i="67"/>
  <c r="C76" i="67"/>
  <c r="M6" i="67"/>
  <c r="F36" i="67"/>
  <c r="E12" i="76"/>
  <c r="M8" i="67"/>
  <c r="E11" i="76"/>
  <c r="F43" i="67"/>
  <c r="F6" i="67"/>
  <c r="E10" i="76"/>
  <c r="F42" i="67"/>
  <c r="AO13" i="1"/>
  <c r="M29" i="67"/>
  <c r="L48" i="85"/>
  <c r="F8" i="67"/>
  <c r="E2" i="69"/>
  <c r="E7" i="76"/>
  <c r="B11" i="76"/>
  <c r="C19" i="9"/>
  <c r="E2" i="68"/>
  <c r="D35" i="9"/>
  <c r="J15" i="67"/>
  <c r="B13" i="76"/>
  <c r="M24" i="67"/>
  <c r="E8" i="76"/>
  <c r="D34" i="9"/>
  <c r="B7" i="76"/>
  <c r="B8" i="76"/>
  <c r="F6" i="73"/>
  <c r="L48" i="87"/>
  <c r="F20" i="31"/>
  <c r="M26" i="67"/>
  <c r="F38" i="67"/>
  <c r="E13" i="76"/>
  <c r="C20" i="9"/>
  <c r="F37" i="67"/>
  <c r="F5" i="73"/>
  <c r="F3" i="73"/>
  <c r="M28" i="67"/>
  <c r="B10" i="76"/>
  <c r="F4" i="73"/>
  <c r="F7" i="67"/>
  <c r="B9" i="76"/>
  <c r="F7" i="73"/>
  <c r="F40" i="67"/>
  <c r="F9" i="67"/>
  <c r="F13" i="67"/>
  <c r="F16" i="67"/>
  <c r="F41" i="34" l="1"/>
  <c r="J41" i="34"/>
  <c r="AC41" i="34" s="1"/>
  <c r="C51" i="10"/>
  <c r="A13" i="51" s="1"/>
  <c r="B11" i="72" s="1"/>
  <c r="A118" i="86"/>
  <c r="A2" i="86"/>
  <c r="A2" i="84"/>
  <c r="A118" i="84"/>
  <c r="S42" i="33"/>
  <c r="F39" i="33"/>
  <c r="AA39" i="33" s="1"/>
  <c r="J39" i="33"/>
  <c r="AC39" i="33" s="1"/>
  <c r="U38" i="33"/>
  <c r="AC37" i="33"/>
  <c r="U37" i="33"/>
  <c r="AB34" i="33"/>
  <c r="F36" i="33"/>
  <c r="AA36" i="33" s="1"/>
  <c r="J36" i="33"/>
  <c r="W36" i="33" s="1"/>
  <c r="H36" i="33"/>
  <c r="U36" i="33" s="1"/>
  <c r="G111" i="33"/>
  <c r="H111" i="33" s="1"/>
  <c r="I111" i="33" s="1"/>
  <c r="J111" i="33" s="1"/>
  <c r="K111" i="33" s="1"/>
  <c r="L111" i="33" s="1"/>
  <c r="M111" i="33" s="1"/>
  <c r="AC34" i="33"/>
  <c r="U42" i="33"/>
  <c r="W42" i="33"/>
  <c r="U39" i="33"/>
  <c r="S39" i="33"/>
  <c r="U32" i="33"/>
  <c r="AB27" i="33"/>
  <c r="U33" i="33"/>
  <c r="S33" i="33"/>
  <c r="H23" i="33"/>
  <c r="F23" i="33"/>
  <c r="J23" i="33"/>
  <c r="AC23" i="33" s="1"/>
  <c r="W19" i="33"/>
  <c r="F79" i="33"/>
  <c r="G79" i="33" s="1"/>
  <c r="F17" i="33"/>
  <c r="S17" i="33" s="1"/>
  <c r="H17" i="33"/>
  <c r="U17" i="33" s="1"/>
  <c r="J17" i="33"/>
  <c r="AC17" i="33" s="1"/>
  <c r="W25" i="33"/>
  <c r="U25" i="33"/>
  <c r="AC28" i="33"/>
  <c r="AB28" i="33"/>
  <c r="U15" i="33"/>
  <c r="U11" i="33"/>
  <c r="W8" i="33"/>
  <c r="AC27" i="33"/>
  <c r="W43" i="33"/>
  <c r="AC32" i="33"/>
  <c r="AC13" i="33"/>
  <c r="W38" i="33"/>
  <c r="W39" i="33"/>
  <c r="AC21" i="33"/>
  <c r="AB46" i="33"/>
  <c r="U26" i="33"/>
  <c r="U19" i="33"/>
  <c r="U30" i="33"/>
  <c r="U35" i="33"/>
  <c r="S36" i="33"/>
  <c r="S38" i="33"/>
  <c r="S11" i="33"/>
  <c r="S28" i="33"/>
  <c r="S46" i="33"/>
  <c r="S26" i="33"/>
  <c r="S43" i="33"/>
  <c r="AA35" i="33"/>
  <c r="S45" i="33"/>
  <c r="AA19" i="33"/>
  <c r="AA40" i="33"/>
  <c r="S13" i="33"/>
  <c r="AA13" i="33"/>
  <c r="AC11" i="33"/>
  <c r="S41" i="33"/>
  <c r="AA17" i="33"/>
  <c r="S27" i="33"/>
  <c r="AA25" i="33"/>
  <c r="AA34" i="33"/>
  <c r="AA44" i="33"/>
  <c r="AA21" i="33"/>
  <c r="AA14" i="33"/>
  <c r="L60" i="87"/>
  <c r="L58" i="87"/>
  <c r="I54" i="87"/>
  <c r="L56" i="87"/>
  <c r="J57" i="87"/>
  <c r="J55" i="87" s="1"/>
  <c r="J58" i="87" s="1"/>
  <c r="Q50" i="87" s="1"/>
  <c r="L57" i="87"/>
  <c r="J53" i="87"/>
  <c r="J57" i="85"/>
  <c r="J55" i="85" s="1"/>
  <c r="J58" i="85" s="1"/>
  <c r="Q50" i="85" s="1"/>
  <c r="L58" i="85"/>
  <c r="L57" i="85"/>
  <c r="I54" i="85"/>
  <c r="L60" i="85"/>
  <c r="L56" i="85"/>
  <c r="J53" i="85"/>
  <c r="G7" i="1"/>
  <c r="H19" i="34"/>
  <c r="AB19" i="34" s="1"/>
  <c r="F19" i="34"/>
  <c r="J19" i="34"/>
  <c r="AC19" i="34" s="1"/>
  <c r="AB41" i="34"/>
  <c r="AC27" i="34"/>
  <c r="U27" i="34"/>
  <c r="F86" i="34"/>
  <c r="G86" i="34" s="1"/>
  <c r="J23" i="34"/>
  <c r="F23" i="34"/>
  <c r="S23" i="34" s="1"/>
  <c r="H23" i="34"/>
  <c r="AB23" i="34" s="1"/>
  <c r="U15" i="34"/>
  <c r="F37" i="34"/>
  <c r="J37" i="34"/>
  <c r="AC37" i="34" s="1"/>
  <c r="H37" i="34"/>
  <c r="U37" i="34" s="1"/>
  <c r="W15" i="34"/>
  <c r="U25" i="34"/>
  <c r="AB17" i="34"/>
  <c r="S17" i="34"/>
  <c r="AC17" i="34"/>
  <c r="U28" i="34"/>
  <c r="AC28" i="34"/>
  <c r="AC14" i="34"/>
  <c r="AC13" i="34"/>
  <c r="AB8" i="34"/>
  <c r="S8" i="34"/>
  <c r="W8" i="34"/>
  <c r="U32" i="35"/>
  <c r="S32" i="35"/>
  <c r="S25" i="35"/>
  <c r="AA25" i="35"/>
  <c r="U22" i="35"/>
  <c r="J25" i="35"/>
  <c r="H25" i="35"/>
  <c r="F14" i="35"/>
  <c r="H14" i="35"/>
  <c r="J14" i="35"/>
  <c r="W14" i="35" s="1"/>
  <c r="AB20" i="35"/>
  <c r="AC20" i="35"/>
  <c r="S20" i="35"/>
  <c r="AC14" i="35"/>
  <c r="AB16" i="35"/>
  <c r="W16" i="35"/>
  <c r="AA16" i="35"/>
  <c r="U36" i="35"/>
  <c r="F36" i="35"/>
  <c r="F29" i="35"/>
  <c r="S29" i="35" s="1"/>
  <c r="J29" i="35"/>
  <c r="S11" i="35"/>
  <c r="AA11" i="35"/>
  <c r="H11" i="35"/>
  <c r="AB11" i="35" s="1"/>
  <c r="AC11" i="35"/>
  <c r="W9" i="35"/>
  <c r="M20" i="67"/>
  <c r="F34" i="67"/>
  <c r="F62" i="67" s="1"/>
  <c r="F34" i="15"/>
  <c r="F62" i="15" s="1"/>
  <c r="C21" i="68"/>
  <c r="G1" i="69"/>
  <c r="G1" i="15"/>
  <c r="K1" i="12"/>
  <c r="BG5" i="3"/>
  <c r="F29" i="6"/>
  <c r="BB5" i="3"/>
  <c r="BL15" i="3"/>
  <c r="AZ15" i="3" s="1"/>
  <c r="BA14" i="3"/>
  <c r="BC5" i="3"/>
  <c r="H5" i="3"/>
  <c r="BL13" i="3"/>
  <c r="C29" i="39"/>
  <c r="B79" i="43"/>
  <c r="AB36" i="33"/>
  <c r="AB45" i="21"/>
  <c r="F54" i="9"/>
  <c r="F32" i="15"/>
  <c r="F60" i="15" s="1"/>
  <c r="F52" i="9"/>
  <c r="F30" i="68"/>
  <c r="F48" i="68" s="1"/>
  <c r="AC17" i="21"/>
  <c r="S20" i="36"/>
  <c r="AA39" i="39"/>
  <c r="AA32" i="37"/>
  <c r="AB12" i="39"/>
  <c r="S27" i="40"/>
  <c r="U27" i="40"/>
  <c r="G29" i="6"/>
  <c r="AZ379" i="3"/>
  <c r="AZ372" i="3"/>
  <c r="AZ304" i="3"/>
  <c r="AZ325" i="3"/>
  <c r="M18" i="15"/>
  <c r="M18" i="67"/>
  <c r="F30" i="11"/>
  <c r="C48" i="11" s="1"/>
  <c r="AZ14" i="3"/>
  <c r="AZ318" i="3"/>
  <c r="AB26" i="37"/>
  <c r="U26" i="37"/>
  <c r="AZ513" i="3"/>
  <c r="AZ502" i="3"/>
  <c r="BL585" i="3"/>
  <c r="J33" i="36"/>
  <c r="AC33" i="36" s="1"/>
  <c r="H33" i="36"/>
  <c r="AB31" i="36"/>
  <c r="U31" i="36"/>
  <c r="J39" i="37"/>
  <c r="F39" i="37"/>
  <c r="S39" i="37" s="1"/>
  <c r="H44" i="39"/>
  <c r="J44" i="39"/>
  <c r="AB34" i="40"/>
  <c r="U34" i="40"/>
  <c r="G570" i="3"/>
  <c r="AZ394" i="3"/>
  <c r="AZ531" i="3"/>
  <c r="AZ583" i="3"/>
  <c r="AZ568" i="3"/>
  <c r="AZ576" i="3"/>
  <c r="AA14" i="37"/>
  <c r="H25" i="37"/>
  <c r="F25" i="37"/>
  <c r="AA31" i="35"/>
  <c r="S31" i="35"/>
  <c r="AZ443" i="3"/>
  <c r="AZ523" i="3"/>
  <c r="AZ547" i="3"/>
  <c r="AZ571" i="3"/>
  <c r="AZ579" i="3"/>
  <c r="B75" i="43"/>
  <c r="J12" i="34"/>
  <c r="H12" i="34"/>
  <c r="AA44" i="39"/>
  <c r="S44" i="39"/>
  <c r="AB9" i="40"/>
  <c r="U9" i="40"/>
  <c r="AZ387" i="3"/>
  <c r="AZ362" i="3"/>
  <c r="AZ338" i="3"/>
  <c r="AZ390" i="3"/>
  <c r="AZ371" i="3"/>
  <c r="AZ351" i="3"/>
  <c r="AZ336" i="3"/>
  <c r="AZ305" i="3"/>
  <c r="AZ360" i="3"/>
  <c r="AB33" i="40"/>
  <c r="AZ539" i="3"/>
  <c r="AZ529" i="3"/>
  <c r="AZ537" i="3"/>
  <c r="AZ518" i="3"/>
  <c r="AZ526" i="3"/>
  <c r="AZ546" i="3"/>
  <c r="AZ564" i="3"/>
  <c r="AZ580" i="3"/>
  <c r="AZ585" i="3"/>
  <c r="AB45" i="33"/>
  <c r="S11" i="36"/>
  <c r="F9" i="34"/>
  <c r="AA9" i="34" s="1"/>
  <c r="J9" i="34"/>
  <c r="G551" i="3"/>
  <c r="BL550" i="3"/>
  <c r="G542" i="3"/>
  <c r="BA551" i="3"/>
  <c r="AZ551" i="3" s="1"/>
  <c r="BA550" i="3"/>
  <c r="AZ550" i="3" s="1"/>
  <c r="BL548" i="3"/>
  <c r="AZ548" i="3" s="1"/>
  <c r="G398" i="3"/>
  <c r="G399" i="3"/>
  <c r="BL400" i="3"/>
  <c r="AZ400" i="3" s="1"/>
  <c r="BL408" i="3"/>
  <c r="BL411" i="3"/>
  <c r="BL413" i="3"/>
  <c r="AZ413" i="3" s="1"/>
  <c r="G415" i="3"/>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BL367" i="3"/>
  <c r="BL398" i="3"/>
  <c r="AZ398" i="3" s="1"/>
  <c r="BL403" i="3"/>
  <c r="G405"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2" i="3"/>
  <c r="BA446" i="3"/>
  <c r="BA450" i="3"/>
  <c r="BA453" i="3"/>
  <c r="AZ453" i="3" s="1"/>
  <c r="BA455" i="3"/>
  <c r="AZ455" i="3" s="1"/>
  <c r="BL457" i="3"/>
  <c r="AZ457" i="3" s="1"/>
  <c r="BL460" i="3"/>
  <c r="BL461" i="3"/>
  <c r="AZ461" i="3" s="1"/>
  <c r="BL463" i="3"/>
  <c r="G465" i="3"/>
  <c r="BA471" i="3"/>
  <c r="AZ471" i="3" s="1"/>
  <c r="G486" i="3"/>
  <c r="G488" i="3"/>
  <c r="BL317" i="3"/>
  <c r="G318" i="3"/>
  <c r="BL340" i="3"/>
  <c r="AZ340" i="3" s="1"/>
  <c r="BL346" i="3"/>
  <c r="AZ346" i="3" s="1"/>
  <c r="AZ414" i="3"/>
  <c r="AZ415" i="3"/>
  <c r="AZ421" i="3"/>
  <c r="AZ425" i="3"/>
  <c r="AZ435" i="3"/>
  <c r="AZ451" i="3"/>
  <c r="AZ454" i="3"/>
  <c r="AZ459" i="3"/>
  <c r="AZ460" i="3"/>
  <c r="AZ469" i="3"/>
  <c r="AZ483" i="3"/>
  <c r="S27" i="35"/>
  <c r="W33" i="33"/>
  <c r="U9" i="39"/>
  <c r="G585"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4" i="3"/>
  <c r="BL158" i="3"/>
  <c r="BL162" i="3"/>
  <c r="AZ162" i="3" s="1"/>
  <c r="AZ177" i="3"/>
  <c r="BA280" i="3"/>
  <c r="AZ280" i="3" s="1"/>
  <c r="BL292" i="3"/>
  <c r="BA294" i="3"/>
  <c r="AZ294" i="3" s="1"/>
  <c r="BL295" i="3"/>
  <c r="BA298" i="3"/>
  <c r="AZ298" i="3" s="1"/>
  <c r="BL301" i="3"/>
  <c r="AZ301" i="3" s="1"/>
  <c r="BL302" i="3"/>
  <c r="BA114" i="3"/>
  <c r="BL123" i="3"/>
  <c r="AZ123" i="3" s="1"/>
  <c r="BA128" i="3"/>
  <c r="AZ128" i="3" s="1"/>
  <c r="G136" i="3"/>
  <c r="BA137" i="3"/>
  <c r="BL138" i="3"/>
  <c r="BA140" i="3"/>
  <c r="AZ140" i="3" s="1"/>
  <c r="BA142" i="3"/>
  <c r="BL149" i="3"/>
  <c r="AZ149" i="3" s="1"/>
  <c r="BL150" i="3"/>
  <c r="G151" i="3"/>
  <c r="BA152" i="3"/>
  <c r="AZ152" i="3" s="1"/>
  <c r="BL161" i="3"/>
  <c r="G364" i="3"/>
  <c r="BA367" i="3"/>
  <c r="AZ367" i="3" s="1"/>
  <c r="BA370" i="3"/>
  <c r="AZ370" i="3" s="1"/>
  <c r="BA386" i="3"/>
  <c r="AZ386" i="3" s="1"/>
  <c r="G397" i="3"/>
  <c r="G210" i="3"/>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AZ62"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AZ302" i="3"/>
  <c r="BA130" i="3"/>
  <c r="BL130" i="3"/>
  <c r="BL137" i="3"/>
  <c r="BA146" i="3"/>
  <c r="AZ146" i="3" s="1"/>
  <c r="BA150" i="3"/>
  <c r="AC18" i="36"/>
  <c r="W18" i="36"/>
  <c r="C52" i="71"/>
  <c r="D51" i="71"/>
  <c r="C55" i="71"/>
  <c r="D54" i="71"/>
  <c r="G156" i="3"/>
  <c r="BL157" i="3"/>
  <c r="AZ157" i="3" s="1"/>
  <c r="BL159" i="3"/>
  <c r="AZ159" i="3" s="1"/>
  <c r="G160" i="3"/>
  <c r="BL177" i="3"/>
  <c r="BL183" i="3"/>
  <c r="AZ183" i="3" s="1"/>
  <c r="BA186" i="3"/>
  <c r="AZ186" i="3" s="1"/>
  <c r="BA190" i="3"/>
  <c r="BA197" i="3"/>
  <c r="BL201" i="3"/>
  <c r="AZ201" i="3" s="1"/>
  <c r="BL203" i="3"/>
  <c r="AZ203" i="3" s="1"/>
  <c r="BA204" i="3"/>
  <c r="AZ204" i="3" s="1"/>
  <c r="BA18" i="3"/>
  <c r="BL21" i="3"/>
  <c r="G23" i="3"/>
  <c r="BL29" i="3"/>
  <c r="G33" i="3"/>
  <c r="G34" i="3"/>
  <c r="BA37" i="3"/>
  <c r="G39" i="3"/>
  <c r="BL39" i="3"/>
  <c r="G43" i="3"/>
  <c r="G44" i="3"/>
  <c r="BA45" i="3"/>
  <c r="AZ45" i="3" s="1"/>
  <c r="BA46" i="3"/>
  <c r="BL49" i="3"/>
  <c r="AZ49" i="3" s="1"/>
  <c r="BL50" i="3"/>
  <c r="AZ50" i="3" s="1"/>
  <c r="BL51" i="3"/>
  <c r="AZ51" i="3" s="1"/>
  <c r="G72" i="3"/>
  <c r="BL73" i="3"/>
  <c r="BA74" i="3"/>
  <c r="AZ74" i="3" s="1"/>
  <c r="BA87" i="3"/>
  <c r="BA89" i="3"/>
  <c r="BA98" i="3"/>
  <c r="BA106" i="3"/>
  <c r="P65" i="71"/>
  <c r="P66" i="71"/>
  <c r="B27" i="71"/>
  <c r="B26" i="71" s="1"/>
  <c r="S28" i="7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BA39" i="3"/>
  <c r="AZ39" i="3" s="1"/>
  <c r="BL47" i="3"/>
  <c r="AZ47" i="3" s="1"/>
  <c r="BA52" i="3"/>
  <c r="AZ52" i="3" s="1"/>
  <c r="BA53" i="3"/>
  <c r="BA54" i="3"/>
  <c r="BL57" i="3"/>
  <c r="G62" i="3"/>
  <c r="BL62" i="3"/>
  <c r="BL63" i="3"/>
  <c r="G67" i="3"/>
  <c r="BL68" i="3"/>
  <c r="BA69" i="3"/>
  <c r="AZ69" i="3" s="1"/>
  <c r="BA73" i="3"/>
  <c r="G78" i="3"/>
  <c r="G79" i="3"/>
  <c r="G81" i="3"/>
  <c r="G85" i="3"/>
  <c r="BL85" i="3"/>
  <c r="BA86" i="3"/>
  <c r="AZ86" i="3" s="1"/>
  <c r="BL101" i="3"/>
  <c r="BL102" i="3"/>
  <c r="BA104" i="3"/>
  <c r="BA109" i="3"/>
  <c r="B13" i="1"/>
  <c r="E13" i="1" s="1"/>
  <c r="K13" i="1"/>
  <c r="M13" i="1" s="1"/>
  <c r="O13" i="1" s="1"/>
  <c r="P13" i="1" s="1"/>
  <c r="AC18" i="35"/>
  <c r="W18" i="35"/>
  <c r="T40" i="71"/>
  <c r="D40" i="71"/>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BA59" i="3"/>
  <c r="AZ59" i="3" s="1"/>
  <c r="G61" i="3"/>
  <c r="BL61" i="3"/>
  <c r="AZ61" i="3" s="1"/>
  <c r="BA64" i="3"/>
  <c r="AZ64" i="3" s="1"/>
  <c r="BA68" i="3"/>
  <c r="BL74" i="3"/>
  <c r="G75" i="3"/>
  <c r="BL75" i="3"/>
  <c r="AZ75" i="3" s="1"/>
  <c r="BA80" i="3"/>
  <c r="BL84" i="3"/>
  <c r="G89" i="3"/>
  <c r="BA92" i="3"/>
  <c r="BL96" i="3"/>
  <c r="BL97" i="3"/>
  <c r="AZ97" i="3" s="1"/>
  <c r="AZ103" i="3"/>
  <c r="W21" i="37"/>
  <c r="AC21" i="37"/>
  <c r="AB21" i="34"/>
  <c r="U21" i="34"/>
  <c r="D31" i="71"/>
  <c r="C32" i="71"/>
  <c r="C47" i="71"/>
  <c r="D47" i="71" s="1"/>
  <c r="D46" i="71"/>
  <c r="C64" i="71"/>
  <c r="D63" i="71"/>
  <c r="N67" i="71"/>
  <c r="B66" i="71"/>
  <c r="BA108" i="3"/>
  <c r="AZ108" i="3" s="1"/>
  <c r="BA110" i="3"/>
  <c r="AZ110" i="3" s="1"/>
  <c r="F3" i="35"/>
  <c r="S21" i="37"/>
  <c r="S25" i="40"/>
  <c r="B77" i="43"/>
  <c r="AA18" i="35"/>
  <c r="T60" i="71"/>
  <c r="O66" i="71"/>
  <c r="D71" i="71"/>
  <c r="O67" i="71"/>
  <c r="AA28" i="71"/>
  <c r="AB27" i="71"/>
  <c r="C87" i="71"/>
  <c r="AB25" i="71"/>
  <c r="C43" i="71"/>
  <c r="Y25" i="71"/>
  <c r="Z25" i="71" s="1"/>
  <c r="C35" i="71"/>
  <c r="Y29" i="71"/>
  <c r="Z29" i="71" s="1"/>
  <c r="N68" i="71"/>
  <c r="AB32" i="71"/>
  <c r="X33" i="71"/>
  <c r="AB37" i="71"/>
  <c r="S72" i="71"/>
  <c r="V80" i="71"/>
  <c r="X28" i="7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62" i="71"/>
  <c r="U68" i="71"/>
  <c r="D30" i="71"/>
  <c r="X31" i="71"/>
  <c r="AA34" i="71"/>
  <c r="AB35" i="71"/>
  <c r="B51" i="71"/>
  <c r="B52" i="71" s="1"/>
  <c r="S52" i="71" s="1"/>
  <c r="BA90" i="3"/>
  <c r="AZ90" i="3" s="1"/>
  <c r="BL94" i="3"/>
  <c r="AZ94" i="3" s="1"/>
  <c r="BA100" i="3"/>
  <c r="AZ100" i="3" s="1"/>
  <c r="BA102" i="3"/>
  <c r="BL105" i="3"/>
  <c r="AZ105" i="3" s="1"/>
  <c r="G107" i="3"/>
  <c r="BL107" i="3"/>
  <c r="BA111" i="3"/>
  <c r="AZ111" i="3" s="1"/>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C103" i="9"/>
  <c r="N59" i="67"/>
  <c r="L59" i="67"/>
  <c r="M59" i="67"/>
  <c r="B13" i="70"/>
  <c r="M7" i="67"/>
  <c r="J6" i="67" s="1"/>
  <c r="F50" i="67"/>
  <c r="F68" i="67"/>
  <c r="F64" i="67"/>
  <c r="C36" i="68"/>
  <c r="D9" i="69"/>
  <c r="C36" i="69"/>
  <c r="D9" i="68"/>
  <c r="F7" i="15"/>
  <c r="M8" i="15"/>
  <c r="M6" i="15"/>
  <c r="L48" i="15"/>
  <c r="F6" i="15"/>
  <c r="C16" i="67"/>
  <c r="M28" i="15"/>
  <c r="F38" i="15"/>
  <c r="F8" i="15"/>
  <c r="F16" i="15"/>
  <c r="F26" i="15"/>
  <c r="M24" i="15"/>
  <c r="F13" i="15"/>
  <c r="M9" i="15"/>
  <c r="C76" i="15"/>
  <c r="M26" i="15"/>
  <c r="L48" i="67"/>
  <c r="L47" i="15"/>
  <c r="D3" i="73"/>
  <c r="F37" i="15"/>
  <c r="D5" i="73"/>
  <c r="M23" i="15"/>
  <c r="D4" i="73"/>
  <c r="F40" i="15"/>
  <c r="M22" i="15"/>
  <c r="F36" i="15"/>
  <c r="F43" i="15"/>
  <c r="D7" i="73"/>
  <c r="J15" i="15"/>
  <c r="F9" i="15"/>
  <c r="M29" i="15"/>
  <c r="F42" i="15"/>
  <c r="W41" i="34" l="1"/>
  <c r="AB23" i="33"/>
  <c r="U23" i="33"/>
  <c r="W17" i="33"/>
  <c r="F1" i="87"/>
  <c r="Q52" i="87"/>
  <c r="Q52" i="85"/>
  <c r="F1" i="85"/>
  <c r="Q73" i="87"/>
  <c r="Q60" i="87"/>
  <c r="Q57" i="85"/>
  <c r="Q66" i="85"/>
  <c r="Q73" i="85"/>
  <c r="Q60" i="85"/>
  <c r="Q57" i="87"/>
  <c r="Q66" i="87"/>
  <c r="M11" i="87"/>
  <c r="J10" i="87" s="1"/>
  <c r="J5" i="87" s="1"/>
  <c r="F11" i="87"/>
  <c r="AB37" i="34"/>
  <c r="W19" i="34"/>
  <c r="U19" i="34"/>
  <c r="AA19" i="34"/>
  <c r="S19" i="34"/>
  <c r="U23" i="34"/>
  <c r="W23" i="34"/>
  <c r="AC23" i="34"/>
  <c r="AA23" i="34"/>
  <c r="AA37" i="34"/>
  <c r="S37" i="34"/>
  <c r="S9" i="34"/>
  <c r="M11" i="85"/>
  <c r="J10" i="85" s="1"/>
  <c r="J5" i="85" s="1"/>
  <c r="F11" i="85"/>
  <c r="W25" i="35"/>
  <c r="AC25" i="35"/>
  <c r="AB25" i="35"/>
  <c r="U25" i="35"/>
  <c r="AB14" i="35"/>
  <c r="U14" i="35"/>
  <c r="AA14" i="35"/>
  <c r="S14" i="35"/>
  <c r="S36" i="35"/>
  <c r="AA36" i="35"/>
  <c r="AA29" i="35"/>
  <c r="W29" i="35"/>
  <c r="AC29" i="35"/>
  <c r="C30" i="68"/>
  <c r="F66" i="15"/>
  <c r="F64" i="15"/>
  <c r="C27" i="15"/>
  <c r="F65" i="15"/>
  <c r="N59" i="15"/>
  <c r="L59" i="15"/>
  <c r="Q74" i="15" s="1"/>
  <c r="M59" i="15"/>
  <c r="F68" i="15"/>
  <c r="F31" i="15"/>
  <c r="C6" i="15"/>
  <c r="C32" i="15" s="1"/>
  <c r="M7" i="15"/>
  <c r="J6" i="15" s="1"/>
  <c r="J18" i="15" s="1"/>
  <c r="F50" i="15"/>
  <c r="Q71" i="15"/>
  <c r="F51" i="15"/>
  <c r="F71" i="15"/>
  <c r="I54" i="15"/>
  <c r="L58" i="15"/>
  <c r="Q73" i="15" s="1"/>
  <c r="J53" i="15"/>
  <c r="L56" i="15" s="1"/>
  <c r="J57" i="15"/>
  <c r="J55" i="15" s="1"/>
  <c r="J58" i="15" s="1"/>
  <c r="Q50" i="15" s="1"/>
  <c r="I54" i="67"/>
  <c r="L56" i="67"/>
  <c r="J53" i="67"/>
  <c r="F1" i="67" s="1"/>
  <c r="J57" i="67"/>
  <c r="J55" i="67" s="1"/>
  <c r="J58" i="67" s="1"/>
  <c r="Q50" i="67" s="1"/>
  <c r="L58" i="67"/>
  <c r="Q73" i="67" s="1"/>
  <c r="G8" i="1"/>
  <c r="G16" i="1" s="1"/>
  <c r="F10" i="39" s="1"/>
  <c r="AA10" i="39" s="1"/>
  <c r="E59" i="40"/>
  <c r="H16" i="1"/>
  <c r="N370" i="46"/>
  <c r="Q16" i="1"/>
  <c r="F27" i="69" s="1"/>
  <c r="C47" i="69" s="1"/>
  <c r="D45" i="69" s="1"/>
  <c r="E28" i="6"/>
  <c r="K14" i="1" s="1"/>
  <c r="K16" i="1" s="1"/>
  <c r="F26" i="43"/>
  <c r="J7" i="36"/>
  <c r="N94" i="46"/>
  <c r="J26" i="43"/>
  <c r="C44" i="71"/>
  <c r="D43" i="71"/>
  <c r="N65" i="71"/>
  <c r="N66" i="71"/>
  <c r="AZ121" i="3"/>
  <c r="AZ274" i="3"/>
  <c r="AA25" i="37"/>
  <c r="S25" i="37"/>
  <c r="AB44" i="39"/>
  <c r="U44" i="39"/>
  <c r="AZ53" i="3"/>
  <c r="AZ38" i="3"/>
  <c r="AZ197" i="3"/>
  <c r="T52" i="71"/>
  <c r="D52" i="71"/>
  <c r="AZ150" i="3"/>
  <c r="AZ130" i="3"/>
  <c r="AZ282" i="3"/>
  <c r="AZ241" i="3"/>
  <c r="AZ210" i="3"/>
  <c r="AZ249" i="3"/>
  <c r="AZ218" i="3"/>
  <c r="AZ137" i="3"/>
  <c r="AZ263" i="3"/>
  <c r="AZ243" i="3"/>
  <c r="AZ368" i="3"/>
  <c r="U25" i="37"/>
  <c r="AB25" i="37"/>
  <c r="U33" i="36"/>
  <c r="AB33" i="36"/>
  <c r="C26" i="71"/>
  <c r="D26" i="71" s="1"/>
  <c r="D27" i="71"/>
  <c r="E26" i="43"/>
  <c r="H26" i="43"/>
  <c r="AZ102" i="3"/>
  <c r="AZ63" i="3"/>
  <c r="C36" i="71"/>
  <c r="D35" i="71"/>
  <c r="C86" i="71"/>
  <c r="D86" i="71" s="1"/>
  <c r="D87" i="71"/>
  <c r="T32" i="71"/>
  <c r="D32" i="71"/>
  <c r="AZ20" i="3"/>
  <c r="AZ25" i="3"/>
  <c r="AZ190" i="3"/>
  <c r="AZ256" i="3"/>
  <c r="AZ118" i="3"/>
  <c r="AZ238" i="3"/>
  <c r="AZ411" i="3"/>
  <c r="U12" i="34"/>
  <c r="AB12" i="34"/>
  <c r="AC39" i="37"/>
  <c r="W39" i="37"/>
  <c r="AZ112" i="3"/>
  <c r="G5" i="3"/>
  <c r="B3" i="3" s="1"/>
  <c r="E552" i="3" s="1"/>
  <c r="AZ28" i="3"/>
  <c r="AZ21" i="3"/>
  <c r="C56" i="71"/>
  <c r="D55" i="71"/>
  <c r="AC9" i="34"/>
  <c r="W9" i="34"/>
  <c r="W12" i="34"/>
  <c r="AC12" i="34"/>
  <c r="AC44" i="39"/>
  <c r="W44" i="39"/>
  <c r="J7" i="37"/>
  <c r="AC7" i="37" s="1"/>
  <c r="K1" i="73"/>
  <c r="E54" i="3"/>
  <c r="E114" i="3"/>
  <c r="E528" i="3"/>
  <c r="E50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P28" i="43"/>
  <c r="B66" i="40" s="1"/>
  <c r="P25" i="43"/>
  <c r="C49" i="67"/>
  <c r="P29" i="43"/>
  <c r="P27" i="43"/>
  <c r="B70" i="39" s="1"/>
  <c r="C32" i="67"/>
  <c r="M11" i="67"/>
  <c r="J10" i="67" s="1"/>
  <c r="J5" i="67" s="1"/>
  <c r="F11" i="15"/>
  <c r="M11" i="15"/>
  <c r="J10" i="15" s="1"/>
  <c r="F11" i="67"/>
  <c r="J18" i="67"/>
  <c r="Q61" i="67"/>
  <c r="Q74" i="67"/>
  <c r="AE11" i="1"/>
  <c r="AE9" i="1"/>
  <c r="AE12" i="1"/>
  <c r="AE10" i="1"/>
  <c r="G1" i="73"/>
  <c r="AE8" i="1"/>
  <c r="C16" i="15"/>
  <c r="F41" i="67"/>
  <c r="AE7" i="1"/>
  <c r="AE6" i="1"/>
  <c r="F41" i="87"/>
  <c r="F69" i="87" l="1"/>
  <c r="C53" i="87"/>
  <c r="C48" i="87" s="1"/>
  <c r="C10" i="87"/>
  <c r="C5" i="87" s="1"/>
  <c r="J24" i="87"/>
  <c r="J26" i="87"/>
  <c r="J29" i="87" s="1"/>
  <c r="T49" i="34"/>
  <c r="G49" i="34" s="1"/>
  <c r="C53" i="85"/>
  <c r="C48" i="85" s="1"/>
  <c r="C10" i="85"/>
  <c r="C5" i="85" s="1"/>
  <c r="J24" i="85"/>
  <c r="J26" i="85"/>
  <c r="Q60" i="15"/>
  <c r="F59" i="15"/>
  <c r="Q61" i="15"/>
  <c r="C49" i="15"/>
  <c r="Q60" i="67"/>
  <c r="J5" i="15"/>
  <c r="J24" i="15" s="1"/>
  <c r="E557" i="3"/>
  <c r="E388" i="3"/>
  <c r="E558" i="3"/>
  <c r="E179" i="3"/>
  <c r="E119" i="3"/>
  <c r="E146" i="3"/>
  <c r="AS6" i="3"/>
  <c r="E238" i="3"/>
  <c r="E244" i="3"/>
  <c r="E131" i="3"/>
  <c r="AY6" i="3"/>
  <c r="E563" i="3"/>
  <c r="E181" i="3"/>
  <c r="E72" i="3"/>
  <c r="E426" i="3"/>
  <c r="L6" i="3"/>
  <c r="X6" i="3"/>
  <c r="E530" i="3"/>
  <c r="E423" i="3"/>
  <c r="M6" i="3"/>
  <c r="E377" i="3"/>
  <c r="E89" i="3"/>
  <c r="E472" i="3"/>
  <c r="E350" i="3"/>
  <c r="E561" i="3"/>
  <c r="E384" i="3"/>
  <c r="E271" i="3"/>
  <c r="E453" i="3"/>
  <c r="N6" i="3"/>
  <c r="E73" i="3"/>
  <c r="E237" i="3"/>
  <c r="E367" i="3"/>
  <c r="E461" i="3"/>
  <c r="E436" i="3"/>
  <c r="E176" i="3"/>
  <c r="E105" i="3"/>
  <c r="D26" i="43"/>
  <c r="C25" i="43" s="1"/>
  <c r="E248" i="3"/>
  <c r="E242" i="3"/>
  <c r="E161" i="3"/>
  <c r="E201" i="3"/>
  <c r="E70" i="3"/>
  <c r="E362" i="3"/>
  <c r="E277" i="3"/>
  <c r="E180" i="3"/>
  <c r="E143" i="3"/>
  <c r="E162" i="3"/>
  <c r="E31" i="3"/>
  <c r="E245" i="3"/>
  <c r="E316" i="3"/>
  <c r="E437" i="3"/>
  <c r="S6" i="3"/>
  <c r="E196" i="3"/>
  <c r="E413" i="3"/>
  <c r="E354" i="3"/>
  <c r="E325" i="3"/>
  <c r="E324" i="3"/>
  <c r="E215" i="3"/>
  <c r="E526" i="3"/>
  <c r="AO6" i="3"/>
  <c r="E577" i="3"/>
  <c r="E399" i="3"/>
  <c r="E231" i="3"/>
  <c r="E478" i="3"/>
  <c r="E573" i="3"/>
  <c r="E559" i="3"/>
  <c r="E236" i="3"/>
  <c r="E159" i="3"/>
  <c r="E291" i="3"/>
  <c r="E529" i="3"/>
  <c r="E542" i="3"/>
  <c r="E90" i="3"/>
  <c r="E419" i="3"/>
  <c r="Q52" i="67"/>
  <c r="Q52" i="15"/>
  <c r="F1" i="15"/>
  <c r="S10" i="39"/>
  <c r="J10" i="40"/>
  <c r="AC10" i="40" s="1"/>
  <c r="F45" i="69"/>
  <c r="F27" i="68"/>
  <c r="C47" i="68" s="1"/>
  <c r="D45" i="68" s="1"/>
  <c r="F28" i="12"/>
  <c r="C29" i="12" s="1"/>
  <c r="D28" i="12" s="1"/>
  <c r="C29" i="69"/>
  <c r="D27" i="69" s="1"/>
  <c r="F27" i="11"/>
  <c r="C29" i="11" s="1"/>
  <c r="D27" i="11" s="1"/>
  <c r="E275" i="3"/>
  <c r="E263" i="3"/>
  <c r="E247" i="3"/>
  <c r="E273" i="3"/>
  <c r="E368" i="3"/>
  <c r="E560" i="3"/>
  <c r="E124" i="3"/>
  <c r="E261" i="3"/>
  <c r="AR6" i="3"/>
  <c r="E175" i="3"/>
  <c r="E27" i="3"/>
  <c r="E515" i="3"/>
  <c r="E318" i="3"/>
  <c r="E45" i="3"/>
  <c r="E294" i="3"/>
  <c r="E366" i="3"/>
  <c r="E580" i="3"/>
  <c r="E302" i="3"/>
  <c r="E92" i="3"/>
  <c r="E510" i="3"/>
  <c r="E536" i="3"/>
  <c r="E554" i="3"/>
  <c r="E292" i="3"/>
  <c r="E160" i="3"/>
  <c r="E33" i="3"/>
  <c r="E81" i="3"/>
  <c r="E391" i="3"/>
  <c r="E235" i="3"/>
  <c r="AF6" i="3"/>
  <c r="E205" i="3"/>
  <c r="E456" i="3"/>
  <c r="E497" i="3"/>
  <c r="E41" i="3"/>
  <c r="E190" i="3"/>
  <c r="E232" i="3"/>
  <c r="E16" i="3"/>
  <c r="E543" i="3"/>
  <c r="E376" i="3"/>
  <c r="E463" i="3"/>
  <c r="E346" i="3"/>
  <c r="E473" i="3"/>
  <c r="E194" i="3"/>
  <c r="E36" i="3"/>
  <c r="E364" i="3"/>
  <c r="E365" i="3"/>
  <c r="E566" i="3"/>
  <c r="E58" i="3"/>
  <c r="E250" i="3"/>
  <c r="E416" i="3"/>
  <c r="E446"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499" i="3"/>
  <c r="E417" i="3"/>
  <c r="E389" i="3"/>
  <c r="E249" i="3"/>
  <c r="E184" i="3"/>
  <c r="E309" i="3"/>
  <c r="E482" i="3"/>
  <c r="E383" i="3"/>
  <c r="E102" i="3"/>
  <c r="E173" i="3"/>
  <c r="E512" i="3"/>
  <c r="E13" i="3"/>
  <c r="E225" i="3"/>
  <c r="E220" i="3"/>
  <c r="E80" i="3"/>
  <c r="E116" i="3"/>
  <c r="E427" i="3"/>
  <c r="AH6" i="3"/>
  <c r="E108" i="3"/>
  <c r="E372" i="3"/>
  <c r="E15" i="3"/>
  <c r="E299" i="3"/>
  <c r="E112" i="3"/>
  <c r="E20" i="3"/>
  <c r="E165" i="3"/>
  <c r="E460" i="3"/>
  <c r="E521" i="3"/>
  <c r="E222" i="3"/>
  <c r="E500" i="3"/>
  <c r="E138"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442" i="3"/>
  <c r="E479" i="3"/>
  <c r="E484" i="3"/>
  <c r="E139" i="3"/>
  <c r="E94" i="3"/>
  <c r="E246" i="3"/>
  <c r="E278" i="3"/>
  <c r="E570" i="3"/>
  <c r="E217" i="3"/>
  <c r="E345" i="3"/>
  <c r="E315" i="3"/>
  <c r="E587" i="3"/>
  <c r="E568" i="3"/>
  <c r="E301" i="3"/>
  <c r="E380" i="3"/>
  <c r="E337" i="3"/>
  <c r="E508" i="3"/>
  <c r="E331" i="3"/>
  <c r="E505" i="3"/>
  <c r="E269" i="3"/>
  <c r="E571" i="3"/>
  <c r="E336" i="3"/>
  <c r="E117" i="3"/>
  <c r="E229" i="3"/>
  <c r="E121" i="3"/>
  <c r="E448" i="3"/>
  <c r="E177" i="3"/>
  <c r="E280" i="3"/>
  <c r="E321" i="3"/>
  <c r="E285" i="3"/>
  <c r="E319" i="3"/>
  <c r="E411" i="3"/>
  <c r="E14" i="3"/>
  <c r="E537" i="3"/>
  <c r="E224" i="3"/>
  <c r="E127" i="3"/>
  <c r="E87" i="3"/>
  <c r="E163" i="3"/>
  <c r="E584" i="3"/>
  <c r="E149" i="3"/>
  <c r="E110" i="3"/>
  <c r="E24" i="3"/>
  <c r="E340" i="3"/>
  <c r="E170" i="3"/>
  <c r="E226" i="3"/>
  <c r="E440" i="3"/>
  <c r="E329" i="3"/>
  <c r="E428" i="3"/>
  <c r="E556" i="3"/>
  <c r="E22" i="3"/>
  <c r="E96" i="3"/>
  <c r="E63" i="3"/>
  <c r="E64" i="3"/>
  <c r="M14" i="1"/>
  <c r="O14" i="1" s="1"/>
  <c r="O16" i="1"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520" i="3"/>
  <c r="E386" i="3"/>
  <c r="E141" i="3"/>
  <c r="E123" i="3"/>
  <c r="E38" i="3"/>
  <c r="E178" i="3"/>
  <c r="E507" i="3"/>
  <c r="E326" i="3"/>
  <c r="E356" i="3"/>
  <c r="E408" i="3"/>
  <c r="E308" i="3"/>
  <c r="E18" i="3"/>
  <c r="E233" i="3"/>
  <c r="E241" i="3"/>
  <c r="E420" i="3"/>
  <c r="E525" i="3"/>
  <c r="E86" i="3"/>
  <c r="E494" i="3"/>
  <c r="E310" i="3"/>
  <c r="E369" i="3"/>
  <c r="E219" i="3"/>
  <c r="E148" i="3"/>
  <c r="E535" i="3"/>
  <c r="E335" i="3"/>
  <c r="AJ6" i="3"/>
  <c r="E28" i="3"/>
  <c r="Z6" i="3"/>
  <c r="E106" i="3"/>
  <c r="E228" i="3"/>
  <c r="E503" i="3"/>
  <c r="E429"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312" i="3"/>
  <c r="E348" i="3"/>
  <c r="E265" i="3"/>
  <c r="E392" i="3"/>
  <c r="E540" i="3"/>
  <c r="E401" i="3"/>
  <c r="E393" i="3"/>
  <c r="E49" i="3"/>
  <c r="E26" i="3"/>
  <c r="T6" i="3"/>
  <c r="E206" i="3"/>
  <c r="E281" i="3"/>
  <c r="E492" i="3"/>
  <c r="E449" i="3"/>
  <c r="H10" i="40"/>
  <c r="AB10" i="40" s="1"/>
  <c r="J10" i="39"/>
  <c r="W10" i="39" s="1"/>
  <c r="H10" i="39"/>
  <c r="U10" i="39" s="1"/>
  <c r="E524" i="3"/>
  <c r="E62" i="3"/>
  <c r="E289" i="3"/>
  <c r="AQ6" i="3"/>
  <c r="E234" i="3"/>
  <c r="E79" i="3"/>
  <c r="E60" i="3"/>
  <c r="E276" i="3"/>
  <c r="E25" i="3"/>
  <c r="J6" i="3"/>
  <c r="E422" i="3"/>
  <c r="E564" i="3"/>
  <c r="E188" i="3"/>
  <c r="E158" i="3"/>
  <c r="E35" i="3"/>
  <c r="E412" i="3"/>
  <c r="E115" i="3"/>
  <c r="E470" i="3"/>
  <c r="E451" i="3"/>
  <c r="E405" i="3"/>
  <c r="E197" i="3"/>
  <c r="E113" i="3"/>
  <c r="E34" i="3"/>
  <c r="E174" i="3"/>
  <c r="AL6" i="3"/>
  <c r="E513" i="3"/>
  <c r="E68" i="3"/>
  <c r="E84" i="3"/>
  <c r="E267" i="3"/>
  <c r="E409" i="3"/>
  <c r="E95" i="3"/>
  <c r="E255" i="3"/>
  <c r="E575"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42" i="3"/>
  <c r="E198" i="3"/>
  <c r="E283" i="3"/>
  <c r="E355" i="3"/>
  <c r="E67" i="3"/>
  <c r="E371" i="3"/>
  <c r="E46" i="3"/>
  <c r="E544" i="3"/>
  <c r="E152" i="3"/>
  <c r="E517" i="3"/>
  <c r="E466" i="3"/>
  <c r="E212" i="3"/>
  <c r="W7" i="37"/>
  <c r="F10" i="40"/>
  <c r="S10" i="40" s="1"/>
  <c r="E467" i="3"/>
  <c r="E59" i="3"/>
  <c r="E349" i="3"/>
  <c r="E258" i="3"/>
  <c r="E37" i="3"/>
  <c r="E491" i="3"/>
  <c r="AP6" i="3"/>
  <c r="E430" i="3"/>
  <c r="E502" i="3"/>
  <c r="E286" i="3"/>
  <c r="E539" i="3"/>
  <c r="D36" i="71"/>
  <c r="T36" i="71"/>
  <c r="D44" i="71"/>
  <c r="T44" i="71"/>
  <c r="E75" i="3"/>
  <c r="E332" i="3"/>
  <c r="E21" i="3"/>
  <c r="E264" i="3"/>
  <c r="E381" i="3"/>
  <c r="E144" i="3"/>
  <c r="E23" i="3"/>
  <c r="E300" i="3"/>
  <c r="E103" i="3"/>
  <c r="E425" i="3"/>
  <c r="E76" i="3"/>
  <c r="E363" i="3"/>
  <c r="E192" i="3"/>
  <c r="E56" i="3"/>
  <c r="E435" i="3"/>
  <c r="I3" i="6"/>
  <c r="E541" i="3"/>
  <c r="R6" i="3"/>
  <c r="E199" i="3"/>
  <c r="D56" i="71"/>
  <c r="T56" i="71"/>
  <c r="B40" i="1"/>
  <c r="F24" i="87"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85"/>
  <c r="M27" i="67"/>
  <c r="F41" i="15"/>
  <c r="M27" i="15"/>
  <c r="F69" i="85" l="1"/>
  <c r="J29" i="85"/>
  <c r="C38" i="87"/>
  <c r="C24" i="87"/>
  <c r="C23" i="87"/>
  <c r="C66" i="87"/>
  <c r="C60" i="87"/>
  <c r="R50" i="34"/>
  <c r="C49" i="34" s="1"/>
  <c r="G54" i="34"/>
  <c r="H54" i="34" s="1"/>
  <c r="C38" i="85"/>
  <c r="L36" i="43"/>
  <c r="L37" i="43" s="1"/>
  <c r="M37" i="43" s="1"/>
  <c r="F24" i="85"/>
  <c r="C66" i="85"/>
  <c r="C60" i="85"/>
  <c r="C48" i="15"/>
  <c r="C66" i="15" s="1"/>
  <c r="C29" i="68"/>
  <c r="D27" i="68" s="1"/>
  <c r="AC10" i="39"/>
  <c r="AB10" i="39"/>
  <c r="C47" i="11"/>
  <c r="D45" i="11" s="1"/>
  <c r="H6" i="3"/>
  <c r="U10" i="40"/>
  <c r="M16" i="1"/>
  <c r="N16" i="1" s="1"/>
  <c r="AC6" i="3"/>
  <c r="D116" i="43"/>
  <c r="F24" i="67"/>
  <c r="C24" i="67" s="1"/>
  <c r="F22" i="11"/>
  <c r="F24" i="15"/>
  <c r="C24" i="15" s="1"/>
  <c r="F22" i="69"/>
  <c r="F41" i="69" s="1"/>
  <c r="F22" i="68"/>
  <c r="F41" i="68" s="1"/>
  <c r="F25" i="12"/>
  <c r="C26" i="12" s="1"/>
  <c r="D25" i="12" s="1"/>
  <c r="AA10" i="40"/>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C66" i="67"/>
  <c r="C60" i="67"/>
  <c r="D10" i="69"/>
  <c r="C34" i="69"/>
  <c r="D10" i="68"/>
  <c r="C14" i="67"/>
  <c r="C17" i="15"/>
  <c r="C17" i="67"/>
  <c r="C29" i="87" l="1"/>
  <c r="C13" i="87" s="1"/>
  <c r="E53" i="34"/>
  <c r="F53" i="34" s="1"/>
  <c r="I54" i="34"/>
  <c r="J54" i="34" s="1"/>
  <c r="N37" i="43"/>
  <c r="O37" i="43"/>
  <c r="M36" i="43"/>
  <c r="P37" i="43"/>
  <c r="N36" i="43"/>
  <c r="Q37" i="43"/>
  <c r="Q36" i="43"/>
  <c r="P36" i="43"/>
  <c r="O36" i="43"/>
  <c r="C24" i="85"/>
  <c r="C23" i="85"/>
  <c r="C60" i="15"/>
  <c r="L16" i="1"/>
  <c r="C25" i="11"/>
  <c r="D30" i="6"/>
  <c r="H24" i="6"/>
  <c r="R24" i="6" s="1"/>
  <c r="R11" i="1" s="1"/>
  <c r="C23" i="68"/>
  <c r="H25" i="6"/>
  <c r="R25" i="6" s="1"/>
  <c r="R12" i="1" s="1"/>
  <c r="C24" i="11"/>
  <c r="C23" i="11"/>
  <c r="E6" i="3"/>
  <c r="C26" i="11"/>
  <c r="D22" i="11" s="1"/>
  <c r="C44" i="11"/>
  <c r="D41" i="11" s="1"/>
  <c r="C44" i="69"/>
  <c r="D41" i="69" s="1"/>
  <c r="C26" i="69"/>
  <c r="D22" i="69" s="1"/>
  <c r="C26" i="68"/>
  <c r="D22" i="68"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M21" i="85"/>
  <c r="C14" i="15"/>
  <c r="F35" i="85"/>
  <c r="E6" i="76"/>
  <c r="J59" i="87" l="1"/>
  <c r="J60" i="87" s="1"/>
  <c r="Q48" i="87" s="1"/>
  <c r="C36" i="87"/>
  <c r="Q49" i="87"/>
  <c r="C57" i="87"/>
  <c r="C64" i="87" s="1"/>
  <c r="J14" i="87"/>
  <c r="J13" i="87" s="1"/>
  <c r="J23" i="87" s="1"/>
  <c r="C56" i="87"/>
  <c r="C65" i="87" s="1"/>
  <c r="C37" i="87"/>
  <c r="C75" i="87"/>
  <c r="Q70" i="87"/>
  <c r="C29" i="85"/>
  <c r="C57" i="85" s="1"/>
  <c r="C64" i="85" s="1"/>
  <c r="J20" i="85"/>
  <c r="J17" i="85" s="1"/>
  <c r="F63" i="85"/>
  <c r="C62" i="85" s="1"/>
  <c r="C59" i="85" s="1"/>
  <c r="C34" i="85"/>
  <c r="C31" i="85"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46" i="87" l="1"/>
  <c r="C13" i="85"/>
  <c r="C37" i="85" s="1"/>
  <c r="J22" i="87"/>
  <c r="J59" i="85"/>
  <c r="J60" i="85" s="1"/>
  <c r="L46" i="85" s="1"/>
  <c r="J14" i="85"/>
  <c r="J13" i="85" s="1"/>
  <c r="J23" i="85" s="1"/>
  <c r="C36" i="85"/>
  <c r="Q49" i="85"/>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Q70" i="85" l="1"/>
  <c r="C56" i="85"/>
  <c r="C65" i="85" s="1"/>
  <c r="C58" i="85" s="1"/>
  <c r="C67" i="85" s="1"/>
  <c r="C68" i="85" s="1"/>
  <c r="C71" i="85" s="1"/>
  <c r="C75" i="85"/>
  <c r="Q48" i="85"/>
  <c r="J22" i="85"/>
  <c r="J16" i="85" s="1"/>
  <c r="J25" i="85" s="1"/>
  <c r="C30" i="85"/>
  <c r="C39" i="85" s="1"/>
  <c r="C40" i="85"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L51" i="85"/>
  <c r="M21" i="87"/>
  <c r="M21" i="15"/>
  <c r="F35" i="87"/>
  <c r="M21" i="67"/>
  <c r="F63" i="87" l="1"/>
  <c r="C62" i="87" s="1"/>
  <c r="C59" i="87" s="1"/>
  <c r="C58" i="87" s="1"/>
  <c r="C67" i="87" s="1"/>
  <c r="C68" i="87" s="1"/>
  <c r="C71" i="87" s="1"/>
  <c r="C34" i="87"/>
  <c r="C31" i="87" s="1"/>
  <c r="C30" i="87" s="1"/>
  <c r="C39" i="87" s="1"/>
  <c r="J20" i="87"/>
  <c r="J17" i="87" s="1"/>
  <c r="J16" i="87" s="1"/>
  <c r="J25" i="87" s="1"/>
  <c r="C80" i="85"/>
  <c r="C79" i="85" s="1"/>
  <c r="Q69" i="85"/>
  <c r="Q68" i="85" s="1"/>
  <c r="Q67" i="85"/>
  <c r="Q47" i="85"/>
  <c r="Q53" i="85" s="1"/>
  <c r="C43" i="85"/>
  <c r="Q65" i="85"/>
  <c r="Q75" i="85" s="1"/>
  <c r="D2" i="85"/>
  <c r="Q56" i="85"/>
  <c r="Q62" i="85" s="1"/>
  <c r="C83" i="85"/>
  <c r="C82" i="85" s="1"/>
  <c r="C45" i="85"/>
  <c r="C46" i="85"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7"/>
  <c r="Q67" i="87" l="1"/>
  <c r="C40" i="87"/>
  <c r="C80" i="87"/>
  <c r="C79" i="87" s="1"/>
  <c r="Q69" i="87"/>
  <c r="Q68" i="87" s="1"/>
  <c r="B3" i="85"/>
  <c r="B2" i="85"/>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19" i="86"/>
  <c r="D2" i="21"/>
  <c r="D20" i="86"/>
  <c r="Q47" i="87" l="1"/>
  <c r="Q53" i="87" s="1"/>
  <c r="Q56" i="87"/>
  <c r="Q62" i="87" s="1"/>
  <c r="C43" i="87"/>
  <c r="C83" i="87"/>
  <c r="C82" i="87" s="1"/>
  <c r="Q65" i="87"/>
  <c r="Q75" i="87" s="1"/>
  <c r="D2" i="87"/>
  <c r="C45" i="87"/>
  <c r="C46" i="87" s="1"/>
  <c r="D102" i="86"/>
  <c r="D21" i="86"/>
  <c r="D103" i="86"/>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7" l="1"/>
  <c r="B2" i="8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D2" i="36"/>
  <c r="L51" i="15"/>
  <c r="D19" i="84"/>
  <c r="D2" i="35"/>
  <c r="D2" i="37"/>
  <c r="D19" i="9"/>
  <c r="G19" i="9" l="1"/>
  <c r="D14" i="74" s="1"/>
  <c r="D22" i="9"/>
  <c r="D102" i="9"/>
  <c r="D21" i="9"/>
  <c r="G20" i="9"/>
  <c r="C32" i="9" s="1"/>
  <c r="D103" i="9"/>
  <c r="D21" i="84"/>
  <c r="D102" i="84"/>
  <c r="C8" i="71"/>
  <c r="D9" i="71"/>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AO7" i="1"/>
  <c r="C19" i="84"/>
  <c r="AO11" i="1"/>
  <c r="D20" i="84"/>
  <c r="C19" i="86"/>
  <c r="AO6" i="1"/>
  <c r="AO8" i="1"/>
  <c r="AO10" i="1"/>
  <c r="G21" i="9" l="1"/>
  <c r="C35" i="9"/>
  <c r="C34" i="9" s="1"/>
  <c r="C102" i="86"/>
  <c r="C21" i="86"/>
  <c r="D22" i="86"/>
  <c r="G19" i="86"/>
  <c r="B3" i="34"/>
  <c r="C102" i="84"/>
  <c r="C21" i="84"/>
  <c r="D22" i="84"/>
  <c r="G19" i="84"/>
  <c r="B3" i="35"/>
  <c r="D103" i="8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4"/>
  <c r="C20" i="86"/>
  <c r="G21" i="84" l="1"/>
  <c r="D16" i="74"/>
  <c r="G21" i="86"/>
  <c r="D15" i="74"/>
  <c r="C103" i="86"/>
  <c r="G20" i="86"/>
  <c r="C32" i="86" s="1"/>
  <c r="C35" i="86" s="1"/>
  <c r="C34" i="86" s="1"/>
  <c r="C103" i="84"/>
  <c r="G20" i="84"/>
  <c r="C32" i="84" s="1"/>
  <c r="C35" i="84" s="1"/>
  <c r="C34" i="8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6" i="74" l="1"/>
  <c r="E16" i="74"/>
  <c r="F15" i="74"/>
  <c r="E15"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D45" i="86"/>
  <c r="M48" i="86"/>
  <c r="M49" i="86"/>
  <c r="D52" i="86"/>
  <c r="D53" i="86"/>
  <c r="M53" i="86"/>
  <c r="D54" i="86"/>
  <c r="M54" i="86"/>
  <c r="D55" i="86"/>
  <c r="M55" i="86"/>
  <c r="D56" i="86"/>
  <c r="N57" i="86"/>
  <c r="P57" i="86"/>
  <c r="D58" i="86"/>
  <c r="N58" i="86"/>
  <c r="D59" i="86"/>
  <c r="N59" i="86"/>
  <c r="N60" i="86"/>
  <c r="N61" i="86"/>
  <c r="C63" i="86"/>
  <c r="L63" i="86"/>
  <c r="M63" i="86"/>
  <c r="C64" i="86"/>
  <c r="L64" i="86"/>
  <c r="M64" i="86"/>
  <c r="L65" i="86"/>
  <c r="M65" i="86"/>
  <c r="L66" i="86"/>
  <c r="M66" i="86"/>
  <c r="C67" i="86"/>
  <c r="L67" i="86"/>
  <c r="M67" i="86"/>
  <c r="C68" i="86"/>
  <c r="L68" i="86"/>
  <c r="M68" i="86"/>
  <c r="M69" i="86"/>
  <c r="N69" i="86"/>
  <c r="C72" i="86"/>
  <c r="C73" i="86"/>
  <c r="C78" i="86"/>
  <c r="C79" i="86"/>
  <c r="C80" i="86"/>
  <c r="E80" i="86"/>
  <c r="C81" i="86"/>
  <c r="E81" i="86"/>
  <c r="C85" i="86"/>
  <c r="C86" i="86"/>
  <c r="C93" i="86"/>
  <c r="C95" i="86"/>
  <c r="C96" i="86"/>
  <c r="E96" i="86"/>
  <c r="C97" i="86"/>
  <c r="E97" i="86"/>
  <c r="H101" i="86"/>
  <c r="H102" i="86"/>
  <c r="C104" i="86"/>
  <c r="C105" i="86"/>
  <c r="H107" i="86"/>
  <c r="H108" i="86"/>
  <c r="D118" i="86"/>
  <c r="E118" i="86"/>
  <c r="F118" i="86"/>
  <c r="G118" i="86"/>
  <c r="H118" i="86"/>
  <c r="I118" i="86"/>
  <c r="D119" i="86"/>
  <c r="F119" i="86"/>
  <c r="H119" i="86"/>
  <c r="D122" i="86"/>
  <c r="D123" i="86"/>
  <c r="D45" i="84"/>
  <c r="M48" i="84"/>
  <c r="M49" i="84"/>
  <c r="D52" i="84"/>
  <c r="D53" i="84"/>
  <c r="M53" i="84"/>
  <c r="D54" i="84"/>
  <c r="M54" i="84"/>
  <c r="D55" i="84"/>
  <c r="M55" i="84"/>
  <c r="D56" i="84"/>
  <c r="N57" i="84"/>
  <c r="P57" i="84"/>
  <c r="D58" i="84"/>
  <c r="N58" i="84"/>
  <c r="D59" i="84"/>
  <c r="N59" i="84"/>
  <c r="N60" i="84"/>
  <c r="N61" i="84"/>
  <c r="C63" i="84"/>
  <c r="L63" i="84"/>
  <c r="M63" i="84"/>
  <c r="C64" i="84"/>
  <c r="L64" i="84"/>
  <c r="M64" i="84"/>
  <c r="L65" i="84"/>
  <c r="M65" i="84"/>
  <c r="L66" i="84"/>
  <c r="M66" i="84"/>
  <c r="C67" i="84"/>
  <c r="L67" i="84"/>
  <c r="M67" i="84"/>
  <c r="C68" i="84"/>
  <c r="L68" i="84"/>
  <c r="M68" i="84"/>
  <c r="M69" i="84"/>
  <c r="N69" i="84"/>
  <c r="C72" i="84"/>
  <c r="C73" i="84"/>
  <c r="C78" i="84"/>
  <c r="C79" i="84"/>
  <c r="C80" i="84"/>
  <c r="E80" i="84"/>
  <c r="C81" i="84"/>
  <c r="E81" i="84"/>
  <c r="C85" i="84"/>
  <c r="C86" i="84"/>
  <c r="C93" i="84"/>
  <c r="C95" i="84"/>
  <c r="C96" i="84"/>
  <c r="E96" i="84"/>
  <c r="C97" i="84"/>
  <c r="E97" i="84"/>
  <c r="H101" i="84"/>
  <c r="H102" i="84"/>
  <c r="C104" i="84"/>
  <c r="C105" i="84"/>
  <c r="H107" i="84"/>
  <c r="H108" i="84"/>
  <c r="D118" i="84"/>
  <c r="E118" i="84"/>
  <c r="F118" i="84"/>
  <c r="G118" i="84"/>
  <c r="H118" i="84"/>
  <c r="I118" i="84"/>
  <c r="D119" i="84"/>
  <c r="F119" i="84"/>
  <c r="H119" i="84"/>
  <c r="D122" i="84"/>
  <c r="D123" i="8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F60CD3B-1B81-40CE-B14B-35842EA0558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F313D8D-45C0-4A95-ABA2-D517D5CD067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6D563B3F-28F9-44D0-BA85-9362898D8C4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46F4784-4532-49AC-A574-4F9C7D219AE9}">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4E9017E-C7B4-4A0B-B8FA-3821EF24899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EA7AFF5-EEEC-43A6-8C20-78DC25072B3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1C900A8-4D0A-43F4-BCAE-E62255398922}">
      <text>
        <r>
          <rPr>
            <sz val="11"/>
            <color indexed="81"/>
            <rFont val="宋体"/>
            <family val="3"/>
            <charset val="134"/>
          </rPr>
          <t>需在下方列示计算过程</t>
        </r>
        <r>
          <rPr>
            <sz val="9"/>
            <color indexed="81"/>
            <rFont val="宋体"/>
            <family val="3"/>
            <charset val="134"/>
          </rPr>
          <t xml:space="preserve">
</t>
        </r>
      </text>
    </comment>
    <comment ref="H75" authorId="2" shapeId="0" xr:uid="{4A8B9EF4-F330-4ABE-909E-594CF48013D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23901B3-3834-44DB-B4AA-18358DAE6D0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74E8A9F-BE88-41C5-BF2B-E7BC0D39DA2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598F4BF-E00B-469E-BAF1-1A52DE37D74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985E6EE-0388-4E4F-AA3D-09224CB3AC8E}">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7C87386-0580-4D80-97D5-FAA97DD1DAC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9E177CE-5C93-45C3-AF34-195455E813F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B563EE5-FA44-43A1-9A13-8725C3D4F219}">
      <text>
        <r>
          <rPr>
            <sz val="11"/>
            <color indexed="81"/>
            <rFont val="宋体"/>
            <family val="3"/>
            <charset val="134"/>
          </rPr>
          <t>需在下方列示计算过程</t>
        </r>
        <r>
          <rPr>
            <sz val="9"/>
            <color indexed="81"/>
            <rFont val="宋体"/>
            <family val="3"/>
            <charset val="134"/>
          </rPr>
          <t xml:space="preserve">
</t>
        </r>
      </text>
    </comment>
    <comment ref="H75" authorId="2" shapeId="0" xr:uid="{CB2C6846-2B94-4530-AAED-DFAF6B0DED6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<sst xmlns="http://schemas.openxmlformats.org/spreadsheetml/2006/main" count="9449" uniqueCount="3483">
  <si>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</si>
  <si>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</si>
  <si>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</si>
  <si>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</si>
  <si>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</si>
  <si>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</si>
  <si>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</si>
  <si>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</si>
  <si>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</si>
  <si>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</si>
  <si>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</si>
  <si>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</si>
  <si>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</si>
  <si>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</si>
  <si>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</si>
  <si>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</si>
  <si>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</si>
  <si>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</si>
  <si>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</si>
  <si>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</si>
  <si>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</si>
  <si>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</si>
  <si>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</si>
  <si>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</si>
  <si>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</si>
  <si>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</si>
  <si>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</si>
  <si>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</si>
  <si>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</si>
  <si>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</si>
  <si>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</si>
  <si>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</si>
  <si>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</si>
  <si>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</si>
  <si>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</si>
  <si>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</si>
  <si>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</si>
  <si>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</si>
  <si>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</si>
  <si>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</si>
  <si>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</si>
  <si>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</si>
  <si>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</si>
  <si>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</si>
  <si>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</si>
  <si>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</si>
  <si>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</si>
  <si>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</si>
  <si>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</si>
  <si>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</si>
  <si>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</si>
  <si>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</si>
  <si>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</si>
  <si>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</si>
  <si>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</si>
  <si>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</si>
  <si>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</si>
  <si>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</si>
  <si>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</si>
  <si>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</si>
  <si>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</si>
  <si>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</si>
  <si>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</si>
  <si>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</si>
  <si>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</si>
  <si>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</si>
  <si>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</si>
  <si>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</si>
  <si>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</si>
  <si>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</si>
  <si>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</si>
  <si>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</si>
  <si>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</si>
  <si>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</si>
  <si>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</si>
  <si>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</si>
  <si>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</si>
  <si>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</si>
  <si>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</si>
  <si>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</si>
  <si>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</si>
  <si>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</si>
  <si>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</si>
  <si>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</si>
  <si>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</si>
  <si>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</si>
  <si>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</si>
  <si>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</si>
  <si>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</si>
  <si>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</si>
  <si>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</si>
  <si>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</si>
  <si>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</si>
  <si>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</si>
  <si>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</si>
  <si>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</si>
  <si>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</si>
  <si>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</si>
  <si>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</si>
  <si>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</si>
  <si>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</si>
  <si>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</si>
  <si>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</si>
  <si>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</si>
  <si>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</si>
  <si>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</si>
  <si>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</si>
  <si>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</si>
  <si>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</si>
  <si>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</si>
  <si>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</si>
  <si>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</si>
  <si>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</si>
  <si>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</si>
  <si>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</si>
  <si>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</si>
  <si>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</si>
  <si>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</si>
  <si>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</si>
  <si>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</si>
  <si>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</si>
  <si>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</si>
  <si>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</si>
  <si>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</si>
  <si>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</si>
  <si>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</si>
  <si>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</si>
  <si>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</si>
  <si>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</si>
  <si>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</si>
  <si>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</si>
  <si>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</si>
  <si>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</si>
  <si>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</si>
  <si>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</si>
  <si>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</si>
  <si>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</si>
  <si>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</si>
  <si>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</si>
  <si>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</si>
  <si>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</si>
  <si>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</si>
  <si>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</si>
  <si>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</si>
  <si>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</si>
  <si>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</si>
  <si>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</si>
  <si>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</si>
  <si>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</si>
  <si>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</si>
  <si>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</si>
  <si>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</si>
  <si>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</si>
  <si>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</si>
  <si>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</si>
  <si>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</si>
  <si>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</si>
  <si>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</si>
  <si>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</si>
  <si>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</si>
  <si>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</si>
  <si>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</si>
  <si>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</si>
  <si>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</si>
  <si>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</si>
  <si>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</si>
  <si>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</si>
  <si>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</si>
  <si>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</si>
  <si>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</si>
  <si>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</si>
  <si>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</si>
  <si>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</si>
  <si>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</si>
  <si>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</si>
  <si>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</si>
  <si>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</si>
  <si>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</si>
  <si>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</si>
  <si>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</si>
  <si>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</si>
  <si>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</si>
  <si>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</si>
  <si>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</si>
  <si>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</si>
  <si>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</si>
  <si>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</si>
  <si>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</si>
  <si>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</si>
  <si>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</si>
  <si>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</si>
  <si>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</si>
  <si>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</si>
  <si>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</si>
  <si>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</si>
  <si>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</si>
  <si>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</si>
  <si>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</si>
  <si>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</si>
  <si>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</si>
  <si>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</si>
  <si>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</si>
  <si>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</si>
  <si>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</si>
  <si>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</si>
  <si>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</si>
  <si>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</si>
  <si>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</si>
  <si>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</si>
  <si>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</si>
  <si>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</si>
  <si>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</si>
  <si>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</si>
  <si>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</si>
  <si>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</si>
  <si>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</si>
  <si>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</si>
  <si>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</si>
  <si>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</si>
  <si>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</si>
  <si>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</si>
  <si>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</si>
  <si>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</si>
  <si>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</si>
  <si>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</si>
  <si>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</si>
  <si>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</si>
  <si>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</si>
  <si>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</si>
  <si>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</si>
  <si>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</si>
  <si>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</si>
  <si>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</si>
  <si>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</si>
  <si>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</si>
  <si>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</si>
  <si>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</si>
  <si>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</si>
  <si>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</si>
  <si>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</si>
  <si>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</si>
  <si>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</si>
  <si>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</si>
  <si>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</si>
  <si>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</si>
  <si>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</si>
  <si>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</si>
  <si>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</si>
  <si>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</si>
  <si>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</si>
  <si>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</si>
  <si>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</si>
  <si>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</si>
  <si>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</si>
  <si>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</si>
  <si>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</si>
  <si>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</si>
  <si>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</si>
  <si>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</si>
  <si>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</si>
  <si>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</si>
  <si>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</si>
  <si>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</si>
  <si>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</si>
  <si>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</si>
  <si>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</si>
  <si>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</si>
  <si>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</si>
  <si>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</si>
  <si>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</si>
  <si>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</si>
  <si>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</si>
  <si>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</si>
  <si>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</si>
  <si>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</si>
  <si>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</si>
  <si>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</si>
  <si>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</si>
  <si>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</si>
  <si>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</si>
  <si>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</si>
  <si>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</si>
  <si>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</si>
  <si>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</si>
  <si>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</si>
  <si>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</si>
  <si>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</si>
  <si>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</si>
  <si>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</si>
  <si>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</si>
  <si>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</si>
  <si>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</si>
  <si>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</si>
  <si>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</si>
  <si>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</si>
  <si>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</si>
  <si>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</si>
  <si>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</si>
  <si>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</si>
  <si>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</si>
  <si>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</si>
  <si>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</si>
  <si>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</si>
  <si>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</si>
  <si>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</si>
  <si>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</si>
  <si>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</si>
  <si>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</si>
  <si>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</si>
  <si>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</si>
  <si>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</si>
  <si>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</si>
  <si>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</si>
  <si>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</si>
  <si>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</si>
  <si>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</si>
  <si>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</si>
  <si>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</si>
  <si>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</si>
  <si>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</si>
  <si>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</si>
  <si>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</si>
  <si>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</si>
  <si>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</si>
  <si>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</si>
  <si>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</si>
  <si>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</si>
  <si>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</si>
  <si>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</si>
  <si>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</si>
  <si>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</si>
  <si>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</si>
  <si>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</si>
  <si>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</si>
  <si>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</si>
  <si>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</si>
  <si>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</si>
  <si>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</si>
  <si>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</si>
  <si>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</si>
  <si>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</si>
  <si>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</si>
  <si>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</si>
  <si>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</si>
  <si>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</si>
  <si>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</si>
  <si>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</si>
  <si>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</si>
  <si>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</si>
  <si>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</si>
  <si>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</si>
  <si>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</si>
  <si>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</si>
  <si>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</si>
  <si>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</si>
  <si>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</si>
  <si>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</si>
  <si>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</si>
  <si>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</si>
  <si>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</si>
  <si>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</si>
  <si>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</si>
  <si>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</si>
  <si>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</si>
  <si>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</si>
  <si>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</si>
  <si>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</si>
  <si>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</si>
  <si>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</si>
  <si>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</si>
  <si>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</si>
  <si>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</si>
  <si>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</si>
  <si>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</si>
  <si>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</si>
  <si>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</si>
  <si>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</si>
  <si>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</si>
  <si>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</si>
  <si>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</si>
  <si>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</si>
  <si>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</si>
  <si>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</si>
  <si>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</si>
  <si>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</si>
  <si>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</si>
  <si>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</si>
  <si>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</si>
  <si>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</si>
  <si>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</si>
  <si>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</si>
  <si>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</si>
  <si>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</si>
  <si>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</si>
  <si>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</si>
  <si>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</si>
  <si>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</si>
  <si>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</si>
  <si>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</si>
  <si>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</si>
  <si>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</si>
  <si>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</si>
  <si>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</si>
  <si>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</si>
  <si>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</si>
  <si>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</si>
  <si>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</si>
  <si>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</si>
  <si>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</si>
  <si>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</si>
  <si>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</si>
  <si>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</si>
  <si>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</si>
  <si>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</si>
  <si>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</si>
  <si>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</si>
  <si>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</si>
  <si>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</si>
  <si>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</si>
  <si>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</si>
  <si>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</si>
  <si>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</si>
  <si>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</si>
  <si>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</si>
  <si>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</si>
  <si>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</si>
  <si>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</si>
  <si>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</si>
  <si>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</si>
  <si>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</si>
  <si>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</si>
  <si>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</si>
  <si>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</si>
  <si>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</si>
  <si>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</si>
  <si>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</si>
  <si>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</si>
  <si>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</si>
  <si>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</si>
  <si>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</si>
  <si>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</si>
  <si>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</si>
  <si>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</si>
  <si>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</si>
  <si>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</si>
  <si>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</si>
  <si>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</si>
  <si>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</si>
  <si>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</si>
  <si>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</si>
  <si>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</si>
  <si>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</si>
  <si>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</si>
  <si>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</si>
  <si>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</si>
  <si>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</si>
  <si>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</si>
  <si>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</si>
  <si>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</si>
  <si>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</si>
  <si>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</si>
  <si>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</si>
  <si>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</si>
  <si>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</si>
  <si>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</si>
  <si>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</si>
  <si>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</si>
  <si>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</si>
  <si>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</si>
  <si>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</si>
  <si>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</si>
  <si>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</si>
  <si>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</si>
  <si>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</si>
  <si>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</si>
  <si>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</si>
  <si>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</si>
  <si>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</si>
  <si>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</si>
  <si>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</si>
  <si>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</si>
  <si>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</si>
  <si>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</si>
  <si>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</si>
  <si>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</si>
  <si>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</si>
  <si>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</si>
  <si>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</si>
  <si>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</si>
  <si>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</si>
  <si>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</si>
  <si>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</si>
  <si>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</si>
  <si>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</si>
  <si>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</si>
  <si>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</si>
  <si>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</si>
  <si>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</si>
  <si>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</si>
  <si>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</si>
  <si>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</si>
  <si>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</si>
  <si>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</si>
  <si>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</si>
  <si>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</si>
  <si>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</si>
  <si>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</si>
  <si>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</si>
  <si>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</si>
  <si>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</si>
  <si>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</si>
  <si>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</si>
  <si>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</si>
  <si>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</si>
  <si>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</si>
  <si>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</si>
  <si>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</si>
  <si>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</si>
  <si>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</si>
  <si>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</si>
  <si>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</si>
  <si>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</si>
  <si>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</si>
  <si>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</si>
  <si>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</si>
  <si>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</si>
  <si>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</si>
  <si>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</si>
  <si>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</si>
  <si>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</si>
  <si>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</si>
  <si>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</si>
  <si>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</si>
  <si>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</si>
  <si>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</si>
  <si>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</si>
  <si>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</si>
  <si>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</si>
  <si>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</si>
  <si>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</si>
  <si>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</si>
  <si>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</si>
  <si>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</si>
  <si>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</si>
  <si>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</si>
  <si>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</si>
  <si>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</si>
  <si>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</si>
  <si>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</si>
  <si>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</si>
  <si>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</si>
  <si>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</si>
  <si>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</si>
  <si>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</si>
  <si>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</si>
  <si>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</si>
  <si>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</si>
  <si>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</si>
  <si>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</si>
  <si>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</si>
  <si>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</si>
  <si>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</si>
  <si>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</si>
  <si>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</si>
  <si>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</si>
  <si>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</si>
  <si>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</si>
  <si>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</si>
  <si>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</si>
  <si>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</si>
  <si>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</si>
  <si>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</si>
  <si>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</si>
  <si>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</si>
  <si>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</si>
  <si>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</si>
  <si>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</si>
  <si>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</si>
  <si>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</si>
  <si>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</si>
  <si>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</si>
  <si>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</si>
  <si>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</si>
  <si>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</si>
  <si>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</si>
  <si>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</si>
  <si>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</si>
  <si>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</si>
  <si>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</si>
  <si>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</si>
  <si>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</si>
  <si>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</si>
  <si>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</si>
  <si>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</si>
  <si>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</si>
  <si>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</si>
  <si>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</si>
  <si>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</si>
  <si>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</si>
  <si>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</si>
  <si>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</si>
  <si>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</si>
  <si>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</si>
  <si>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</si>
  <si>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</si>
  <si>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</si>
  <si>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</si>
  <si>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</si>
  <si>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</si>
  <si>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</si>
  <si>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</si>
  <si>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</si>
  <si>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</si>
  <si>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</si>
  <si>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</si>
  <si>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</si>
  <si>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</si>
  <si>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</si>
  <si>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</si>
  <si>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</si>
  <si>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</si>
  <si>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</si>
  <si>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</si>
  <si>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</si>
  <si>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</si>
  <si>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</si>
  <si>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</si>
  <si>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</si>
  <si>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</si>
  <si>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</si>
  <si>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</si>
  <si>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</si>
  <si>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</si>
  <si>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</si>
  <si>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</si>
  <si>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</si>
  <si>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</si>
  <si>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</si>
  <si>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</si>
  <si>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</si>
  <si>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</si>
  <si>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</si>
  <si>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</si>
  <si>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</si>
  <si>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</si>
  <si>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</si>
  <si>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</si>
  <si>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</si>
  <si>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</si>
  <si>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</si>
  <si>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</si>
  <si>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</si>
  <si>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</si>
  <si>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</si>
  <si>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</si>
  <si>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</si>
  <si>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</si>
  <si>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</si>
  <si>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</si>
  <si>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</si>
  <si>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</si>
  <si>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</si>
  <si>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</si>
  <si>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</si>
  <si>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</si>
  <si>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</si>
  <si>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</si>
  <si>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</si>
  <si>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</si>
  <si>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</si>
  <si>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</si>
  <si>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</si>
  <si>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</si>
  <si>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</si>
  <si>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</si>
  <si>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</si>
  <si>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</si>
  <si>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</si>
  <si>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</si>
  <si>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</si>
  <si>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</si>
  <si>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</si>
  <si>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</si>
  <si>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</si>
  <si>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</si>
  <si>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</si>
  <si>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</si>
  <si>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</si>
  <si>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</si>
  <si>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</si>
  <si>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</si>
  <si>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</si>
  <si>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</si>
  <si>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</si>
  <si>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</si>
  <si>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</si>
  <si>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</si>
  <si>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</si>
  <si>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</si>
  <si>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</si>
  <si>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</si>
  <si>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</si>
  <si>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</si>
  <si>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</si>
  <si>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</si>
  <si>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</si>
  <si>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</si>
  <si>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</si>
  <si>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</si>
  <si>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</si>
  <si>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</si>
  <si>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</si>
  <si>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</si>
  <si>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</si>
  <si>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</si>
  <si>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</si>
  <si>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</si>
  <si>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</si>
  <si>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</si>
  <si>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</si>
  <si>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</si>
  <si>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</si>
  <si>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</si>
  <si>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</si>
  <si>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</si>
  <si>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</si>
  <si>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</si>
  <si>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</si>
  <si>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</si>
  <si>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</si>
  <si>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</si>
  <si>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</si>
  <si>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</si>
  <si>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</si>
  <si>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</si>
  <si>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</si>
  <si>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</si>
  <si>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</si>
  <si>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</si>
  <si>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</si>
  <si>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</si>
  <si>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</si>
  <si>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</si>
  <si>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</si>
  <si>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</si>
  <si>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</si>
  <si>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</si>
  <si>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</si>
  <si>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</si>
  <si>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</si>
  <si>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</si>
  <si>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</si>
  <si>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</si>
  <si>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</si>
  <si>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</si>
  <si>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</si>
  <si>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</si>
  <si>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</si>
  <si>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</si>
  <si>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</si>
  <si>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</si>
  <si>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</si>
  <si>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</si>
  <si>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</si>
  <si>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</si>
  <si>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</si>
  <si>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</si>
  <si>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</si>
  <si>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</si>
  <si>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</si>
  <si>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</si>
  <si>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</si>
  <si>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</si>
  <si>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</si>
  <si>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</si>
  <si>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</si>
  <si>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</si>
  <si>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</si>
  <si>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</si>
  <si>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</si>
  <si>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</si>
  <si>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</si>
  <si>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</si>
  <si>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</si>
  <si>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</si>
  <si>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</si>
  <si>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</si>
  <si>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</si>
  <si>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</si>
  <si>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</si>
  <si>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</si>
  <si>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</si>
  <si>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</si>
  <si>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</si>
  <si>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</si>
  <si>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</si>
  <si>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</si>
  <si>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</si>
  <si>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</si>
  <si>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</si>
  <si>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</si>
  <si>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</si>
  <si>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</si>
  <si>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</si>
  <si>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</si>
  <si>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</si>
  <si>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</si>
  <si>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</si>
  <si>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</si>
  <si>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</si>
  <si>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</si>
  <si>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</si>
  <si>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</si>
  <si>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</si>
  <si>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</si>
  <si>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</si>
  <si>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</si>
  <si>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</si>
  <si>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</si>
  <si>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</si>
  <si>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</si>
  <si>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</si>
  <si>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</si>
  <si>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</si>
  <si>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</si>
  <si>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</si>
  <si>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</si>
  <si>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</si>
  <si>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</si>
  <si>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</si>
  <si>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</si>
  <si>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</si>
  <si>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</si>
  <si>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</si>
  <si>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</si>
  <si>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</si>
  <si>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</si>
  <si>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</si>
  <si>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</si>
  <si>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</si>
  <si>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</si>
  <si>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</si>
  <si>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</si>
  <si>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</si>
  <si>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</si>
  <si>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</si>
  <si>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</si>
  <si>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</si>
  <si>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</si>
  <si>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</si>
  <si>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</si>
  <si>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</si>
  <si>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</si>
  <si>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</si>
  <si>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</si>
  <si>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</si>
  <si>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</si>
  <si>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</si>
  <si>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</si>
  <si>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</si>
  <si>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</si>
  <si>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</si>
  <si>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</si>
  <si>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</si>
  <si>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</si>
  <si>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</si>
  <si>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</si>
  <si>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</si>
  <si>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</si>
  <si>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</si>
  <si>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</si>
  <si>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</si>
  <si>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</si>
  <si>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</si>
  <si>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</si>
  <si>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</si>
  <si>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</si>
  <si>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</si>
  <si>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</si>
  <si>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</si>
  <si>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</si>
  <si>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</si>
  <si>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</si>
  <si>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</si>
  <si>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</si>
  <si>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</si>
  <si>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</si>
  <si>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</si>
  <si>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</si>
  <si>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</si>
  <si>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</si>
  <si>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</si>
  <si>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</si>
  <si>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</si>
  <si>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</si>
  <si>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</si>
  <si>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</si>
  <si>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</si>
  <si>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</si>
  <si>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</si>
  <si>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</si>
  <si>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</si>
  <si>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</si>
  <si>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</si>
  <si>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</si>
  <si>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</si>
  <si>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</si>
  <si>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</si>
  <si>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</si>
  <si>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</si>
  <si>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</si>
  <si>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</si>
  <si>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</si>
  <si>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</si>
  <si>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</si>
  <si>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</si>
  <si>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</si>
  <si>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</si>
  <si>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</si>
  <si>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</si>
  <si>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</si>
  <si>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</si>
  <si>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</si>
  <si>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</si>
  <si>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</si>
  <si>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</si>
  <si>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</si>
  <si>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</si>
  <si>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</si>
  <si>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</si>
  <si>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</si>
  <si>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</si>
  <si>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</si>
  <si>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</si>
  <si>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</si>
  <si>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</si>
  <si>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</si>
  <si>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</si>
  <si>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</si>
  <si>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</si>
  <si>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</si>
  <si>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</si>
  <si>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</si>
  <si>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</si>
  <si>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</si>
  <si>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</si>
  <si>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</si>
  <si>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</si>
  <si>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</si>
  <si>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</si>
  <si>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</si>
  <si>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</si>
  <si>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</si>
  <si>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</si>
  <si>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</si>
  <si>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</si>
  <si>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</si>
  <si>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</si>
  <si>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</si>
  <si>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</si>
  <si>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</si>
  <si>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</si>
  <si>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</si>
  <si>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</si>
  <si>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</si>
  <si>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</si>
  <si>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</si>
  <si>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</si>
  <si>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</si>
  <si>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</si>
  <si>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</si>
  <si>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</si>
  <si>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</si>
  <si>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</si>
  <si>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</si>
  <si>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</si>
  <si>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</si>
  <si>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</si>
  <si>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</si>
  <si>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</si>
  <si>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</si>
  <si>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</si>
  <si>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</si>
  <si>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</si>
  <si>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</si>
  <si>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</si>
  <si>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</si>
  <si>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</si>
  <si>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</si>
  <si>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</si>
  <si>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</si>
  <si>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</si>
  <si>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</si>
  <si>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</si>
  <si>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</si>
  <si>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</si>
  <si>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</si>
  <si>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</si>
  <si>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</si>
  <si>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</si>
  <si>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</si>
  <si>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</si>
  <si>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</si>
  <si>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</si>
  <si>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</si>
  <si>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</si>
  <si>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</si>
  <si>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</si>
  <si>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</si>
  <si>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</si>
  <si>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</si>
  <si>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</si>
  <si>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</si>
  <si>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</si>
  <si>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</si>
  <si>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</si>
  <si>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</si>
  <si>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</si>
  <si>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</si>
  <si>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</si>
  <si>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</si>
  <si>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</si>
  <si>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</si>
  <si>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</si>
  <si>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</si>
  <si>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</si>
  <si>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</si>
  <si>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</si>
  <si>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</si>
  <si>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</si>
  <si>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</si>
  <si>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</si>
  <si>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</si>
  <si>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</si>
  <si>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</si>
  <si>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</si>
  <si>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</si>
  <si>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</si>
  <si>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</si>
  <si>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</si>
  <si>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</si>
  <si>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</si>
  <si>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</si>
  <si>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</si>
  <si>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</si>
  <si>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</si>
  <si>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</si>
  <si>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</si>
  <si>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</si>
  <si>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</si>
  <si>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</si>
  <si>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</si>
  <si>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</si>
  <si>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</si>
  <si>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</si>
  <si>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</si>
  <si>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</si>
  <si>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</si>
  <si>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</si>
  <si>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</si>
  <si>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</si>
  <si>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</si>
  <si>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</si>
  <si>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</si>
  <si>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</si>
  <si>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</si>
  <si>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</si>
  <si>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</si>
  <si>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</si>
  <si>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</si>
  <si>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</si>
  <si>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</si>
  <si>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</si>
  <si>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</si>
  <si>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</si>
  <si>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</si>
  <si>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</si>
  <si>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</si>
  <si>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</si>
  <si>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</si>
  <si>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</si>
  <si>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</si>
  <si>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</si>
  <si>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</si>
  <si>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</si>
  <si>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</si>
  <si>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</si>
  <si>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</si>
  <si>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</si>
  <si>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</si>
  <si>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</si>
  <si>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</si>
  <si>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</si>
  <si>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</si>
  <si>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</si>
  <si>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</si>
  <si>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</si>
  <si>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</si>
  <si>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</si>
  <si>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</si>
  <si>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</si>
  <si>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</si>
  <si>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</si>
  <si>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</si>
  <si>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</si>
  <si>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</si>
  <si>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</si>
  <si>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</si>
  <si>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</si>
  <si>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</si>
  <si>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</si>
  <si>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</si>
  <si>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</si>
  <si>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</si>
  <si>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</si>
  <si>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</si>
  <si>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</si>
  <si>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</si>
  <si>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</si>
  <si>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</si>
  <si>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</si>
  <si>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</si>
  <si>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</si>
  <si>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</si>
  <si>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</si>
  <si>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</si>
  <si>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</si>
  <si>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</si>
  <si>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</si>
  <si>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</si>
  <si>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</si>
  <si>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</si>
  <si>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</si>
  <si>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</si>
  <si>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</si>
  <si>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</si>
  <si>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</si>
  <si>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</si>
  <si>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</si>
  <si>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</si>
  <si>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</si>
  <si>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</si>
  <si>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</si>
  <si>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</si>
  <si>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</si>
  <si>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</si>
  <si>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</si>
  <si>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</si>
  <si>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</si>
  <si>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</si>
  <si>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</si>
  <si>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</si>
  <si>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</si>
  <si>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</si>
  <si>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</si>
  <si>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</si>
  <si>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</si>
  <si>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</si>
  <si>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</si>
  <si>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</si>
  <si>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</si>
  <si>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</si>
  <si>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</si>
  <si>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</si>
  <si>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</si>
  <si>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</si>
  <si>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</si>
  <si>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</si>
  <si>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</si>
  <si>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</si>
  <si>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</si>
  <si>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</si>
  <si>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</si>
  <si>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</si>
  <si>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</si>
  <si>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</si>
  <si>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</si>
  <si>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</si>
  <si>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</si>
  <si>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</si>
  <si>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</si>
  <si>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</si>
  <si>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</si>
  <si>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</si>
  <si>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</si>
  <si>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</si>
  <si>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</si>
  <si>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</si>
  <si>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</si>
  <si>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</si>
  <si>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</si>
  <si>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</si>
  <si>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</si>
  <si>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</si>
  <si>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</si>
  <si>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</si>
  <si>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</si>
  <si>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</si>
  <si>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</si>
  <si>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</si>
  <si>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</si>
  <si>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</si>
  <si>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</si>
  <si>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</si>
  <si>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</si>
  <si>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</si>
  <si>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</si>
  <si>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</si>
  <si>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</si>
  <si>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</si>
  <si>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</si>
  <si>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</si>
  <si>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</si>
  <si>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</si>
  <si>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</si>
  <si>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</si>
  <si>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</si>
  <si>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</si>
  <si>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</si>
  <si>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</si>
  <si>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</si>
  <si>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</si>
  <si>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</si>
  <si>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</si>
  <si>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</si>
  <si>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</si>
  <si>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</si>
  <si>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</si>
  <si>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</si>
  <si>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</si>
  <si>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</si>
  <si>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</si>
  <si>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</si>
  <si>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</si>
  <si>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</si>
  <si>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</si>
  <si>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</si>
  <si>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</si>
  <si>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</si>
  <si>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</si>
  <si>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</si>
  <si>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</si>
  <si>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</si>
  <si>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</si>
  <si>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</si>
  <si>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</si>
  <si>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</si>
  <si>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</si>
  <si>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</si>
  <si>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</si>
  <si>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</si>
  <si>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</si>
  <si>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</si>
  <si>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</si>
  <si>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</si>
  <si>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</si>
  <si>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</si>
  <si>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</si>
  <si>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</si>
  <si>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</si>
  <si>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</si>
  <si>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</si>
  <si>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</si>
  <si>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</si>
  <si>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</si>
  <si>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</si>
  <si>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</si>
  <si>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</si>
  <si>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</si>
  <si>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</si>
  <si>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</si>
  <si>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</si>
  <si>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</si>
  <si>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</si>
  <si>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</si>
  <si>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</si>
  <si>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</si>
  <si>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</si>
  <si>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</si>
  <si>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</si>
  <si>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</si>
  <si>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</si>
  <si>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</si>
  <si>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</si>
  <si>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</si>
  <si>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</si>
  <si>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</si>
  <si>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</si>
  <si>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</si>
  <si>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</si>
  <si>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</si>
  <si>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</si>
  <si>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</si>
  <si>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</si>
  <si>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</si>
  <si>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</si>
  <si>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</si>
  <si>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</si>
  <si>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</si>
  <si>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</si>
  <si>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</si>
  <si>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</si>
  <si>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</si>
  <si>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</si>
  <si>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</si>
  <si>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</si>
  <si>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</si>
  <si>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</si>
  <si>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</si>
  <si>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</si>
  <si>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</si>
  <si>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</si>
  <si>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</si>
  <si>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</si>
  <si>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</si>
  <si>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</si>
  <si>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</si>
  <si>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</si>
  <si>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</si>
  <si>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</si>
  <si>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</si>
  <si>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</si>
  <si>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</si>
  <si>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</si>
  <si>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</si>
  <si>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</si>
  <si>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</si>
  <si>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</si>
  <si>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</si>
  <si>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</si>
  <si>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</si>
  <si>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</si>
  <si>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</si>
  <si>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</si>
  <si>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</si>
  <si>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</si>
  <si>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</si>
  <si>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</si>
  <si>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</si>
  <si>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</si>
  <si>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</si>
  <si>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</si>
  <si>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</si>
  <si>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</si>
  <si>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</si>
  <si>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</si>
  <si>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</si>
  <si>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</si>
  <si>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</si>
  <si>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</si>
  <si>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</si>
  <si>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</si>
  <si>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</si>
  <si>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</si>
  <si>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</si>
  <si>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</si>
  <si>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</si>
  <si>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</si>
  <si>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</si>
  <si>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</si>
  <si>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</si>
  <si>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</si>
  <si>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</si>
  <si>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</si>
  <si>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</si>
  <si>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</si>
  <si>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</si>
  <si>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</si>
  <si>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</si>
  <si>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</si>
  <si>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</si>
  <si>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</si>
  <si>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</si>
  <si>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</si>
  <si>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</si>
  <si>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</si>
  <si>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</si>
  <si>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</si>
  <si>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</si>
  <si>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</si>
  <si>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</si>
  <si>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</si>
  <si>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</si>
  <si>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</si>
  <si>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</si>
  <si>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</si>
  <si>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</si>
  <si>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</si>
  <si>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</si>
  <si>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</si>
  <si>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</si>
  <si>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</si>
  <si>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</si>
  <si>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</si>
  <si>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</si>
  <si>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</si>
  <si>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</si>
  <si>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</si>
  <si>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</si>
  <si>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</si>
  <si>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</si>
  <si>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</si>
  <si>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</si>
  <si>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</si>
  <si>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</si>
  <si>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</si>
  <si>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</si>
  <si>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</si>
  <si>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</si>
  <si>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</si>
  <si>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</si>
  <si>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</si>
  <si>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</si>
  <si>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</si>
  <si>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</si>
  <si>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</si>
  <si>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</si>
  <si>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</si>
  <si>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</si>
  <si>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</si>
  <si>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</si>
  <si>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</si>
  <si>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</si>
  <si>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</si>
  <si>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</si>
  <si>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</si>
  <si>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</si>
  <si>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</si>
  <si>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</si>
  <si>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</si>
  <si>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</si>
  <si>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</si>
  <si>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</si>
  <si>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</si>
  <si>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</si>
  <si>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</si>
  <si>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</si>
  <si>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</si>
  <si>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</si>
  <si>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</si>
  <si>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</si>
  <si>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</si>
  <si>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</si>
  <si>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</si>
  <si>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</si>
  <si>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</si>
  <si>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</si>
  <si>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</si>
  <si>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</si>
  <si>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</si>
  <si>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</si>
  <si>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</si>
  <si>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</si>
  <si>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</si>
  <si>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</si>
  <si>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</si>
  <si>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</si>
  <si>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</si>
  <si>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</si>
  <si>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</si>
  <si>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</si>
  <si>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</si>
  <si>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</si>
  <si>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</si>
  <si>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</si>
  <si>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</si>
  <si>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</si>
  <si>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</si>
  <si>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</si>
  <si>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</si>
  <si>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</si>
  <si>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</si>
  <si>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</si>
  <si>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</si>
  <si>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</si>
  <si>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</si>
  <si>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</si>
  <si>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</si>
  <si>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</si>
  <si>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</si>
  <si>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</si>
  <si>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</si>
  <si>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</si>
  <si>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</si>
  <si>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</si>
  <si>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</si>
  <si>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</si>
  <si>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</si>
  <si>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</si>
  <si>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</si>
  <si>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</si>
  <si>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</si>
  <si>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</si>
  <si>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</si>
  <si>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</si>
  <si>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</si>
  <si>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</si>
  <si>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</si>
  <si>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</si>
  <si>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</si>
  <si>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</si>
  <si>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</si>
  <si>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</si>
  <si>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</si>
  <si>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</si>
  <si>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</si>
  <si>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</si>
  <si>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</si>
  <si>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</si>
  <si>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</si>
  <si>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</si>
  <si>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</si>
  <si>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</si>
  <si>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</si>
  <si>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</si>
  <si>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</si>
  <si>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</si>
  <si>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</si>
  <si>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</si>
  <si>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</si>
  <si>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</si>
  <si>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</si>
  <si>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</si>
  <si>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</si>
  <si>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</si>
  <si>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</si>
  <si>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</si>
  <si>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</si>
  <si>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</si>
  <si>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</si>
  <si>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</si>
  <si>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</si>
  <si>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</si>
  <si>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</si>
  <si>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</si>
  <si>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</si>
  <si>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</si>
  <si>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</si>
  <si>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</si>
  <si>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</si>
  <si>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</si>
  <si>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</si>
  <si>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</si>
  <si>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</si>
  <si>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</si>
  <si>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</si>
  <si>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</si>
  <si>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</si>
  <si>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</si>
  <si>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</si>
  <si>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</si>
  <si>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</si>
  <si>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</si>
  <si>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</si>
  <si>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</si>
  <si>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</si>
  <si>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</si>
  <si>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</si>
  <si>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</si>
  <si>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</si>
  <si>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</si>
  <si>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</si>
  <si>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</si>
  <si>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</si>
  <si>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</si>
  <si>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</si>
  <si>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</si>
  <si>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</si>
  <si>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</si>
  <si>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</si>
  <si>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</si>
  <si>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</si>
  <si>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</si>
  <si>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</si>
  <si>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</si>
  <si>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</si>
  <si>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</si>
  <si>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</si>
  <si>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</si>
  <si>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</si>
  <si>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</si>
  <si>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</si>
  <si>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</si>
  <si>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</si>
  <si>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</si>
  <si>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</si>
  <si>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</si>
  <si>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</si>
  <si>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</si>
  <si>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</si>
  <si>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</si>
  <si>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</si>
  <si>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</si>
  <si>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</si>
  <si>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</si>
  <si>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</si>
  <si>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</si>
  <si>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</si>
  <si>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</si>
  <si>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</si>
  <si>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</si>
  <si>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</si>
  <si>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</si>
  <si>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</si>
  <si>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</si>
  <si>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</si>
  <si>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</si>
  <si>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</si>
  <si>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</si>
  <si>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</si>
  <si>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</si>
  <si>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</si>
  <si>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</si>
  <si>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</si>
  <si>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</si>
  <si>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</si>
  <si>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</si>
  <si>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</si>
  <si>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</si>
  <si>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</si>
  <si>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</si>
  <si>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</si>
  <si>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</si>
  <si>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</si>
  <si>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</si>
  <si>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</si>
  <si>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</si>
  <si>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</si>
  <si>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</si>
  <si>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</si>
  <si>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</si>
  <si>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</si>
  <si>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</si>
  <si>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</si>
  <si>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</si>
  <si>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</si>
  <si>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</si>
  <si>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</si>
  <si>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</si>
  <si>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</si>
  <si>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</si>
  <si>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</si>
  <si>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</si>
  <si>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</si>
  <si>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</si>
  <si>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</si>
  <si>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</si>
  <si>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</si>
  <si>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</si>
  <si>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</si>
  <si>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</si>
  <si>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</si>
  <si>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</si>
  <si>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</si>
  <si>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</si>
  <si>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</si>
  <si>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</si>
  <si>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</si>
  <si>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</si>
  <si>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</si>
  <si>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</si>
  <si>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</si>
  <si>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</si>
  <si>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</si>
  <si>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</si>
  <si>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</si>
  <si>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</si>
  <si>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</si>
  <si>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</si>
  <si>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</si>
  <si>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</si>
  <si>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</si>
  <si>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</si>
  <si>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</si>
  <si>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</si>
  <si>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</si>
  <si>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</si>
  <si>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</si>
  <si>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</si>
  <si>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</si>
  <si>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</si>
  <si>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</si>
  <si>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</si>
  <si>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</si>
  <si>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</si>
  <si>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</si>
  <si>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</si>
  <si>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</si>
  <si>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</si>
  <si>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</si>
  <si>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</si>
  <si>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</si>
  <si>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</si>
  <si>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</si>
  <si>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</si>
  <si>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</si>
  <si>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</si>
  <si>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</si>
  <si>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</si>
  <si>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</si>
  <si>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</si>
  <si>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</si>
  <si>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</si>
  <si>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</si>
  <si>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</si>
  <si>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</si>
  <si>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</si>
  <si>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</si>
  <si>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</si>
  <si>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</si>
  <si>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</si>
  <si>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</si>
  <si>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</si>
  <si>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</si>
  <si>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</si>
  <si>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</si>
  <si>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</si>
  <si>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</si>
  <si>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</si>
  <si>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</si>
  <si>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</si>
  <si>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</si>
  <si>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</si>
  <si>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</si>
  <si>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</si>
  <si>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</si>
  <si>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</si>
  <si>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</si>
  <si>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</si>
  <si>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</si>
  <si>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</si>
  <si>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</si>
  <si>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</si>
  <si>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</si>
  <si>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</si>
  <si>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</si>
  <si>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</si>
  <si>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</si>
  <si>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</si>
  <si>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</si>
  <si>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</si>
  <si>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</si>
  <si>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</si>
  <si>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</si>
  <si>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</si>
  <si>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</si>
  <si>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</si>
  <si>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</si>
  <si>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</si>
  <si>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</si>
  <si>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</si>
  <si>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</si>
  <si>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</si>
  <si>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</si>
  <si>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</si>
  <si>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</si>
  <si>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</si>
  <si>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</si>
  <si>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</si>
  <si>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</si>
  <si>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</si>
  <si>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</si>
  <si>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</si>
  <si>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</si>
  <si>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</si>
  <si>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</si>
  <si>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</si>
  <si>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</si>
  <si>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</si>
  <si>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</si>
  <si>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</si>
  <si>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</si>
  <si>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</si>
  <si>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</si>
  <si>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</si>
  <si>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</si>
  <si>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</si>
  <si>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</si>
  <si>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</si>
  <si>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</si>
  <si>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</si>
  <si>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</si>
  <si>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</si>
  <si>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</si>
  <si>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</si>
  <si>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</si>
  <si>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</si>
  <si>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</si>
  <si>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</si>
  <si>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</si>
  <si>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</si>
  <si>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</si>
  <si>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</si>
  <si>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</si>
  <si>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</si>
  <si>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</si>
  <si>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</si>
  <si>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</si>
  <si>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</si>
  <si>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</si>
  <si>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</si>
  <si>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</si>
  <si>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</si>
  <si>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</si>
  <si>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</si>
  <si>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</si>
  <si>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</si>
  <si>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</si>
  <si>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</si>
  <si>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</si>
  <si>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</si>
  <si>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</si>
  <si>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</si>
  <si>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</si>
  <si>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</si>
  <si>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</si>
  <si>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</si>
  <si>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</si>
  <si>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</si>
  <si>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</si>
  <si>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</si>
  <si>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</si>
  <si>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</si>
  <si>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</si>
  <si>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</si>
  <si>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</si>
  <si>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</si>
  <si>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</si>
  <si>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</si>
  <si>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</si>
  <si>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</si>
  <si>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</si>
  <si>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</si>
  <si>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</si>
  <si>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</si>
  <si>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</si>
  <si>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</si>
  <si>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</si>
  <si>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</si>
  <si>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</si>
  <si>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</si>
  <si>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</si>
  <si>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</si>
  <si>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</si>
  <si>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</si>
  <si>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</si>
  <si>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</si>
  <si>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</si>
  <si>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</si>
  <si>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</si>
  <si>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</si>
  <si>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</si>
  <si>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</si>
  <si>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</si>
  <si>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</si>
  <si>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</si>
  <si>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</si>
  <si>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</si>
  <si>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</si>
  <si>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</si>
  <si>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</si>
  <si>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</si>
  <si>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</si>
  <si>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</si>
  <si>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</si>
  <si>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</si>
  <si>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</si>
  <si>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</si>
  <si>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</si>
  <si>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</si>
  <si>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</si>
  <si>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</si>
  <si>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</si>
  <si>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</si>
  <si>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</si>
  <si>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</si>
  <si>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</si>
  <si>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</si>
  <si>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</si>
  <si>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</si>
  <si>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</si>
  <si>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</si>
  <si>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</si>
  <si>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</si>
  <si>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</si>
  <si>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</si>
  <si>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</si>
  <si>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</si>
  <si>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</si>
  <si>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</si>
  <si>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</si>
  <si>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</si>
  <si>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</si>
  <si>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</si>
  <si>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</si>
  <si>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</si>
  <si>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</si>
  <si>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</si>
  <si>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</si>
  <si>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</si>
  <si>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</si>
  <si>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</si>
  <si>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</si>
  <si>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</si>
  <si>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</si>
  <si>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</si>
  <si>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</si>
  <si>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</si>
  <si>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</si>
  <si>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</si>
  <si>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</si>
  <si>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</si>
  <si>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</si>
  <si>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</si>
  <si>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</si>
  <si>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</si>
  <si>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</si>
  <si>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</si>
  <si>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</si>
  <si>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</si>
  <si>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</si>
  <si>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</si>
  <si>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</si>
  <si>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</si>
  <si>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</si>
  <si>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</si>
  <si>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</si>
  <si>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</si>
  <si>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</si>
  <si>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</si>
  <si>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</si>
  <si>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</si>
  <si>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</si>
  <si>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</si>
  <si>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</si>
  <si>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</si>
  <si>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</si>
  <si>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</si>
  <si>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</si>
  <si>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</si>
  <si>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</si>
  <si>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</si>
  <si>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</si>
  <si>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</si>
  <si>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</si>
  <si>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</si>
  <si>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</si>
  <si>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</si>
  <si>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</si>
  <si>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</si>
  <si>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</si>
  <si>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</si>
  <si>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</si>
  <si>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</si>
  <si>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</si>
  <si>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</si>
  <si>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</si>
  <si>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</si>
  <si>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</si>
  <si>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</si>
  <si>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</si>
  <si>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</si>
  <si>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</si>
  <si>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</si>
  <si>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</si>
  <si>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</si>
  <si>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</si>
  <si>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</si>
  <si>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</si>
  <si>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</si>
  <si>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</si>
  <si>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</si>
  <si>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</si>
  <si>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</si>
  <si>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</si>
  <si>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</si>
  <si>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</si>
  <si>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</si>
  <si>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</si>
  <si>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</si>
  <si>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</si>
  <si>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</si>
  <si>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</si>
  <si>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</si>
  <si>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</si>
  <si>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</si>
  <si>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</si>
  <si>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</si>
  <si>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</si>
  <si>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</si>
  <si>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</si>
  <si>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</si>
  <si>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</si>
  <si>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</si>
  <si>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</si>
  <si>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</si>
  <si>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</si>
  <si>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</si>
  <si>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</si>
  <si>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</si>
  <si>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</si>
  <si>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</si>
  <si>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</si>
  <si>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</si>
  <si>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</si>
  <si>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</si>
  <si>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</si>
  <si>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</si>
  <si>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</si>
  <si>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</si>
  <si>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</si>
  <si>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</si>
  <si>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</si>
  <si>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</si>
  <si>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</si>
  <si>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</si>
  <si>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</si>
  <si>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</si>
  <si>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</si>
  <si>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</si>
  <si>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</si>
  <si>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</si>
  <si>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</si>
  <si>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</si>
  <si>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</si>
  <si>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</si>
  <si>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</si>
  <si>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</si>
  <si>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</si>
  <si>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</si>
  <si>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</si>
  <si>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</si>
  <si>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</si>
  <si>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</si>
  <si>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</si>
  <si>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</si>
  <si>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</si>
  <si>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</si>
  <si>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</si>
  <si>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</si>
  <si>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</si>
  <si>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</si>
  <si>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</si>
  <si>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</si>
  <si>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</si>
  <si>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</si>
  <si>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</si>
  <si>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</si>
  <si>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</si>
  <si>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</si>
  <si>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</si>
  <si>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</si>
  <si>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</si>
  <si>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</si>
  <si>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</si>
  <si>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</si>
  <si>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</si>
  <si>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</si>
  <si>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</si>
  <si>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</si>
  <si>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</si>
  <si>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</si>
  <si>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</si>
  <si>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</si>
  <si>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</si>
  <si>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</si>
  <si>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</si>
  <si>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</si>
  <si>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</si>
  <si>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</si>
  <si>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</si>
  <si>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</si>
  <si>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</si>
  <si>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</si>
  <si>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</si>
  <si>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</si>
  <si>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</si>
  <si>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</si>
  <si>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</si>
  <si>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</si>
  <si>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</si>
  <si>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</si>
  <si>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</si>
  <si>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</si>
  <si>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</si>
  <si>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</si>
  <si>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</si>
  <si>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</si>
  <si>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</si>
  <si>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</si>
  <si>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</si>
  <si>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</si>
  <si>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</si>
  <si>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</si>
  <si>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</si>
  <si>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</si>
  <si>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</si>
  <si>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</si>
  <si>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</si>
  <si>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</si>
  <si>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</si>
  <si>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</si>
  <si>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</si>
  <si>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</si>
  <si>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</si>
  <si>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</si>
  <si>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</si>
  <si>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</si>
  <si>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</si>
  <si>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</si>
  <si>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</si>
  <si>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</si>
  <si>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</si>
  <si>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</si>
  <si>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</si>
  <si>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</si>
  <si>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</si>
  <si>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</si>
  <si>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</si>
  <si>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</si>
  <si>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</si>
  <si>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</si>
  <si>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</si>
  <si>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</si>
  <si>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</si>
  <si>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</si>
  <si>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</si>
  <si>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</si>
  <si>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</si>
  <si>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</si>
  <si>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</si>
  <si>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</si>
  <si>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</si>
  <si>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</si>
  <si>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</si>
  <si>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</si>
  <si>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</si>
  <si>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</si>
  <si>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</si>
  <si>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</si>
  <si>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</si>
  <si>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</si>
  <si>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</si>
  <si>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</si>
  <si>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</si>
  <si>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</si>
  <si>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</si>
  <si>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</si>
  <si>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</si>
  <si>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</si>
  <si>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</si>
  <si>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</si>
  <si>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</si>
  <si>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</si>
  <si>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</si>
  <si>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</si>
  <si>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</si>
  <si>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</si>
  <si>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</si>
  <si>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</si>
  <si>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</si>
  <si>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</si>
  <si>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</si>
  <si>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</si>
  <si>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</si>
  <si>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</si>
  <si>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</si>
  <si>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</si>
  <si>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</si>
  <si>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</si>
  <si>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</si>
  <si>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</si>
  <si>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</si>
  <si>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</si>
  <si>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</si>
  <si>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</si>
  <si>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</si>
  <si>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</si>
  <si>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</si>
  <si>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</si>
  <si>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</si>
  <si>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</si>
  <si>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</si>
  <si>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</si>
  <si>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</si>
  <si>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</si>
  <si>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</si>
  <si>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</si>
  <si>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</si>
  <si>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</si>
  <si>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</si>
  <si>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</si>
  <si>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</si>
  <si>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</si>
  <si>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</si>
  <si>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</si>
  <si>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</si>
  <si>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</si>
  <si>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</si>
  <si>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</si>
  <si>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</si>
  <si>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</si>
  <si>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</si>
  <si>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</si>
  <si>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</si>
  <si>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</si>
  <si>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</si>
  <si>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</si>
  <si>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</si>
  <si>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</si>
  <si>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</si>
  <si>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</si>
  <si>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</si>
  <si>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</si>
  <si>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</si>
  <si>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</si>
  <si>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</si>
  <si>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</si>
  <si>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</si>
  <si>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</si>
  <si>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</si>
  <si>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</si>
  <si>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</si>
  <si>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</si>
  <si>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</si>
  <si>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</si>
  <si>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</si>
  <si>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</si>
  <si>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</si>
  <si>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</si>
  <si>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</si>
  <si>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</si>
  <si>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</si>
  <si>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</si>
  <si>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</si>
  <si>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</si>
  <si>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</si>
  <si>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</si>
  <si>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</si>
  <si>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</si>
  <si>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</si>
  <si>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</si>
  <si>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</si>
  <si>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</si>
  <si>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</si>
  <si>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</si>
  <si>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</si>
  <si>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</si>
  <si>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</si>
  <si>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</si>
  <si>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</si>
  <si>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</si>
  <si>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</si>
  <si>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</si>
  <si>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</si>
  <si>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</si>
  <si>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</si>
  <si>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</si>
  <si>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</si>
  <si>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</si>
  <si>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</si>
  <si>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</si>
  <si>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</si>
  <si>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</si>
  <si>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</si>
  <si>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</si>
  <si>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</si>
  <si>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</si>
  <si>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</si>
  <si>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</si>
  <si>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</si>
  <si>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</si>
  <si>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</si>
  <si>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</si>
  <si>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</si>
  <si>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</si>
  <si>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</si>
  <si>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</si>
  <si>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</si>
  <si>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</si>
  <si>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</si>
  <si>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</si>
  <si>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</si>
  <si>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</si>
  <si>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</si>
  <si>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</si>
  <si>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</si>
  <si>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</si>
  <si>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</si>
  <si>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</si>
  <si>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</si>
  <si>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</si>
  <si>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</si>
  <si>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</si>
  <si>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</si>
  <si>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</si>
  <si>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</si>
  <si>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</si>
  <si>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</si>
  <si>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</si>
  <si>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</si>
  <si>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</si>
  <si>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</si>
  <si>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</si>
  <si>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</si>
  <si>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</si>
  <si>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</si>
  <si>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</si>
  <si>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</si>
  <si>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</si>
  <si>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</si>
  <si>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</si>
  <si>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</si>
  <si>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</si>
  <si>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</si>
  <si>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</si>
  <si>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</si>
  <si>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</si>
  <si>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</si>
  <si>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</si>
  <si>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</si>
  <si>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</si>
  <si>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</si>
  <si>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</si>
  <si>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</si>
  <si>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</si>
  <si>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</si>
  <si>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</si>
  <si>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</si>
  <si>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</si>
  <si>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</si>
  <si>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</si>
  <si>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</si>
  <si>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</si>
  <si>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</si>
  <si>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</si>
  <si>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</si>
  <si>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</si>
  <si>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</si>
  <si>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</si>
  <si>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</si>
  <si>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</si>
  <si>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</si>
  <si>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</si>
  <si>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</si>
  <si>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</si>
  <si>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</si>
  <si>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</si>
  <si>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</si>
  <si>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</si>
  <si>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</si>
  <si>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</si>
  <si>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</si>
  <si>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</si>
  <si>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</si>
  <si>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</si>
  <si>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</si>
  <si>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</si>
  <si>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</si>
  <si>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</si>
  <si>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</si>
  <si>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</si>
  <si>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</si>
  <si>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</si>
  <si>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</si>
  <si>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</si>
  <si>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</si>
  <si>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</si>
  <si>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</si>
  <si>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</si>
  <si>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</si>
  <si>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</si>
  <si>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</si>
  <si>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</si>
  <si>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</si>
  <si>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</si>
  <si>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</si>
  <si>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</si>
  <si>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</si>
  <si>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</si>
  <si>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</si>
  <si>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</si>
  <si>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</si>
  <si>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</si>
  <si>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</si>
  <si>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</si>
  <si>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</si>
  <si>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</si>
  <si>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</si>
  <si>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</si>
  <si>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</si>
  <si>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</si>
  <si>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</si>
  <si>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</si>
  <si>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</si>
  <si>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</si>
  <si>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</si>
  <si>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</si>
  <si>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</si>
  <si>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</si>
  <si>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</si>
  <si>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</si>
  <si>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</si>
  <si>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</si>
  <si>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</si>
  <si>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</si>
  <si>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</si>
  <si>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</si>
  <si>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</si>
  <si>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</si>
  <si>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</si>
  <si>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</si>
  <si>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</si>
  <si>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</si>
  <si>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</si>
  <si>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</si>
  <si>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</si>
  <si>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</si>
  <si>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</si>
  <si>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</si>
  <si>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</si>
  <si>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</si>
  <si>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</si>
  <si>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</si>
  <si>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</si>
  <si>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</si>
  <si>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</si>
  <si>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</si>
  <si>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</si>
  <si>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</si>
  <si>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</si>
  <si>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</si>
  <si>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</si>
  <si>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</si>
  <si>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</si>
  <si>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</si>
  <si>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</si>
  <si>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</si>
  <si>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</si>
  <si>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</si>
  <si>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</si>
  <si>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</si>
  <si>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</si>
  <si>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</si>
  <si>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</si>
  <si>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</si>
  <si>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</si>
  <si>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</si>
  <si>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</si>
  <si>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</si>
  <si>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</si>
  <si>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</si>
  <si>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</si>
  <si>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</si>
  <si>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</si>
  <si>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</si>
  <si>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</si>
  <si>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</si>
  <si>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</si>
  <si>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</si>
  <si>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</si>
  <si>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</si>
  <si>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</si>
  <si>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</si>
  <si>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</si>
  <si>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</si>
  <si>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</si>
  <si>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</si>
  <si>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</si>
  <si>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</si>
  <si>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</si>
  <si>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</si>
  <si>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</si>
  <si>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</si>
  <si>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</si>
  <si>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</si>
  <si>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</si>
  <si>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</si>
  <si>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</si>
  <si>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</si>
  <si>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</si>
  <si>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</si>
  <si>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</si>
  <si>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</si>
  <si>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</si>
  <si>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</si>
  <si>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</si>
  <si>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</si>
  <si>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</si>
  <si>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</si>
  <si>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</si>
  <si>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</si>
  <si>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</si>
  <si>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</si>
  <si>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</si>
  <si>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</si>
  <si>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</si>
  <si>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</si>
  <si>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</si>
  <si>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</si>
  <si>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</si>
  <si>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</si>
  <si>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</si>
  <si>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</si>
  <si>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</si>
  <si>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</si>
  <si>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</si>
  <si>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</si>
  <si>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</si>
  <si>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</si>
  <si>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</si>
  <si>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</si>
  <si>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</si>
  <si>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</si>
  <si>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</si>
  <si>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</si>
  <si>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</si>
  <si>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</si>
  <si>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</si>
  <si>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</si>
  <si>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</si>
  <si>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</si>
  <si>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</si>
  <si>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</si>
  <si>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</si>
  <si>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</si>
  <si>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</si>
  <si>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</si>
  <si>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</si>
  <si>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</si>
  <si>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</si>
  <si>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</si>
  <si>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</si>
  <si>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</si>
  <si>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</si>
  <si>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</si>
  <si>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</si>
  <si>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</si>
  <si>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</si>
  <si>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</si>
  <si>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</si>
  <si>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</si>
  <si>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</si>
  <si>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</si>
  <si>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</si>
  <si>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</si>
  <si>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</si>
  <si>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</si>
  <si>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</si>
  <si>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</si>
  <si>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</si>
  <si>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</si>
  <si>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</si>
  <si>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</si>
  <si>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</si>
  <si>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</si>
  <si>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</si>
  <si>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</si>
  <si>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</si>
  <si>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</si>
  <si>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</si>
  <si>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</si>
  <si>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</si>
  <si>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</si>
  <si>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</si>
  <si>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</si>
  <si>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</si>
  <si>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</si>
  <si>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</si>
  <si>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</si>
  <si>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</si>
  <si>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</si>
  <si>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</si>
  <si>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</si>
  <si>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</si>
  <si>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</si>
  <si>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</si>
  <si>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</si>
  <si>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</si>
  <si>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</si>
  <si>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</si>
  <si>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</si>
  <si>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</si>
  <si>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</si>
  <si>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</si>
  <si>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</si>
  <si>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</si>
  <si>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</si>
  <si>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</si>
  <si>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</si>
  <si>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</si>
  <si>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</si>
  <si>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</si>
  <si>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</si>
  <si>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</si>
  <si>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</si>
  <si>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</si>
  <si>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</si>
  <si>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</si>
  <si>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</si>
  <si>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</si>
  <si>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</si>
  <si>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</si>
  <si>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</si>
  <si>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</si>
  <si>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</si>
  <si>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</si>
  <si>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</si>
  <si>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</si>
  <si>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</si>
  <si>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</si>
  <si>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</si>
  <si>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</si>
  <si>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</si>
  <si>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</si>
  <si>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</si>
  <si>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</si>
  <si>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</si>
  <si>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</si>
  <si>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</si>
  <si>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</si>
  <si>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</si>
  <si>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</si>
  <si>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</si>
  <si>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</si>
  <si>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</si>
  <si>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</si>
  <si>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</si>
  <si>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</si>
  <si>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</si>
  <si>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</si>
  <si>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</si>
  <si>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</si>
  <si>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</si>
  <si>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</si>
  <si>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</si>
  <si>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</si>
  <si>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</si>
  <si>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</si>
  <si>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</si>
  <si>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</si>
  <si>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</si>
  <si>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</si>
  <si>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</si>
  <si>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</si>
  <si>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</si>
  <si>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</si>
  <si>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</si>
  <si>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</si>
  <si>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</si>
  <si>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</si>
  <si>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</si>
  <si>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</si>
  <si>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</si>
  <si>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</si>
  <si>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</si>
  <si>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</si>
  <si>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</si>
  <si>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</si>
  <si>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</si>
  <si>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</si>
  <si>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</si>
  <si>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</si>
  <si>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</si>
  <si>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</si>
  <si>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</si>
  <si>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</si>
  <si>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</si>
  <si>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</si>
  <si>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</si>
  <si>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</si>
  <si>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</si>
  <si>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</si>
  <si>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</si>
  <si>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</si>
  <si>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</si>
  <si>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</si>
  <si>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</si>
  <si>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</si>
  <si>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</si>
  <si>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</si>
  <si>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</si>
  <si>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</si>
  <si>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</si>
  <si>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</si>
  <si>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</si>
  <si>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</si>
  <si>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</si>
  <si>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</si>
  <si>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</si>
  <si>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</si>
  <si>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</si>
  <si>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</si>
  <si>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</si>
  <si>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</si>
  <si>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</si>
  <si>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</si>
  <si>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</si>
  <si>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</si>
  <si>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</si>
  <si>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</si>
  <si>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</si>
  <si>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</si>
  <si>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</si>
  <si>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</si>
  <si>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</si>
  <si>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</si>
  <si>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</si>
  <si>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</si>
  <si>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</si>
  <si>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</si>
  <si>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</si>
  <si>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</si>
  <si>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</si>
  <si>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</si>
  <si>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</si>
  <si>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</si>
  <si>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</si>
  <si>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</si>
  <si>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</si>
  <si>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</si>
  <si>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</si>
  <si>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</si>
  <si>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</si>
  <si>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</si>
  <si>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</si>
  <si>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</si>
  <si>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</si>
  <si>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</si>
  <si>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</si>
  <si>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</si>
  <si>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</si>
  <si>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</si>
  <si>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</si>
  <si>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</si>
  <si>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</si>
  <si>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</si>
  <si>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</si>
  <si>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</si>
  <si>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</si>
  <si>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</si>
  <si>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</si>
  <si>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</si>
  <si>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</si>
  <si>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</si>
  <si>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</si>
  <si>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</si>
  <si>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</si>
  <si>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</si>
  <si>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</si>
  <si>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</si>
  <si>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</si>
  <si>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</si>
  <si>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</si>
  <si>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</si>
  <si>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</si>
  <si>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</si>
  <si>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</si>
  <si>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</si>
  <si>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</si>
  <si>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</si>
  <si>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</si>
  <si>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</si>
  <si>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</si>
  <si>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</si>
  <si>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</si>
  <si>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</si>
  <si>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</si>
  <si>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</si>
  <si>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</si>
  <si>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</si>
  <si>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</si>
  <si>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</si>
  <si>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</si>
  <si>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</si>
  <si>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</si>
  <si>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</si>
  <si>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</si>
  <si>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</si>
  <si>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</si>
  <si>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</si>
  <si>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</si>
  <si>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</si>
  <si>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</si>
  <si>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</si>
  <si>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</si>
  <si>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</si>
  <si>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</si>
  <si>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</si>
  <si>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</si>
  <si>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</si>
  <si>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</si>
  <si>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</si>
  <si>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</si>
  <si>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</si>
  <si>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</si>
  <si>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</si>
  <si>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</si>
  <si>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</si>
  <si>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</si>
  <si>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</si>
  <si>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</si>
  <si>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</si>
  <si>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</si>
  <si>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</si>
  <si>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</si>
  <si>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</si>
  <si>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</si>
  <si>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</si>
  <si>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</si>
  <si>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</si>
  <si>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</si>
  <si>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</si>
  <si>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</si>
  <si>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</si>
  <si>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</si>
  <si>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</si>
  <si>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</si>
  <si>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</si>
  <si>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</si>
  <si>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</si>
  <si>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</si>
  <si>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</si>
  <si>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</si>
  <si>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</si>
  <si>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</si>
  <si>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</si>
  <si>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</si>
  <si>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</si>
  <si>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</si>
  <si>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</si>
  <si>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</si>
  <si>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</si>
  <si>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</si>
  <si>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</si>
  <si>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</si>
  <si>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</si>
  <si>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</si>
  <si>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</si>
  <si>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</si>
  <si>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</si>
  <si>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</si>
  <si>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</si>
  <si>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</si>
  <si>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</si>
  <si>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</si>
  <si>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</si>
  <si>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</si>
  <si>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</si>
  <si>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</si>
  <si>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</si>
  <si>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</si>
  <si>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</si>
  <si>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</si>
  <si>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</si>
  <si>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</si>
  <si>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</si>
  <si>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</si>
  <si>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</si>
  <si>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</si>
  <si>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</si>
  <si>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</si>
  <si>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</si>
  <si>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</si>
  <si>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</si>
  <si>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</si>
  <si>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</si>
  <si>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</si>
  <si>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</si>
  <si>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</si>
  <si>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</si>
  <si>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</si>
  <si>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</si>
  <si>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</si>
  <si>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</si>
  <si>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</si>
  <si>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</si>
  <si>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</si>
  <si>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</si>
  <si>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</si>
  <si>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</si>
  <si>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</si>
  <si>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</si>
  <si>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</si>
  <si>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</si>
  <si>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</si>
  <si>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</si>
  <si>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</si>
  <si>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</si>
  <si>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</si>
  <si>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</si>
  <si>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</si>
  <si>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</si>
  <si>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</si>
  <si>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</si>
  <si>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</si>
  <si>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</si>
  <si>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</si>
  <si>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</si>
  <si>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</si>
  <si>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</si>
  <si>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</si>
  <si>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</si>
  <si>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</si>
  <si>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</si>
  <si>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</si>
  <si>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</si>
  <si>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</si>
  <si>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</si>
  <si>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</si>
  <si>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</si>
  <si>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</si>
  <si>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</si>
  <si>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</si>
  <si>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</si>
  <si>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</si>
  <si>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</si>
  <si>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</si>
  <si>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</si>
  <si>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</si>
  <si>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</si>
  <si>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</si>
  <si>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</si>
  <si>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</si>
  <si>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</si>
  <si>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</si>
  <si>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</si>
  <si>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</si>
  <si>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</si>
  <si>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</si>
  <si>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</si>
  <si>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</si>
  <si>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</si>
  <si>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</si>
  <si>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</si>
  <si>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</si>
  <si>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</si>
  <si>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</si>
  <si>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</si>
  <si>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</si>
  <si>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</si>
  <si>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</si>
  <si>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</si>
  <si>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</si>
  <si>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</si>
  <si>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</si>
  <si>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</si>
  <si>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</si>
  <si>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</si>
  <si>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</si>
  <si>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</si>
  <si>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</si>
  <si>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</si>
  <si>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</si>
  <si>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</si>
  <si>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</si>
  <si>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</si>
  <si>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</si>
  <si>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</si>
  <si>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</si>
  <si>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</si>
  <si>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</si>
  <si>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</si>
  <si>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</si>
  <si>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</si>
  <si>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</si>
  <si>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</si>
  <si>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</si>
  <si>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</si>
  <si>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</si>
  <si>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</si>
  <si>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</si>
  <si>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</si>
  <si>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</si>
  <si>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</si>
  <si>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</si>
  <si>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</si>
  <si>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</si>
  <si>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</si>
  <si>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</si>
  <si>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</si>
  <si>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</si>
  <si>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</si>
  <si>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</si>
  <si>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</si>
  <si>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</si>
  <si>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</si>
  <si>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</si>
  <si>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</si>
  <si>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</si>
  <si>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</si>
  <si>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</si>
  <si>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</si>
  <si>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</si>
  <si>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</si>
  <si>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</si>
  <si>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</si>
  <si>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</si>
  <si>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</si>
  <si>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</si>
  <si>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</si>
  <si>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</si>
  <si>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</si>
  <si>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</si>
  <si>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</si>
  <si>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</si>
  <si>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</si>
  <si>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</si>
  <si>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</si>
  <si>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</si>
  <si>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</si>
  <si>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</si>
  <si>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</si>
  <si>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</si>
  <si>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</si>
  <si>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</si>
  <si>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</si>
  <si>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</si>
  <si>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</si>
  <si>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</si>
  <si>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</si>
  <si>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</si>
  <si>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</si>
  <si>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</si>
  <si>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</si>
  <si>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</si>
  <si>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</si>
  <si>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</si>
  <si>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</si>
  <si>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</si>
  <si>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</si>
  <si>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</si>
  <si>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</si>
  <si>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</si>
  <si>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</si>
  <si>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</si>
  <si>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</si>
  <si>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</si>
  <si>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</si>
  <si>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</si>
  <si>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</si>
  <si>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</si>
  <si>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</si>
  <si>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</si>
  <si>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</si>
  <si>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</si>
  <si>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</si>
  <si>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</si>
  <si>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</si>
  <si>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</si>
  <si>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</si>
  <si>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</si>
  <si>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</si>
  <si>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</si>
  <si>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</si>
  <si>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</si>
  <si>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</si>
  <si>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</si>
  <si>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</si>
  <si>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</si>
  <si>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</si>
  <si>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</si>
  <si>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</si>
  <si>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</si>
  <si>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</si>
  <si>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</si>
  <si>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</si>
  <si>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</si>
  <si>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</si>
  <si>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</si>
  <si>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</si>
  <si>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</si>
  <si>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</si>
  <si>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</si>
  <si>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</si>
  <si>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</si>
  <si>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</si>
  <si>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</si>
  <si>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</si>
  <si>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</si>
  <si>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</si>
  <si>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</si>
  <si>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</si>
  <si>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</si>
  <si>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</si>
  <si>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</si>
  <si>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</si>
  <si>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</si>
  <si>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</si>
  <si>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</si>
  <si>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</si>
  <si>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</si>
  <si>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</si>
  <si>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</si>
  <si>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</si>
  <si>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</si>
  <si>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</si>
  <si>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</si>
  <si>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</si>
  <si>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</si>
  <si>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</si>
  <si>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</si>
  <si>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</si>
  <si>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</si>
  <si>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</si>
  <si>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</si>
  <si>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</si>
  <si>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</si>
  <si>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</si>
  <si>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</si>
  <si>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</si>
  <si>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</si>
  <si>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</si>
  <si>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</si>
  <si>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</si>
  <si>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</si>
  <si>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</si>
  <si>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</si>
  <si>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</si>
  <si>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</si>
  <si>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</si>
  <si>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</si>
  <si>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</si>
  <si>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</si>
  <si>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</si>
  <si>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</si>
  <si>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</si>
  <si>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</si>
  <si>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</si>
  <si>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</si>
  <si>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</si>
  <si>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</si>
  <si>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</si>
  <si>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</si>
  <si>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</si>
  <si>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</si>
  <si>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</si>
  <si>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</si>
  <si>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</si>
  <si>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</si>
  <si>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</si>
  <si>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</si>
  <si>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</si>
  <si>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</si>
  <si>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</si>
  <si>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</si>
  <si>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</si>
  <si>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</si>
  <si>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</si>
  <si>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</si>
  <si>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</si>
  <si>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</si>
  <si>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</si>
  <si>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</si>
  <si>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</si>
  <si>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</si>
  <si>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</si>
  <si>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</si>
  <si>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</si>
  <si>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</si>
  <si>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</si>
  <si>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</si>
  <si>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</si>
  <si>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</si>
  <si>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</si>
  <si>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</si>
  <si>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</si>
  <si>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</si>
  <si>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</si>
  <si>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</si>
  <si>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</si>
  <si>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</si>
  <si>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</si>
  <si>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</si>
  <si>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</si>
  <si>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</si>
  <si>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</si>
  <si>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</si>
  <si>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</si>
  <si>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</si>
  <si>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</si>
  <si>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</si>
  <si>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</si>
  <si>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</si>
  <si>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</si>
  <si>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</si>
  <si>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</si>
  <si>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</si>
  <si>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</si>
  <si>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</si>
  <si>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</si>
  <si>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</si>
  <si>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</si>
  <si>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</si>
  <si>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</si>
  <si>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</si>
  <si>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</si>
  <si>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</si>
  <si>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</si>
  <si>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</si>
  <si>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</si>
  <si>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</si>
  <si>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</si>
  <si>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</si>
  <si>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</si>
  <si>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</si>
  <si>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</si>
  <si>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</si>
  <si>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</si>
  <si>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</si>
  <si>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</si>
  <si>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</si>
  <si>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</si>
  <si>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</si>
  <si>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</si>
  <si>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</si>
  <si>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</si>
  <si>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</si>
  <si>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</si>
  <si>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</si>
  <si>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</si>
  <si>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</si>
  <si>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</si>
  <si>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</si>
  <si>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</si>
  <si>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</si>
  <si>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</si>
  <si>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</si>
  <si>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</si>
  <si>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</si>
  <si>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</si>
  <si>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</si>
  <si>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</si>
  <si>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</si>
  <si>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</si>
  <si>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</si>
  <si>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</si>
  <si>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</si>
  <si>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</si>
  <si>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</si>
  <si>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</si>
  <si>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</si>
  <si>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</si>
  <si>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</si>
  <si>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</si>
  <si>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</si>
  <si>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</si>
  <si>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</si>
  <si>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</si>
  <si>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</si>
  <si>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</si>
  <si>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</si>
  <si>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</si>
  <si>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</si>
  <si>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</si>
  <si>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</si>
  <si>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</si>
  <si>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</si>
  <si>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</si>
  <si>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</si>
  <si>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</si>
  <si>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</si>
  <si>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</si>
  <si>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</si>
  <si>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</si>
  <si>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</si>
  <si>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</si>
  <si>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</si>
  <si>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</si>
  <si>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</si>
  <si>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</si>
  <si>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</si>
  <si>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</si>
  <si>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</si>
  <si>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</si>
  <si>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</si>
  <si>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</si>
  <si>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</si>
  <si>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</si>
  <si>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</si>
  <si>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</si>
  <si>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</si>
  <si>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</si>
  <si>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</si>
  <si>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</si>
  <si>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</si>
  <si>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</si>
  <si>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</si>
  <si>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</si>
  <si>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</si>
  <si>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</si>
  <si>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</si>
  <si>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</si>
  <si>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</si>
  <si>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</si>
  <si>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</si>
  <si>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</si>
  <si>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</si>
  <si>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</si>
  <si>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</si>
  <si>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</si>
  <si>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</si>
  <si>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</si>
  <si>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</si>
  <si>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</si>
  <si>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</si>
  <si>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</si>
  <si>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</si>
  <si>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</si>
  <si>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</si>
  <si>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</si>
  <si>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</si>
  <si>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</si>
  <si>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</si>
  <si>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</si>
  <si>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</si>
  <si>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</si>
  <si>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</si>
  <si>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</si>
  <si>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</si>
  <si>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</si>
  <si>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</si>
  <si>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</si>
  <si>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</si>
  <si>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</si>
  <si>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</si>
  <si>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</si>
  <si>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</si>
  <si>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</si>
  <si>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</si>
  <si>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</si>
  <si>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</si>
  <si>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</si>
  <si>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</si>
  <si>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</si>
  <si>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</si>
  <si>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</si>
  <si>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</si>
  <si>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</si>
  <si>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</si>
  <si>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</si>
  <si>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</si>
  <si>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</si>
  <si>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</si>
  <si>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</si>
  <si>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</si>
  <si>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</si>
  <si>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</si>
  <si>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</si>
  <si>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</si>
  <si>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</si>
  <si>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</si>
  <si>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</si>
  <si>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</si>
  <si>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</si>
  <si>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</si>
  <si>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</si>
  <si>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</si>
  <si>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</si>
  <si>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</si>
  <si>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</si>
  <si>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</si>
  <si>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</si>
  <si>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</si>
  <si>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</si>
  <si>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</si>
  <si>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</si>
  <si>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</si>
  <si>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</si>
  <si>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</si>
  <si>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</si>
  <si>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</si>
  <si>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</si>
  <si>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</si>
  <si>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</si>
  <si>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</si>
  <si>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</si>
  <si>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</si>
  <si>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</si>
  <si>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</si>
  <si>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</si>
  <si>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</si>
  <si>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</si>
  <si>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</si>
  <si>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</si>
  <si>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t>1层商业</t>
    <phoneticPr fontId="135" type="noConversion"/>
  </si>
  <si>
    <t>8层办公</t>
    <phoneticPr fontId="135" type="noConversion"/>
  </si>
  <si>
    <t>9层办公</t>
    <phoneticPr fontId="135" type="noConversion"/>
  </si>
  <si>
    <t>抵押</t>
  </si>
  <si>
    <t>房地产抵押价值</t>
  </si>
  <si>
    <t>商业</t>
    <phoneticPr fontId="4" type="noConversion"/>
  </si>
  <si>
    <t>是</t>
  </si>
  <si>
    <t>办公</t>
    <phoneticPr fontId="4" type="noConversion"/>
  </si>
  <si>
    <t>地上</t>
  </si>
  <si>
    <t>单套模式</t>
  </si>
  <si>
    <t>售价</t>
  </si>
  <si>
    <t>10个车位</t>
    <phoneticPr fontId="135" type="noConversion"/>
  </si>
  <si>
    <t>地下车位</t>
  </si>
  <si>
    <t>地下车位</t>
    <phoneticPr fontId="4" type="noConversion"/>
  </si>
  <si>
    <t>地下</t>
  </si>
  <si>
    <t>车库—办公</t>
  </si>
  <si>
    <t>成新度</t>
  </si>
  <si>
    <t>正常</t>
  </si>
  <si>
    <t>车位</t>
  </si>
  <si>
    <t>车位</t>
    <phoneticPr fontId="32" type="noConversion"/>
  </si>
  <si>
    <t>40-50</t>
    <phoneticPr fontId="32" type="noConversion"/>
  </si>
  <si>
    <t>旭辉26街区</t>
    <phoneticPr fontId="4" type="noConversion"/>
  </si>
  <si>
    <r>
      <rPr>
        <sz val="11"/>
        <color rgb="FFFF0000"/>
        <rFont val="楷体_GB2312"/>
        <family val="3"/>
        <charset val="134"/>
      </rPr>
      <t>范围：5</t>
    </r>
    <r>
      <rPr>
        <sz val="11"/>
        <color rgb="FFFF0000"/>
        <rFont val="Arial"/>
        <family val="2"/>
      </rPr>
      <t>%-10%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</si>
  <si>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</si>
  <si>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</si>
  <si>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</si>
  <si>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</si>
  <si>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</si>
  <si>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</si>
  <si>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收益法-办公</t>
  </si>
  <si>
    <t>收益法-办公</t>
    <phoneticPr fontId="17" type="noConversion"/>
  </si>
  <si>
    <t>收益法-商业</t>
  </si>
  <si>
    <t>收益法-商业</t>
    <phoneticPr fontId="17" type="noConversion"/>
  </si>
  <si>
    <t>收益法-车位</t>
  </si>
  <si>
    <t>收益法-车位</t>
    <phoneticPr fontId="17" type="noConversion"/>
  </si>
  <si>
    <t>自定义</t>
  </si>
  <si>
    <t>钢混</t>
  </si>
  <si>
    <t>非生产用房</t>
  </si>
  <si>
    <t>否</t>
  </si>
  <si>
    <t>国门智慧城</t>
    <phoneticPr fontId="4" type="noConversion"/>
  </si>
  <si>
    <t>30-40</t>
    <phoneticPr fontId="32" type="noConversion"/>
  </si>
  <si>
    <t>元/车位</t>
  </si>
  <si>
    <t>绿地·启航国际（顺义）</t>
    <phoneticPr fontId="4" type="noConversion"/>
  </si>
  <si>
    <t>一般</t>
  </si>
  <si>
    <t>较好</t>
  </si>
  <si>
    <t>七通</t>
  </si>
  <si>
    <t>现房</t>
  </si>
  <si>
    <t>项目局部</t>
  </si>
  <si>
    <t>比较法-车位</t>
  </si>
  <si>
    <t>办公</t>
    <phoneticPr fontId="32" type="noConversion"/>
  </si>
  <si>
    <t>高区</t>
  </si>
  <si>
    <t>高区</t>
    <phoneticPr fontId="32" type="noConversion"/>
  </si>
  <si>
    <t>中区</t>
    <phoneticPr fontId="32" type="noConversion"/>
  </si>
  <si>
    <t>低区</t>
    <phoneticPr fontId="32" type="noConversion"/>
  </si>
  <si>
    <t>标准层高</t>
  </si>
  <si>
    <t>标准层高</t>
    <phoneticPr fontId="32" type="noConversion"/>
  </si>
  <si>
    <t>超高层高</t>
  </si>
  <si>
    <t>超高层高</t>
    <phoneticPr fontId="32" type="noConversion"/>
  </si>
  <si>
    <t>好</t>
  </si>
  <si>
    <t>金街悦府</t>
    <phoneticPr fontId="4" type="noConversion"/>
  </si>
  <si>
    <t>比较法-办公</t>
  </si>
  <si>
    <t>押一</t>
  </si>
  <si>
    <t>中建国际城</t>
  </si>
  <si>
    <t>怡馨家园</t>
  </si>
  <si>
    <t>金汉绿港一区</t>
  </si>
  <si>
    <t>单面临街</t>
  </si>
  <si>
    <t>1层</t>
  </si>
  <si>
    <t>住宅底商</t>
  </si>
  <si>
    <t>普通装修</t>
  </si>
  <si>
    <t>六通</t>
  </si>
  <si>
    <t>不可餐饮</t>
  </si>
  <si>
    <t>商业</t>
    <phoneticPr fontId="31" type="noConversion"/>
  </si>
  <si>
    <t>挂牌</t>
  </si>
  <si>
    <t>挂牌</t>
    <phoneticPr fontId="31" type="noConversion"/>
  </si>
  <si>
    <t>30-40</t>
    <phoneticPr fontId="31" type="noConversion"/>
  </si>
  <si>
    <t>20-30</t>
    <phoneticPr fontId="31" type="noConversion"/>
  </si>
  <si>
    <t>10-20</t>
    <phoneticPr fontId="31" type="noConversion"/>
  </si>
  <si>
    <t>一般</t>
    <phoneticPr fontId="31" type="noConversion"/>
  </si>
  <si>
    <t>单面临街</t>
    <phoneticPr fontId="31" type="noConversion"/>
  </si>
  <si>
    <t>办公底商</t>
  </si>
  <si>
    <t>办公底商</t>
    <phoneticPr fontId="31" type="noConversion"/>
  </si>
  <si>
    <t>较差</t>
  </si>
  <si>
    <t>差</t>
  </si>
  <si>
    <t>大</t>
  </si>
  <si>
    <t>较大</t>
  </si>
  <si>
    <t>较小</t>
  </si>
  <si>
    <t>小</t>
  </si>
  <si>
    <t>多面临街</t>
  </si>
  <si>
    <t>双面临街</t>
  </si>
  <si>
    <t>临街商业</t>
  </si>
  <si>
    <t>可餐饮</t>
  </si>
  <si>
    <t>精装修</t>
  </si>
  <si>
    <t>简单装修</t>
  </si>
  <si>
    <t>毛坯</t>
  </si>
  <si>
    <t>毛坯</t>
    <phoneticPr fontId="31" type="noConversion"/>
  </si>
  <si>
    <t>比较法-商业</t>
  </si>
  <si>
    <t>商业</t>
    <phoneticPr fontId="135" type="noConversion"/>
  </si>
  <si>
    <t>车位</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</si>
</sst>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4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49"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95" fillId="2" borderId="54" xfId="0"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2" borderId="41" xfId="0"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176" fontId="45" fillId="0" borderId="23" xfId="0" quotePrefix="1" applyNumberFormat="1" applyFont="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5" fillId="0" borderId="3" xfId="10" applyFont="1" applyBorder="1" applyAlignment="1" applyProtection="1">
      <alignment horizontal="center" vertical="center" wrapText="1"/>
      <protection locked="0"/>
    </xf>
    <xf numFmtId="0" fontId="99" fillId="0" borderId="5" xfId="10" applyFont="1" applyBorder="1" applyAlignment="1" applyProtection="1">
      <alignment horizontal="center" vertical="center" wrapText="1"/>
      <protection locked="0"/>
    </xf>
    <xf numFmtId="0" fontId="209" fillId="0" borderId="23" xfId="10" applyFont="1" applyBorder="1" applyAlignment="1" applyProtection="1">
      <alignment horizontal="center" vertical="center" wrapText="1"/>
      <protection locked="0"/>
    </xf>
    <xf numFmtId="0" fontId="167" fillId="0" borderId="24" xfId="1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F135B6-64C6-4E34-8BD4-4120B67F6588}"/>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58A06D4D-7951-4A26-8EE8-03632C7C88EB}"/>
    <cellStyle name="千位分隔 2" xfId="21" xr:uid="{9702218D-C55C-4EFF-BD0B-8260A3FBEE79}"/>
  </cellStyles>
  <dxfs count="18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3</xdr:row>
      <xdr:rowOff>47555</xdr:rowOff>
    </xdr:to>
    <xdr:pic>
      <xdr:nvPicPr>
        <xdr:cNvPr id="2" name="图片 1">
          <a:extLst>
            <a:ext uri="{FF2B5EF4-FFF2-40B4-BE49-F238E27FC236}">
              <a16:creationId xmlns:a16="http://schemas.microsoft.com/office/drawing/2014/main" id="{8D57FC36-A029-E1F4-CAFD-4CCC19FF3E14}"/>
            </a:ext>
          </a:extLst>
        </xdr:cNvPr>
        <xdr:cNvPicPr>
          <a:picLocks noChangeAspect="1"/>
        </xdr:cNvPicPr>
      </xdr:nvPicPr>
      <xdr:blipFill>
        <a:blip xmlns:r="http://schemas.openxmlformats.org/officeDocument/2006/relationships" r:embed="rId1"/>
        <a:stretch>
          <a:fillRect/>
        </a:stretch>
      </xdr:blipFill>
      <xdr:spPr>
        <a:xfrm>
          <a:off x="0" y="0"/>
          <a:ext cx="3666667" cy="561905"/>
        </a:xfrm>
        <a:prstGeom prst="rect">
          <a:avLst/>
        </a:prstGeom>
      </xdr:spPr>
    </xdr:pic>
    <xdr:clientData/>
  </xdr:twoCellAnchor>
  <xdr:twoCellAnchor editAs="oneCell">
    <xdr:from>
      <xdr:col>5</xdr:col>
      <xdr:colOff>247650</xdr:colOff>
      <xdr:row>0</xdr:row>
      <xdr:rowOff>0</xdr:rowOff>
    </xdr:from>
    <xdr:to>
      <xdr:col>15</xdr:col>
      <xdr:colOff>561078</xdr:colOff>
      <xdr:row>33</xdr:row>
      <xdr:rowOff>27864</xdr:rowOff>
    </xdr:to>
    <xdr:pic>
      <xdr:nvPicPr>
        <xdr:cNvPr id="3" name="图片 2">
          <a:extLst>
            <a:ext uri="{FF2B5EF4-FFF2-40B4-BE49-F238E27FC236}">
              <a16:creationId xmlns:a16="http://schemas.microsoft.com/office/drawing/2014/main" id="{6A643851-260E-3C82-8BF2-105ADB648358}"/>
            </a:ext>
          </a:extLst>
        </xdr:cNvPr>
        <xdr:cNvPicPr>
          <a:picLocks noChangeAspect="1"/>
        </xdr:cNvPicPr>
      </xdr:nvPicPr>
      <xdr:blipFill>
        <a:blip xmlns:r="http://schemas.openxmlformats.org/officeDocument/2006/relationships" r:embed="rId2"/>
        <a:stretch>
          <a:fillRect/>
        </a:stretch>
      </xdr:blipFill>
      <xdr:spPr>
        <a:xfrm>
          <a:off x="3676650" y="0"/>
          <a:ext cx="7171428" cy="5685714"/>
        </a:xfrm>
        <a:prstGeom prst="rect">
          <a:avLst/>
        </a:prstGeom>
      </xdr:spPr>
    </xdr:pic>
    <xdr:clientData/>
  </xdr:twoCellAnchor>
  <xdr:twoCellAnchor editAs="oneCell">
    <xdr:from>
      <xdr:col>0</xdr:col>
      <xdr:colOff>0</xdr:colOff>
      <xdr:row>33</xdr:row>
      <xdr:rowOff>95250</xdr:rowOff>
    </xdr:from>
    <xdr:to>
      <xdr:col>11</xdr:col>
      <xdr:colOff>180009</xdr:colOff>
      <xdr:row>58</xdr:row>
      <xdr:rowOff>123286</xdr:rowOff>
    </xdr:to>
    <xdr:pic>
      <xdr:nvPicPr>
        <xdr:cNvPr id="4" name="图片 3">
          <a:extLst>
            <a:ext uri="{FF2B5EF4-FFF2-40B4-BE49-F238E27FC236}">
              <a16:creationId xmlns:a16="http://schemas.microsoft.com/office/drawing/2014/main" id="{6A897415-DCF4-D418-0365-18AC01E0C55D}"/>
            </a:ext>
          </a:extLst>
        </xdr:cNvPr>
        <xdr:cNvPicPr>
          <a:picLocks noChangeAspect="1"/>
        </xdr:cNvPicPr>
      </xdr:nvPicPr>
      <xdr:blipFill>
        <a:blip xmlns:r="http://schemas.openxmlformats.org/officeDocument/2006/relationships" r:embed="rId3"/>
        <a:stretch>
          <a:fillRect/>
        </a:stretch>
      </xdr:blipFill>
      <xdr:spPr>
        <a:xfrm>
          <a:off x="0" y="5753100"/>
          <a:ext cx="7723809" cy="4314286"/>
        </a:xfrm>
        <a:prstGeom prst="rect">
          <a:avLst/>
        </a:prstGeom>
      </xdr:spPr>
    </xdr:pic>
    <xdr:clientData/>
  </xdr:twoCellAnchor>
  <xdr:twoCellAnchor editAs="oneCell">
    <xdr:from>
      <xdr:col>0</xdr:col>
      <xdr:colOff>0</xdr:colOff>
      <xdr:row>60</xdr:row>
      <xdr:rowOff>0</xdr:rowOff>
    </xdr:from>
    <xdr:to>
      <xdr:col>12</xdr:col>
      <xdr:colOff>379924</xdr:colOff>
      <xdr:row>87</xdr:row>
      <xdr:rowOff>132755</xdr:rowOff>
    </xdr:to>
    <xdr:pic>
      <xdr:nvPicPr>
        <xdr:cNvPr id="5" name="图片 4">
          <a:extLst>
            <a:ext uri="{FF2B5EF4-FFF2-40B4-BE49-F238E27FC236}">
              <a16:creationId xmlns:a16="http://schemas.microsoft.com/office/drawing/2014/main" id="{1EB11381-8D79-9884-F8C7-A5A112102E3B}"/>
            </a:ext>
          </a:extLst>
        </xdr:cNvPr>
        <xdr:cNvPicPr>
          <a:picLocks noChangeAspect="1"/>
        </xdr:cNvPicPr>
      </xdr:nvPicPr>
      <xdr:blipFill>
        <a:blip xmlns:r="http://schemas.openxmlformats.org/officeDocument/2006/relationships" r:embed="rId4"/>
        <a:stretch>
          <a:fillRect/>
        </a:stretch>
      </xdr:blipFill>
      <xdr:spPr>
        <a:xfrm>
          <a:off x="0" y="10287000"/>
          <a:ext cx="8609524" cy="4761905"/>
        </a:xfrm>
        <a:prstGeom prst="rect">
          <a:avLst/>
        </a:prstGeom>
      </xdr:spPr>
    </xdr:pic>
    <xdr:clientData/>
  </xdr:twoCellAnchor>
  <xdr:twoCellAnchor editAs="oneCell">
    <xdr:from>
      <xdr:col>12</xdr:col>
      <xdr:colOff>523875</xdr:colOff>
      <xdr:row>60</xdr:row>
      <xdr:rowOff>28575</xdr:rowOff>
    </xdr:from>
    <xdr:to>
      <xdr:col>25</xdr:col>
      <xdr:colOff>370380</xdr:colOff>
      <xdr:row>89</xdr:row>
      <xdr:rowOff>66049</xdr:rowOff>
    </xdr:to>
    <xdr:pic>
      <xdr:nvPicPr>
        <xdr:cNvPr id="6" name="图片 5">
          <a:extLst>
            <a:ext uri="{FF2B5EF4-FFF2-40B4-BE49-F238E27FC236}">
              <a16:creationId xmlns:a16="http://schemas.microsoft.com/office/drawing/2014/main" id="{69C8F1F3-7E23-D3BE-8977-E289103CAFAC}"/>
            </a:ext>
          </a:extLst>
        </xdr:cNvPr>
        <xdr:cNvPicPr>
          <a:picLocks noChangeAspect="1"/>
        </xdr:cNvPicPr>
      </xdr:nvPicPr>
      <xdr:blipFill>
        <a:blip xmlns:r="http://schemas.openxmlformats.org/officeDocument/2006/relationships" r:embed="rId5"/>
        <a:stretch>
          <a:fillRect/>
        </a:stretch>
      </xdr:blipFill>
      <xdr:spPr>
        <a:xfrm>
          <a:off x="8753475" y="10315575"/>
          <a:ext cx="8761905" cy="5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20</xdr:col>
      <xdr:colOff>618619</xdr:colOff>
      <xdr:row>21</xdr:row>
      <xdr:rowOff>75740</xdr:rowOff>
    </xdr:to>
    <xdr:pic>
      <xdr:nvPicPr>
        <xdr:cNvPr id="2" name="图片 1">
          <a:extLst>
            <a:ext uri="{FF2B5EF4-FFF2-40B4-BE49-F238E27FC236}">
              <a16:creationId xmlns:a16="http://schemas.microsoft.com/office/drawing/2014/main" id="{EBBEAB16-E817-51C9-DAA4-671B27C2C627}"/>
            </a:ext>
          </a:extLst>
        </xdr:cNvPr>
        <xdr:cNvPicPr>
          <a:picLocks noChangeAspect="1"/>
        </xdr:cNvPicPr>
      </xdr:nvPicPr>
      <xdr:blipFill>
        <a:blip xmlns:r="http://schemas.openxmlformats.org/officeDocument/2006/relationships" r:embed="rId1"/>
        <a:stretch>
          <a:fillRect/>
        </a:stretch>
      </xdr:blipFill>
      <xdr:spPr>
        <a:xfrm>
          <a:off x="10287000" y="0"/>
          <a:ext cx="4047619" cy="3676190"/>
        </a:xfrm>
        <a:prstGeom prst="rect">
          <a:avLst/>
        </a:prstGeom>
      </xdr:spPr>
    </xdr:pic>
    <xdr:clientData/>
  </xdr:twoCellAnchor>
  <xdr:twoCellAnchor editAs="oneCell">
    <xdr:from>
      <xdr:col>15</xdr:col>
      <xdr:colOff>0</xdr:colOff>
      <xdr:row>22</xdr:row>
      <xdr:rowOff>0</xdr:rowOff>
    </xdr:from>
    <xdr:to>
      <xdr:col>21</xdr:col>
      <xdr:colOff>18533</xdr:colOff>
      <xdr:row>42</xdr:row>
      <xdr:rowOff>18619</xdr:rowOff>
    </xdr:to>
    <xdr:pic>
      <xdr:nvPicPr>
        <xdr:cNvPr id="3" name="图片 2">
          <a:extLst>
            <a:ext uri="{FF2B5EF4-FFF2-40B4-BE49-F238E27FC236}">
              <a16:creationId xmlns:a16="http://schemas.microsoft.com/office/drawing/2014/main" id="{073A0CFF-C2E3-FEAE-ECD6-5D68E6AB7838}"/>
            </a:ext>
          </a:extLst>
        </xdr:cNvPr>
        <xdr:cNvPicPr>
          <a:picLocks noChangeAspect="1"/>
        </xdr:cNvPicPr>
      </xdr:nvPicPr>
      <xdr:blipFill>
        <a:blip xmlns:r="http://schemas.openxmlformats.org/officeDocument/2006/relationships" r:embed="rId2"/>
        <a:stretch>
          <a:fillRect/>
        </a:stretch>
      </xdr:blipFill>
      <xdr:spPr>
        <a:xfrm>
          <a:off x="10287000" y="3771900"/>
          <a:ext cx="4133333" cy="3447619"/>
        </a:xfrm>
        <a:prstGeom prst="rect">
          <a:avLst/>
        </a:prstGeom>
      </xdr:spPr>
    </xdr:pic>
    <xdr:clientData/>
  </xdr:twoCellAnchor>
  <xdr:twoCellAnchor editAs="oneCell">
    <xdr:from>
      <xdr:col>15</xdr:col>
      <xdr:colOff>0</xdr:colOff>
      <xdr:row>43</xdr:row>
      <xdr:rowOff>0</xdr:rowOff>
    </xdr:from>
    <xdr:to>
      <xdr:col>21</xdr:col>
      <xdr:colOff>28057</xdr:colOff>
      <xdr:row>63</xdr:row>
      <xdr:rowOff>9095</xdr:rowOff>
    </xdr:to>
    <xdr:pic>
      <xdr:nvPicPr>
        <xdr:cNvPr id="4" name="图片 3">
          <a:extLst>
            <a:ext uri="{FF2B5EF4-FFF2-40B4-BE49-F238E27FC236}">
              <a16:creationId xmlns:a16="http://schemas.microsoft.com/office/drawing/2014/main" id="{01E8A625-463C-DF24-6EA3-9AB4D3C1DD4E}"/>
            </a:ext>
          </a:extLst>
        </xdr:cNvPr>
        <xdr:cNvPicPr>
          <a:picLocks noChangeAspect="1"/>
        </xdr:cNvPicPr>
      </xdr:nvPicPr>
      <xdr:blipFill>
        <a:blip xmlns:r="http://schemas.openxmlformats.org/officeDocument/2006/relationships" r:embed="rId3"/>
        <a:stretch>
          <a:fillRect/>
        </a:stretch>
      </xdr:blipFill>
      <xdr:spPr>
        <a:xfrm>
          <a:off x="10287000" y="7372350"/>
          <a:ext cx="4142857" cy="3438095"/>
        </a:xfrm>
        <a:prstGeom prst="rect">
          <a:avLst/>
        </a:prstGeom>
      </xdr:spPr>
    </xdr:pic>
    <xdr:clientData/>
  </xdr:twoCellAnchor>
  <xdr:twoCellAnchor editAs="oneCell">
    <xdr:from>
      <xdr:col>0</xdr:col>
      <xdr:colOff>0</xdr:colOff>
      <xdr:row>0</xdr:row>
      <xdr:rowOff>0</xdr:rowOff>
    </xdr:from>
    <xdr:to>
      <xdr:col>14</xdr:col>
      <xdr:colOff>409575</xdr:colOff>
      <xdr:row>28</xdr:row>
      <xdr:rowOff>84272</xdr:rowOff>
    </xdr:to>
    <xdr:pic>
      <xdr:nvPicPr>
        <xdr:cNvPr id="5" name="图片 4">
          <a:extLst>
            <a:ext uri="{FF2B5EF4-FFF2-40B4-BE49-F238E27FC236}">
              <a16:creationId xmlns:a16="http://schemas.microsoft.com/office/drawing/2014/main" id="{31673558-5559-B353-D5C2-995521C218FA}"/>
            </a:ext>
          </a:extLst>
        </xdr:cNvPr>
        <xdr:cNvPicPr>
          <a:picLocks noChangeAspect="1"/>
        </xdr:cNvPicPr>
      </xdr:nvPicPr>
      <xdr:blipFill>
        <a:blip xmlns:r="http://schemas.openxmlformats.org/officeDocument/2006/relationships" r:embed="rId4"/>
        <a:stretch>
          <a:fillRect/>
        </a:stretch>
      </xdr:blipFill>
      <xdr:spPr>
        <a:xfrm>
          <a:off x="0" y="0"/>
          <a:ext cx="10010775" cy="4884872"/>
        </a:xfrm>
        <a:prstGeom prst="rect">
          <a:avLst/>
        </a:prstGeom>
      </xdr:spPr>
    </xdr:pic>
    <xdr:clientData/>
  </xdr:twoCellAnchor>
  <xdr:twoCellAnchor editAs="oneCell">
    <xdr:from>
      <xdr:col>0</xdr:col>
      <xdr:colOff>0</xdr:colOff>
      <xdr:row>29</xdr:row>
      <xdr:rowOff>0</xdr:rowOff>
    </xdr:from>
    <xdr:to>
      <xdr:col>14</xdr:col>
      <xdr:colOff>619125</xdr:colOff>
      <xdr:row>57</xdr:row>
      <xdr:rowOff>82631</xdr:rowOff>
    </xdr:to>
    <xdr:pic>
      <xdr:nvPicPr>
        <xdr:cNvPr id="6" name="图片 5">
          <a:extLst>
            <a:ext uri="{FF2B5EF4-FFF2-40B4-BE49-F238E27FC236}">
              <a16:creationId xmlns:a16="http://schemas.microsoft.com/office/drawing/2014/main" id="{B149814A-35D1-BE3F-C7A0-D8253D3DEC05}"/>
            </a:ext>
          </a:extLst>
        </xdr:cNvPr>
        <xdr:cNvPicPr>
          <a:picLocks noChangeAspect="1"/>
        </xdr:cNvPicPr>
      </xdr:nvPicPr>
      <xdr:blipFill>
        <a:blip xmlns:r="http://schemas.openxmlformats.org/officeDocument/2006/relationships" r:embed="rId5"/>
        <a:stretch>
          <a:fillRect/>
        </a:stretch>
      </xdr:blipFill>
      <xdr:spPr>
        <a:xfrm>
          <a:off x="0" y="4972050"/>
          <a:ext cx="10220325" cy="4883231"/>
        </a:xfrm>
        <a:prstGeom prst="rect">
          <a:avLst/>
        </a:prstGeom>
      </xdr:spPr>
    </xdr:pic>
    <xdr:clientData/>
  </xdr:twoCellAnchor>
  <xdr:twoCellAnchor editAs="oneCell">
    <xdr:from>
      <xdr:col>0</xdr:col>
      <xdr:colOff>1</xdr:colOff>
      <xdr:row>58</xdr:row>
      <xdr:rowOff>0</xdr:rowOff>
    </xdr:from>
    <xdr:to>
      <xdr:col>14</xdr:col>
      <xdr:colOff>666751</xdr:colOff>
      <xdr:row>83</xdr:row>
      <xdr:rowOff>123756</xdr:rowOff>
    </xdr:to>
    <xdr:pic>
      <xdr:nvPicPr>
        <xdr:cNvPr id="7" name="图片 6">
          <a:extLst>
            <a:ext uri="{FF2B5EF4-FFF2-40B4-BE49-F238E27FC236}">
              <a16:creationId xmlns:a16="http://schemas.microsoft.com/office/drawing/2014/main" id="{0504E03A-6CAE-CC1F-6C2B-8CFE5D9EFF01}"/>
            </a:ext>
          </a:extLst>
        </xdr:cNvPr>
        <xdr:cNvPicPr>
          <a:picLocks noChangeAspect="1"/>
        </xdr:cNvPicPr>
      </xdr:nvPicPr>
      <xdr:blipFill>
        <a:blip xmlns:r="http://schemas.openxmlformats.org/officeDocument/2006/relationships" r:embed="rId6"/>
        <a:stretch>
          <a:fillRect/>
        </a:stretch>
      </xdr:blipFill>
      <xdr:spPr>
        <a:xfrm>
          <a:off x="1" y="9944100"/>
          <a:ext cx="10267950" cy="44100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569971</xdr:colOff>
      <xdr:row>33</xdr:row>
      <xdr:rowOff>104055</xdr:rowOff>
    </xdr:to>
    <xdr:pic>
      <xdr:nvPicPr>
        <xdr:cNvPr id="5" name="图片 4">
          <a:extLst>
            <a:ext uri="{FF2B5EF4-FFF2-40B4-BE49-F238E27FC236}">
              <a16:creationId xmlns:a16="http://schemas.microsoft.com/office/drawing/2014/main" id="{7B75061F-0E96-D003-7DD7-1414290C4342}"/>
            </a:ext>
          </a:extLst>
        </xdr:cNvPr>
        <xdr:cNvPicPr>
          <a:picLocks noChangeAspect="1"/>
        </xdr:cNvPicPr>
      </xdr:nvPicPr>
      <xdr:blipFill>
        <a:blip xmlns:r="http://schemas.openxmlformats.org/officeDocument/2006/relationships" r:embed="rId1"/>
        <a:stretch>
          <a:fillRect/>
        </a:stretch>
      </xdr:blipFill>
      <xdr:spPr>
        <a:xfrm>
          <a:off x="0" y="0"/>
          <a:ext cx="12228571" cy="5761905"/>
        </a:xfrm>
        <a:prstGeom prst="rect">
          <a:avLst/>
        </a:prstGeom>
      </xdr:spPr>
    </xdr:pic>
    <xdr:clientData/>
  </xdr:twoCellAnchor>
  <xdr:twoCellAnchor editAs="oneCell">
    <xdr:from>
      <xdr:col>0</xdr:col>
      <xdr:colOff>0</xdr:colOff>
      <xdr:row>34</xdr:row>
      <xdr:rowOff>0</xdr:rowOff>
    </xdr:from>
    <xdr:to>
      <xdr:col>17</xdr:col>
      <xdr:colOff>627114</xdr:colOff>
      <xdr:row>54</xdr:row>
      <xdr:rowOff>18619</xdr:rowOff>
    </xdr:to>
    <xdr:pic>
      <xdr:nvPicPr>
        <xdr:cNvPr id="6" name="图片 5">
          <a:extLst>
            <a:ext uri="{FF2B5EF4-FFF2-40B4-BE49-F238E27FC236}">
              <a16:creationId xmlns:a16="http://schemas.microsoft.com/office/drawing/2014/main" id="{1646DC12-9DCA-3499-3E51-6C8BB8541CB8}"/>
            </a:ext>
          </a:extLst>
        </xdr:cNvPr>
        <xdr:cNvPicPr>
          <a:picLocks noChangeAspect="1"/>
        </xdr:cNvPicPr>
      </xdr:nvPicPr>
      <xdr:blipFill>
        <a:blip xmlns:r="http://schemas.openxmlformats.org/officeDocument/2006/relationships" r:embed="rId2"/>
        <a:stretch>
          <a:fillRect/>
        </a:stretch>
      </xdr:blipFill>
      <xdr:spPr>
        <a:xfrm>
          <a:off x="0" y="5829300"/>
          <a:ext cx="12285714" cy="3447619"/>
        </a:xfrm>
        <a:prstGeom prst="rect">
          <a:avLst/>
        </a:prstGeom>
      </xdr:spPr>
    </xdr:pic>
    <xdr:clientData/>
  </xdr:twoCellAnchor>
  <xdr:twoCellAnchor editAs="oneCell">
    <xdr:from>
      <xdr:col>0</xdr:col>
      <xdr:colOff>0</xdr:colOff>
      <xdr:row>54</xdr:row>
      <xdr:rowOff>0</xdr:rowOff>
    </xdr:from>
    <xdr:to>
      <xdr:col>17</xdr:col>
      <xdr:colOff>455686</xdr:colOff>
      <xdr:row>67</xdr:row>
      <xdr:rowOff>123531</xdr:rowOff>
    </xdr:to>
    <xdr:pic>
      <xdr:nvPicPr>
        <xdr:cNvPr id="7" name="图片 6">
          <a:extLst>
            <a:ext uri="{FF2B5EF4-FFF2-40B4-BE49-F238E27FC236}">
              <a16:creationId xmlns:a16="http://schemas.microsoft.com/office/drawing/2014/main" id="{7A7E58DD-7E03-47C4-A08E-0899D158DF86}"/>
            </a:ext>
          </a:extLst>
        </xdr:cNvPr>
        <xdr:cNvPicPr>
          <a:picLocks noChangeAspect="1"/>
        </xdr:cNvPicPr>
      </xdr:nvPicPr>
      <xdr:blipFill>
        <a:blip xmlns:r="http://schemas.openxmlformats.org/officeDocument/2006/relationships" r:embed="rId3"/>
        <a:stretch>
          <a:fillRect/>
        </a:stretch>
      </xdr:blipFill>
      <xdr:spPr>
        <a:xfrm>
          <a:off x="0" y="9258300"/>
          <a:ext cx="12114286" cy="2352381"/>
        </a:xfrm>
        <a:prstGeom prst="rect">
          <a:avLst/>
        </a:prstGeom>
      </xdr:spPr>
    </xdr:pic>
    <xdr:clientData/>
  </xdr:twoCellAnchor>
  <xdr:twoCellAnchor editAs="oneCell">
    <xdr:from>
      <xdr:col>0</xdr:col>
      <xdr:colOff>0</xdr:colOff>
      <xdr:row>68</xdr:row>
      <xdr:rowOff>0</xdr:rowOff>
    </xdr:from>
    <xdr:to>
      <xdr:col>17</xdr:col>
      <xdr:colOff>589019</xdr:colOff>
      <xdr:row>90</xdr:row>
      <xdr:rowOff>142386</xdr:rowOff>
    </xdr:to>
    <xdr:pic>
      <xdr:nvPicPr>
        <xdr:cNvPr id="8" name="图片 7">
          <a:extLst>
            <a:ext uri="{FF2B5EF4-FFF2-40B4-BE49-F238E27FC236}">
              <a16:creationId xmlns:a16="http://schemas.microsoft.com/office/drawing/2014/main" id="{12E6A9D9-580E-1613-E46F-ED6ED97B3BD9}"/>
            </a:ext>
          </a:extLst>
        </xdr:cNvPr>
        <xdr:cNvPicPr>
          <a:picLocks noChangeAspect="1"/>
        </xdr:cNvPicPr>
      </xdr:nvPicPr>
      <xdr:blipFill>
        <a:blip xmlns:r="http://schemas.openxmlformats.org/officeDocument/2006/relationships" r:embed="rId4"/>
        <a:stretch>
          <a:fillRect/>
        </a:stretch>
      </xdr:blipFill>
      <xdr:spPr>
        <a:xfrm>
          <a:off x="0" y="11658600"/>
          <a:ext cx="12247619" cy="3914286"/>
        </a:xfrm>
        <a:prstGeom prst="rect">
          <a:avLst/>
        </a:prstGeom>
      </xdr:spPr>
    </xdr:pic>
    <xdr:clientData/>
  </xdr:twoCellAnchor>
  <xdr:twoCellAnchor editAs="oneCell">
    <xdr:from>
      <xdr:col>0</xdr:col>
      <xdr:colOff>0</xdr:colOff>
      <xdr:row>91</xdr:row>
      <xdr:rowOff>0</xdr:rowOff>
    </xdr:from>
    <xdr:to>
      <xdr:col>17</xdr:col>
      <xdr:colOff>398543</xdr:colOff>
      <xdr:row>100</xdr:row>
      <xdr:rowOff>37902</xdr:rowOff>
    </xdr:to>
    <xdr:pic>
      <xdr:nvPicPr>
        <xdr:cNvPr id="9" name="图片 8">
          <a:extLst>
            <a:ext uri="{FF2B5EF4-FFF2-40B4-BE49-F238E27FC236}">
              <a16:creationId xmlns:a16="http://schemas.microsoft.com/office/drawing/2014/main" id="{1C368959-A826-7F04-5BF1-EF4B9ED2C509}"/>
            </a:ext>
          </a:extLst>
        </xdr:cNvPr>
        <xdr:cNvPicPr>
          <a:picLocks noChangeAspect="1"/>
        </xdr:cNvPicPr>
      </xdr:nvPicPr>
      <xdr:blipFill>
        <a:blip xmlns:r="http://schemas.openxmlformats.org/officeDocument/2006/relationships" r:embed="rId5"/>
        <a:stretch>
          <a:fillRect/>
        </a:stretch>
      </xdr:blipFill>
      <xdr:spPr>
        <a:xfrm>
          <a:off x="0" y="15601950"/>
          <a:ext cx="12057143" cy="1580952"/>
        </a:xfrm>
        <a:prstGeom prst="rect">
          <a:avLst/>
        </a:prstGeom>
      </xdr:spPr>
    </xdr:pic>
    <xdr:clientData/>
  </xdr:twoCellAnchor>
  <xdr:twoCellAnchor editAs="oneCell">
    <xdr:from>
      <xdr:col>19</xdr:col>
      <xdr:colOff>0</xdr:colOff>
      <xdr:row>1</xdr:row>
      <xdr:rowOff>0</xdr:rowOff>
    </xdr:from>
    <xdr:to>
      <xdr:col>24</xdr:col>
      <xdr:colOff>674405</xdr:colOff>
      <xdr:row>30</xdr:row>
      <xdr:rowOff>32012</xdr:rowOff>
    </xdr:to>
    <xdr:pic>
      <xdr:nvPicPr>
        <xdr:cNvPr id="10" name="图片 9">
          <a:extLst>
            <a:ext uri="{FF2B5EF4-FFF2-40B4-BE49-F238E27FC236}">
              <a16:creationId xmlns:a16="http://schemas.microsoft.com/office/drawing/2014/main" id="{2BA266CF-A85F-A65F-2F6B-B10D100C5F8F}"/>
            </a:ext>
          </a:extLst>
        </xdr:cNvPr>
        <xdr:cNvPicPr>
          <a:picLocks noChangeAspect="1"/>
        </xdr:cNvPicPr>
      </xdr:nvPicPr>
      <xdr:blipFill>
        <a:blip xmlns:r="http://schemas.openxmlformats.org/officeDocument/2006/relationships" r:embed="rId6"/>
        <a:stretch>
          <a:fillRect/>
        </a:stretch>
      </xdr:blipFill>
      <xdr:spPr>
        <a:xfrm>
          <a:off x="12926786" y="176893"/>
          <a:ext cx="4076190" cy="5161905"/>
        </a:xfrm>
        <a:prstGeom prst="rect">
          <a:avLst/>
        </a:prstGeom>
      </xdr:spPr>
    </xdr:pic>
    <xdr:clientData/>
  </xdr:twoCellAnchor>
  <xdr:twoCellAnchor editAs="oneCell">
    <xdr:from>
      <xdr:col>19</xdr:col>
      <xdr:colOff>0</xdr:colOff>
      <xdr:row>31</xdr:row>
      <xdr:rowOff>0</xdr:rowOff>
    </xdr:from>
    <xdr:to>
      <xdr:col>24</xdr:col>
      <xdr:colOff>512501</xdr:colOff>
      <xdr:row>50</xdr:row>
      <xdr:rowOff>143798</xdr:rowOff>
    </xdr:to>
    <xdr:pic>
      <xdr:nvPicPr>
        <xdr:cNvPr id="11" name="图片 10">
          <a:extLst>
            <a:ext uri="{FF2B5EF4-FFF2-40B4-BE49-F238E27FC236}">
              <a16:creationId xmlns:a16="http://schemas.microsoft.com/office/drawing/2014/main" id="{87A76FC2-1DAE-915C-13C1-B7222DEF1FAE}"/>
            </a:ext>
          </a:extLst>
        </xdr:cNvPr>
        <xdr:cNvPicPr>
          <a:picLocks noChangeAspect="1"/>
        </xdr:cNvPicPr>
      </xdr:nvPicPr>
      <xdr:blipFill>
        <a:blip xmlns:r="http://schemas.openxmlformats.org/officeDocument/2006/relationships" r:embed="rId7"/>
        <a:stretch>
          <a:fillRect/>
        </a:stretch>
      </xdr:blipFill>
      <xdr:spPr>
        <a:xfrm>
          <a:off x="12926786" y="5483679"/>
          <a:ext cx="3914286" cy="3504762"/>
        </a:xfrm>
        <a:prstGeom prst="rect">
          <a:avLst/>
        </a:prstGeom>
      </xdr:spPr>
    </xdr:pic>
    <xdr:clientData/>
  </xdr:twoCellAnchor>
  <xdr:twoCellAnchor editAs="oneCell">
    <xdr:from>
      <xdr:col>19</xdr:col>
      <xdr:colOff>0</xdr:colOff>
      <xdr:row>53</xdr:row>
      <xdr:rowOff>0</xdr:rowOff>
    </xdr:from>
    <xdr:to>
      <xdr:col>24</xdr:col>
      <xdr:colOff>588691</xdr:colOff>
      <xdr:row>85</xdr:row>
      <xdr:rowOff>15618</xdr:rowOff>
    </xdr:to>
    <xdr:pic>
      <xdr:nvPicPr>
        <xdr:cNvPr id="12" name="图片 11">
          <a:extLst>
            <a:ext uri="{FF2B5EF4-FFF2-40B4-BE49-F238E27FC236}">
              <a16:creationId xmlns:a16="http://schemas.microsoft.com/office/drawing/2014/main" id="{C142187C-9998-805F-968B-5C42CB49BE9A}"/>
            </a:ext>
          </a:extLst>
        </xdr:cNvPr>
        <xdr:cNvPicPr>
          <a:picLocks noChangeAspect="1"/>
        </xdr:cNvPicPr>
      </xdr:nvPicPr>
      <xdr:blipFill>
        <a:blip xmlns:r="http://schemas.openxmlformats.org/officeDocument/2006/relationships" r:embed="rId8"/>
        <a:stretch>
          <a:fillRect/>
        </a:stretch>
      </xdr:blipFill>
      <xdr:spPr>
        <a:xfrm>
          <a:off x="12926786" y="9375321"/>
          <a:ext cx="3990476" cy="5676190"/>
        </a:xfrm>
        <a:prstGeom prst="rect">
          <a:avLst/>
        </a:prstGeom>
      </xdr:spPr>
    </xdr:pic>
    <xdr:clientData/>
  </xdr:twoCellAnchor>
  <xdr:twoCellAnchor editAs="oneCell">
    <xdr:from>
      <xdr:col>25</xdr:col>
      <xdr:colOff>312964</xdr:colOff>
      <xdr:row>0</xdr:row>
      <xdr:rowOff>0</xdr:rowOff>
    </xdr:from>
    <xdr:to>
      <xdr:col>31</xdr:col>
      <xdr:colOff>164155</xdr:colOff>
      <xdr:row>31</xdr:row>
      <xdr:rowOff>135369</xdr:rowOff>
    </xdr:to>
    <xdr:pic>
      <xdr:nvPicPr>
        <xdr:cNvPr id="13" name="图片 12">
          <a:extLst>
            <a:ext uri="{FF2B5EF4-FFF2-40B4-BE49-F238E27FC236}">
              <a16:creationId xmlns:a16="http://schemas.microsoft.com/office/drawing/2014/main" id="{4F8F6E4F-2114-73F9-2516-833FA5E5D0DD}"/>
            </a:ext>
          </a:extLst>
        </xdr:cNvPr>
        <xdr:cNvPicPr>
          <a:picLocks noChangeAspect="1"/>
        </xdr:cNvPicPr>
      </xdr:nvPicPr>
      <xdr:blipFill>
        <a:blip xmlns:r="http://schemas.openxmlformats.org/officeDocument/2006/relationships" r:embed="rId9"/>
        <a:stretch>
          <a:fillRect/>
        </a:stretch>
      </xdr:blipFill>
      <xdr:spPr>
        <a:xfrm>
          <a:off x="17321893" y="0"/>
          <a:ext cx="3933333" cy="5619048"/>
        </a:xfrm>
        <a:prstGeom prst="rect">
          <a:avLst/>
        </a:prstGeom>
      </xdr:spPr>
    </xdr:pic>
    <xdr:clientData/>
  </xdr:twoCellAnchor>
  <xdr:twoCellAnchor editAs="oneCell">
    <xdr:from>
      <xdr:col>25</xdr:col>
      <xdr:colOff>0</xdr:colOff>
      <xdr:row>33</xdr:row>
      <xdr:rowOff>0</xdr:rowOff>
    </xdr:from>
    <xdr:to>
      <xdr:col>31</xdr:col>
      <xdr:colOff>41667</xdr:colOff>
      <xdr:row>64</xdr:row>
      <xdr:rowOff>163940</xdr:rowOff>
    </xdr:to>
    <xdr:pic>
      <xdr:nvPicPr>
        <xdr:cNvPr id="14" name="图片 13">
          <a:extLst>
            <a:ext uri="{FF2B5EF4-FFF2-40B4-BE49-F238E27FC236}">
              <a16:creationId xmlns:a16="http://schemas.microsoft.com/office/drawing/2014/main" id="{7D58CB0B-3147-18CA-6813-03CB3390508E}"/>
            </a:ext>
          </a:extLst>
        </xdr:cNvPr>
        <xdr:cNvPicPr>
          <a:picLocks noChangeAspect="1"/>
        </xdr:cNvPicPr>
      </xdr:nvPicPr>
      <xdr:blipFill>
        <a:blip xmlns:r="http://schemas.openxmlformats.org/officeDocument/2006/relationships" r:embed="rId10"/>
        <a:stretch>
          <a:fillRect/>
        </a:stretch>
      </xdr:blipFill>
      <xdr:spPr>
        <a:xfrm>
          <a:off x="17008929" y="5837464"/>
          <a:ext cx="4123809" cy="5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19</xdr:row>
      <xdr:rowOff>85307</xdr:rowOff>
    </xdr:to>
    <xdr:pic>
      <xdr:nvPicPr>
        <xdr:cNvPr id="4" name="图片 3">
          <a:extLst>
            <a:ext uri="{FF2B5EF4-FFF2-40B4-BE49-F238E27FC236}">
              <a16:creationId xmlns:a16="http://schemas.microsoft.com/office/drawing/2014/main" id="{8223E3B3-9104-F555-7AAE-D76D1FC2DE51}"/>
            </a:ext>
          </a:extLst>
        </xdr:cNvPr>
        <xdr:cNvPicPr>
          <a:picLocks noChangeAspect="1"/>
        </xdr:cNvPicPr>
      </xdr:nvPicPr>
      <xdr:blipFill>
        <a:blip xmlns:r="http://schemas.openxmlformats.org/officeDocument/2006/relationships" r:embed="rId1"/>
        <a:stretch>
          <a:fillRect/>
        </a:stretch>
      </xdr:blipFill>
      <xdr:spPr>
        <a:xfrm>
          <a:off x="0" y="0"/>
          <a:ext cx="12209519" cy="3278983"/>
        </a:xfrm>
        <a:prstGeom prst="rect">
          <a:avLst/>
        </a:prstGeom>
      </xdr:spPr>
    </xdr:pic>
    <xdr:clientData/>
  </xdr:twoCellAnchor>
  <xdr:twoCellAnchor editAs="oneCell">
    <xdr:from>
      <xdr:col>0</xdr:col>
      <xdr:colOff>0</xdr:colOff>
      <xdr:row>19</xdr:row>
      <xdr:rowOff>78444</xdr:rowOff>
    </xdr:from>
    <xdr:to>
      <xdr:col>17</xdr:col>
      <xdr:colOff>379495</xdr:colOff>
      <xdr:row>49</xdr:row>
      <xdr:rowOff>115895</xdr:rowOff>
    </xdr:to>
    <xdr:pic>
      <xdr:nvPicPr>
        <xdr:cNvPr id="5" name="图片 4">
          <a:extLst>
            <a:ext uri="{FF2B5EF4-FFF2-40B4-BE49-F238E27FC236}">
              <a16:creationId xmlns:a16="http://schemas.microsoft.com/office/drawing/2014/main" id="{C170E5B5-98ED-A93A-C9FB-8306E5C19652}"/>
            </a:ext>
          </a:extLst>
        </xdr:cNvPr>
        <xdr:cNvPicPr>
          <a:picLocks noChangeAspect="1"/>
        </xdr:cNvPicPr>
      </xdr:nvPicPr>
      <xdr:blipFill>
        <a:blip xmlns:r="http://schemas.openxmlformats.org/officeDocument/2006/relationships" r:embed="rId2"/>
        <a:stretch>
          <a:fillRect/>
        </a:stretch>
      </xdr:blipFill>
      <xdr:spPr>
        <a:xfrm>
          <a:off x="0" y="3272120"/>
          <a:ext cx="11999995" cy="5080099"/>
        </a:xfrm>
        <a:prstGeom prst="rect">
          <a:avLst/>
        </a:prstGeom>
      </xdr:spPr>
    </xdr:pic>
    <xdr:clientData/>
  </xdr:twoCellAnchor>
  <xdr:twoCellAnchor editAs="oneCell">
    <xdr:from>
      <xdr:col>0</xdr:col>
      <xdr:colOff>0</xdr:colOff>
      <xdr:row>50</xdr:row>
      <xdr:rowOff>0</xdr:rowOff>
    </xdr:from>
    <xdr:to>
      <xdr:col>17</xdr:col>
      <xdr:colOff>627119</xdr:colOff>
      <xdr:row>88</xdr:row>
      <xdr:rowOff>107885</xdr:rowOff>
    </xdr:to>
    <xdr:pic>
      <xdr:nvPicPr>
        <xdr:cNvPr id="6" name="图片 5">
          <a:extLst>
            <a:ext uri="{FF2B5EF4-FFF2-40B4-BE49-F238E27FC236}">
              <a16:creationId xmlns:a16="http://schemas.microsoft.com/office/drawing/2014/main" id="{AEB82B71-7D7C-F6D3-A233-F5AD89FA8D13}"/>
            </a:ext>
          </a:extLst>
        </xdr:cNvPr>
        <xdr:cNvPicPr>
          <a:picLocks noChangeAspect="1"/>
        </xdr:cNvPicPr>
      </xdr:nvPicPr>
      <xdr:blipFill>
        <a:blip xmlns:r="http://schemas.openxmlformats.org/officeDocument/2006/relationships" r:embed="rId3"/>
        <a:stretch>
          <a:fillRect/>
        </a:stretch>
      </xdr:blipFill>
      <xdr:spPr>
        <a:xfrm>
          <a:off x="0" y="8404412"/>
          <a:ext cx="12247619" cy="6495238"/>
        </a:xfrm>
        <a:prstGeom prst="rect">
          <a:avLst/>
        </a:prstGeom>
      </xdr:spPr>
    </xdr:pic>
    <xdr:clientData/>
  </xdr:twoCellAnchor>
  <xdr:twoCellAnchor editAs="oneCell">
    <xdr:from>
      <xdr:col>0</xdr:col>
      <xdr:colOff>0</xdr:colOff>
      <xdr:row>89</xdr:row>
      <xdr:rowOff>0</xdr:rowOff>
    </xdr:from>
    <xdr:to>
      <xdr:col>17</xdr:col>
      <xdr:colOff>550928</xdr:colOff>
      <xdr:row>125</xdr:row>
      <xdr:rowOff>72633</xdr:rowOff>
    </xdr:to>
    <xdr:pic>
      <xdr:nvPicPr>
        <xdr:cNvPr id="7" name="图片 6">
          <a:extLst>
            <a:ext uri="{FF2B5EF4-FFF2-40B4-BE49-F238E27FC236}">
              <a16:creationId xmlns:a16="http://schemas.microsoft.com/office/drawing/2014/main" id="{EBEF17C1-6DB4-B022-7D58-44221FA5BAF9}"/>
            </a:ext>
          </a:extLst>
        </xdr:cNvPr>
        <xdr:cNvPicPr>
          <a:picLocks noChangeAspect="1"/>
        </xdr:cNvPicPr>
      </xdr:nvPicPr>
      <xdr:blipFill>
        <a:blip xmlns:r="http://schemas.openxmlformats.org/officeDocument/2006/relationships" r:embed="rId4"/>
        <a:stretch>
          <a:fillRect/>
        </a:stretch>
      </xdr:blipFill>
      <xdr:spPr>
        <a:xfrm>
          <a:off x="0" y="14959853"/>
          <a:ext cx="12171428" cy="6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受贵公司委托，我公司对房地产抵押价值进行了预评估。</v>
      </c>
    </row>
    <row r="7" spans="1:2">
      <c r="A7" s="1097" t="s">
        <v>566</v>
      </c>
      <c r="B7" s="1098" t="str">
        <f>'预评函-1'!A7</f>
        <v>估价对象为房地产，为所有。根据《国有土地使用证》[]，估价对象（分摊）出让国有建设用地使用权面积为0平方米，建筑面积为3532.06平方米。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估价对象为房地产,属开发建设的，该项目尚在开发建设中。根据《国有土地使用证》[]，估价对象（分摊）出让国有建设用地使用权面积为0平方米，规划建筑面积为3532.06平方米。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2025年3月11日（评估专业人员实地查勘之日）</v>
      </c>
    </row>
    <row r="13" spans="1:2">
      <c r="A13" s="1097" t="s">
        <v>529</v>
      </c>
      <c r="B13" s="1098"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本次评估采用的主估价方法为比较法和收益法。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t="e">
        <f ca="1">'预评函-2'!D5</f>
        <v>#REF!</v>
      </c>
    </row>
    <row r="21" spans="1:2">
      <c r="A21" s="1097" t="s">
        <v>537</v>
      </c>
      <c r="B21" s="1098" t="e">
        <f ca="1">'预评函-2'!D7</f>
        <v>#REF!</v>
      </c>
    </row>
    <row r="22" spans="1:2">
      <c r="A22" s="1097" t="s">
        <v>538</v>
      </c>
      <c r="B22" s="1098" t="e">
        <f ca="1">'预评函-2'!D6</f>
        <v>#REF!</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t="e">
        <f ca="1">'预评函-2'!D13</f>
        <v>#REF!</v>
      </c>
    </row>
    <row r="31" spans="1:2">
      <c r="A31" s="1097" t="s">
        <v>576</v>
      </c>
      <c r="B31" s="1098" t="e">
        <f ca="1">'预评函-2'!D15</f>
        <v>#REF!</v>
      </c>
    </row>
    <row r="32" spans="1:2">
      <c r="A32" s="1097" t="s">
        <v>543</v>
      </c>
      <c r="B32" s="1098" t="e">
        <f ca="1">'预评函-2'!D14</f>
        <v>#REF!</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房地产</v>
      </c>
    </row>
    <row r="42" spans="1:2">
      <c r="A42" s="1097" t="s">
        <v>590</v>
      </c>
      <c r="B42" s="1098" t="str">
        <f>'预评函-3'!B2</f>
        <v>建筑面积</v>
      </c>
    </row>
    <row r="43" spans="1:2">
      <c r="A43" s="1097" t="s">
        <v>591</v>
      </c>
      <c r="B43" s="1098">
        <f>'预评函-3'!B4</f>
        <v>3532.0600000000004</v>
      </c>
    </row>
    <row r="44" spans="1:2">
      <c r="A44" s="1097" t="s">
        <v>575</v>
      </c>
      <c r="B44" s="1098" t="str">
        <f>'预评函-3'!C2</f>
        <v>(分摊)土地面积</v>
      </c>
    </row>
    <row r="45" spans="1:2">
      <c r="A45" s="1097" t="s">
        <v>547</v>
      </c>
      <c r="B45" s="1098">
        <f>'预评函-3'!C4</f>
        <v>0</v>
      </c>
    </row>
    <row r="46" spans="1:2">
      <c r="A46" s="1097" t="s">
        <v>573</v>
      </c>
      <c r="B46" s="1098" t="str">
        <f>'预评函-3'!D2</f>
        <v>出让国有建设用地使用权价值</v>
      </c>
    </row>
    <row r="47" spans="1:2">
      <c r="A47" s="1097" t="s">
        <v>548</v>
      </c>
      <c r="B47" s="1098" t="e">
        <f ca="1">'预评函-3'!D4</f>
        <v>#REF!</v>
      </c>
    </row>
    <row r="48" spans="1:2">
      <c r="A48" s="1097" t="s">
        <v>549</v>
      </c>
      <c r="B48" s="1098" t="e">
        <f ca="1">'预评函-3'!E4</f>
        <v>#REF!</v>
      </c>
    </row>
    <row r="49" spans="1:2">
      <c r="A49" s="1097" t="s">
        <v>550</v>
      </c>
      <c r="B49" s="1098" t="e">
        <f ca="1">'预评函-3'!D5</f>
        <v>#REF!</v>
      </c>
    </row>
    <row r="50" spans="1:2">
      <c r="A50" s="1097" t="s">
        <v>574</v>
      </c>
      <c r="B50" s="1098" t="str">
        <f>'预评函-3'!F2</f>
        <v>在建建筑物价值</v>
      </c>
    </row>
    <row r="51" spans="1:2">
      <c r="A51" s="1097" t="s">
        <v>551</v>
      </c>
      <c r="B51" s="1098" t="e">
        <f ca="1">'预评函-3'!F4</f>
        <v>#REF!</v>
      </c>
    </row>
    <row r="52" spans="1:2">
      <c r="A52" s="1097" t="s">
        <v>552</v>
      </c>
      <c r="B52" s="1098" t="e">
        <f ca="1">'预评函-3'!G4</f>
        <v>#REF!</v>
      </c>
    </row>
    <row r="53" spans="1:2">
      <c r="A53" s="1097" t="s">
        <v>580</v>
      </c>
      <c r="B53" s="1098" t="e">
        <f ca="1">'预评函-3'!F5</f>
        <v>#REF!</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974</v>
      </c>
      <c r="C1" s="1416" t="s">
        <v>314</v>
      </c>
      <c r="D1" s="1417" t="s">
        <v>3337</v>
      </c>
      <c r="E1" s="1416" t="s">
        <v>975</v>
      </c>
      <c r="F1" s="1416" t="s">
        <v>976</v>
      </c>
      <c r="G1" s="1416" t="s">
        <v>977</v>
      </c>
      <c r="H1" s="1416" t="s">
        <v>978</v>
      </c>
      <c r="I1" s="1416" t="s">
        <v>979</v>
      </c>
      <c r="J1" s="1416" t="s">
        <v>980</v>
      </c>
      <c r="K1" s="1416" t="s">
        <v>981</v>
      </c>
      <c r="L1" s="1416" t="s">
        <v>982</v>
      </c>
      <c r="M1" s="1416" t="s">
        <v>983</v>
      </c>
      <c r="N1" s="1416" t="s">
        <v>984</v>
      </c>
      <c r="O1" s="1416" t="s">
        <v>985</v>
      </c>
      <c r="P1" s="1417" t="s">
        <v>309</v>
      </c>
      <c r="Q1" s="1417" t="s">
        <v>447</v>
      </c>
      <c r="R1" s="1416" t="s">
        <v>441</v>
      </c>
      <c r="S1" s="1416" t="s">
        <v>986</v>
      </c>
      <c r="T1" s="1417" t="s">
        <v>987</v>
      </c>
      <c r="U1" s="1416" t="s">
        <v>988</v>
      </c>
      <c r="V1" s="1416" t="s">
        <v>989</v>
      </c>
      <c r="W1" s="1416" t="s">
        <v>311</v>
      </c>
    </row>
    <row r="2" spans="1:23">
      <c r="A2" s="1419" t="s">
        <v>19</v>
      </c>
      <c r="B2" s="1419" t="s">
        <v>990</v>
      </c>
      <c r="C2" s="1420" t="s">
        <v>315</v>
      </c>
      <c r="D2" s="1421" t="s">
        <v>991</v>
      </c>
      <c r="E2" s="1421" t="s">
        <v>992</v>
      </c>
      <c r="F2" s="1421" t="s">
        <v>993</v>
      </c>
      <c r="G2" s="1421">
        <v>20</v>
      </c>
      <c r="H2" s="1421" t="s">
        <v>993</v>
      </c>
      <c r="I2" s="1421" t="s">
        <v>3323</v>
      </c>
      <c r="J2" s="1421" t="s">
        <v>994</v>
      </c>
      <c r="K2" s="1421" t="s">
        <v>995</v>
      </c>
      <c r="L2" s="1421" t="s">
        <v>995</v>
      </c>
      <c r="M2" s="1421" t="s">
        <v>995</v>
      </c>
      <c r="N2" s="1421" t="s">
        <v>995</v>
      </c>
      <c r="O2" s="1421" t="s">
        <v>995</v>
      </c>
      <c r="P2" s="1421" t="s">
        <v>995</v>
      </c>
      <c r="Q2" s="1421" t="s">
        <v>995</v>
      </c>
      <c r="R2" s="1421" t="s">
        <v>443</v>
      </c>
      <c r="S2" s="1421" t="s">
        <v>995</v>
      </c>
      <c r="T2" s="1421" t="s">
        <v>996</v>
      </c>
      <c r="U2" s="1421" t="s">
        <v>995</v>
      </c>
      <c r="V2" s="1421" t="s">
        <v>997</v>
      </c>
      <c r="W2" s="1421" t="s">
        <v>995</v>
      </c>
    </row>
    <row r="3" spans="1:23">
      <c r="A3" s="1419" t="s">
        <v>998</v>
      </c>
      <c r="B3" s="1422" t="s">
        <v>448</v>
      </c>
      <c r="C3" s="1420" t="s">
        <v>316</v>
      </c>
      <c r="D3" s="1421" t="s">
        <v>999</v>
      </c>
      <c r="E3" s="1421" t="s">
        <v>13</v>
      </c>
      <c r="F3" s="1421" t="s">
        <v>1000</v>
      </c>
      <c r="G3" s="1421">
        <v>40</v>
      </c>
      <c r="H3" s="1421" t="s">
        <v>1000</v>
      </c>
      <c r="I3" s="1421" t="s">
        <v>3324</v>
      </c>
      <c r="J3" s="1421" t="s">
        <v>1001</v>
      </c>
      <c r="K3" s="1421" t="s">
        <v>1002</v>
      </c>
      <c r="L3" s="1421" t="s">
        <v>1002</v>
      </c>
      <c r="M3" s="1421" t="s">
        <v>1002</v>
      </c>
      <c r="N3" s="1421" t="s">
        <v>1002</v>
      </c>
      <c r="O3" s="1421" t="s">
        <v>1002</v>
      </c>
      <c r="P3" s="1421" t="s">
        <v>1002</v>
      </c>
      <c r="Q3" s="1421" t="s">
        <v>1002</v>
      </c>
      <c r="R3" s="1421" t="s">
        <v>442</v>
      </c>
      <c r="S3" s="1421" t="s">
        <v>1002</v>
      </c>
      <c r="T3" s="1421" t="s">
        <v>1003</v>
      </c>
      <c r="U3" s="1421" t="s">
        <v>1002</v>
      </c>
      <c r="V3" s="1421" t="s">
        <v>1004</v>
      </c>
      <c r="W3" s="1421" t="s">
        <v>1002</v>
      </c>
    </row>
    <row r="4" spans="1:23">
      <c r="A4" s="1419" t="s">
        <v>1005</v>
      </c>
      <c r="B4" s="1419" t="s">
        <v>1006</v>
      </c>
      <c r="C4" s="1420" t="s">
        <v>317</v>
      </c>
      <c r="D4" s="1421" t="s">
        <v>389</v>
      </c>
      <c r="E4" s="1421" t="s">
        <v>1007</v>
      </c>
      <c r="F4" s="1421" t="s">
        <v>1008</v>
      </c>
      <c r="G4" s="1421">
        <v>50</v>
      </c>
      <c r="H4" s="1421" t="s">
        <v>1008</v>
      </c>
      <c r="I4" s="1421" t="s">
        <v>3325</v>
      </c>
      <c r="K4" s="1421" t="s">
        <v>1009</v>
      </c>
      <c r="L4" s="1421" t="s">
        <v>1009</v>
      </c>
      <c r="M4" s="1421" t="s">
        <v>1009</v>
      </c>
      <c r="N4" s="1421" t="s">
        <v>1009</v>
      </c>
      <c r="O4" s="1421" t="s">
        <v>1009</v>
      </c>
      <c r="P4" s="1421" t="s">
        <v>1009</v>
      </c>
      <c r="Q4" s="1421" t="s">
        <v>1009</v>
      </c>
      <c r="R4" s="1421" t="s">
        <v>444</v>
      </c>
      <c r="S4" s="1421" t="s">
        <v>1009</v>
      </c>
      <c r="T4" s="1421" t="s">
        <v>1010</v>
      </c>
      <c r="U4" s="1421" t="s">
        <v>1009</v>
      </c>
      <c r="W4" s="1421" t="s">
        <v>1009</v>
      </c>
    </row>
    <row r="5" spans="1:23">
      <c r="A5" s="1419" t="s">
        <v>1011</v>
      </c>
      <c r="B5" s="1419" t="s">
        <v>1012</v>
      </c>
      <c r="C5" s="1420" t="s">
        <v>318</v>
      </c>
      <c r="F5" s="1421" t="s">
        <v>1013</v>
      </c>
      <c r="G5" s="1421">
        <v>70</v>
      </c>
      <c r="H5" s="1421" t="s">
        <v>1014</v>
      </c>
      <c r="I5" s="1421" t="s">
        <v>3326</v>
      </c>
      <c r="K5" s="1421" t="s">
        <v>1015</v>
      </c>
      <c r="L5" s="1421" t="s">
        <v>1015</v>
      </c>
      <c r="M5" s="1421" t="s">
        <v>1015</v>
      </c>
      <c r="N5" s="1421" t="s">
        <v>1015</v>
      </c>
      <c r="O5" s="1421" t="s">
        <v>1015</v>
      </c>
      <c r="P5" s="1421" t="s">
        <v>1015</v>
      </c>
      <c r="Q5" s="1421" t="s">
        <v>1015</v>
      </c>
      <c r="R5" s="1421" t="s">
        <v>445</v>
      </c>
      <c r="S5" s="1421" t="s">
        <v>1015</v>
      </c>
      <c r="T5" s="1421" t="s">
        <v>1016</v>
      </c>
      <c r="U5" s="1421" t="s">
        <v>1015</v>
      </c>
      <c r="W5" s="1421" t="s">
        <v>1015</v>
      </c>
    </row>
    <row r="6" spans="1:23">
      <c r="A6" s="1419" t="s">
        <v>1017</v>
      </c>
      <c r="B6" s="1422" t="s">
        <v>449</v>
      </c>
      <c r="C6" s="1424" t="s">
        <v>24</v>
      </c>
      <c r="F6" s="1421" t="s">
        <v>1014</v>
      </c>
      <c r="H6" s="1421" t="s">
        <v>1018</v>
      </c>
      <c r="I6" s="1421" t="s">
        <v>3327</v>
      </c>
      <c r="K6" s="1421" t="s">
        <v>1019</v>
      </c>
      <c r="L6" s="1421" t="s">
        <v>1019</v>
      </c>
      <c r="M6" s="1421" t="s">
        <v>1019</v>
      </c>
      <c r="N6" s="1421" t="s">
        <v>1019</v>
      </c>
      <c r="O6" s="1421" t="s">
        <v>1019</v>
      </c>
      <c r="P6" s="1421" t="s">
        <v>1019</v>
      </c>
      <c r="Q6" s="1421" t="s">
        <v>1019</v>
      </c>
      <c r="R6" s="1421" t="s">
        <v>446</v>
      </c>
      <c r="S6" s="1421" t="s">
        <v>1019</v>
      </c>
      <c r="T6" s="1421"/>
      <c r="U6" s="1421" t="s">
        <v>1019</v>
      </c>
      <c r="W6" s="1421" t="s">
        <v>1019</v>
      </c>
    </row>
    <row r="7" spans="1:23">
      <c r="A7" s="1419" t="s">
        <v>1020</v>
      </c>
      <c r="B7" s="1422" t="s">
        <v>450</v>
      </c>
      <c r="C7" s="1420" t="s">
        <v>25</v>
      </c>
      <c r="F7" s="1421" t="s">
        <v>1021</v>
      </c>
      <c r="H7" s="1421" t="s">
        <v>1022</v>
      </c>
      <c r="I7" s="1421" t="s">
        <v>3328</v>
      </c>
    </row>
    <row r="8" spans="1:23">
      <c r="A8" s="1419" t="s">
        <v>1023</v>
      </c>
      <c r="B8" s="1419" t="s">
        <v>1024</v>
      </c>
      <c r="C8" s="1420" t="s">
        <v>319</v>
      </c>
      <c r="F8" s="1421" t="s">
        <v>1025</v>
      </c>
      <c r="H8" s="1421" t="s">
        <v>2563</v>
      </c>
      <c r="I8" s="1421" t="s">
        <v>3329</v>
      </c>
    </row>
    <row r="9" spans="1:23">
      <c r="A9" s="1419" t="s">
        <v>1026</v>
      </c>
      <c r="B9" s="1419" t="s">
        <v>1027</v>
      </c>
      <c r="C9" s="1420" t="s">
        <v>320</v>
      </c>
      <c r="F9" s="1421" t="s">
        <v>1028</v>
      </c>
      <c r="H9" s="1421"/>
      <c r="I9" s="1423" t="s">
        <v>3330</v>
      </c>
    </row>
    <row r="10" spans="1:23">
      <c r="A10" s="1419" t="s">
        <v>1029</v>
      </c>
      <c r="B10" s="1419" t="s">
        <v>1030</v>
      </c>
      <c r="C10" s="1420" t="s">
        <v>321</v>
      </c>
      <c r="F10" s="1421" t="s">
        <v>2564</v>
      </c>
      <c r="I10" s="1423" t="s">
        <v>3331</v>
      </c>
    </row>
    <row r="11" spans="1:23">
      <c r="A11" s="1419" t="s">
        <v>1031</v>
      </c>
      <c r="B11" s="1419" t="s">
        <v>1032</v>
      </c>
      <c r="C11" s="1420" t="s">
        <v>322</v>
      </c>
      <c r="F11" s="1421" t="s">
        <v>13</v>
      </c>
      <c r="I11" s="1423" t="s">
        <v>3332</v>
      </c>
    </row>
    <row r="12" spans="1:23">
      <c r="A12" s="1419" t="s">
        <v>1033</v>
      </c>
      <c r="B12" s="1419" t="s">
        <v>1034</v>
      </c>
      <c r="C12" s="1420" t="s">
        <v>323</v>
      </c>
      <c r="I12" s="1423" t="s">
        <v>3333</v>
      </c>
    </row>
    <row r="13" spans="1:23">
      <c r="A13" s="1419" t="s">
        <v>1035</v>
      </c>
      <c r="B13" s="1419" t="s">
        <v>1036</v>
      </c>
      <c r="C13" s="1420" t="s">
        <v>324</v>
      </c>
      <c r="I13" s="1423" t="s">
        <v>3334</v>
      </c>
    </row>
    <row r="14" spans="1:23">
      <c r="A14" s="1419" t="s">
        <v>1037</v>
      </c>
      <c r="B14" s="1419" t="s">
        <v>1038</v>
      </c>
      <c r="C14" s="1421" t="s">
        <v>13</v>
      </c>
      <c r="I14" s="1423" t="s">
        <v>3335</v>
      </c>
    </row>
    <row r="15" spans="1:23">
      <c r="A15" s="1419" t="s">
        <v>1039</v>
      </c>
      <c r="B15" s="1419" t="s">
        <v>1040</v>
      </c>
      <c r="C15" s="1420"/>
      <c r="I15" s="1423" t="s">
        <v>3336</v>
      </c>
    </row>
    <row r="16" spans="1:23">
      <c r="A16" s="1419" t="s">
        <v>1041</v>
      </c>
      <c r="B16" s="1419" t="s">
        <v>312</v>
      </c>
      <c r="C16" s="1420"/>
    </row>
    <row r="17" spans="1:3">
      <c r="A17" s="1419" t="s">
        <v>1042</v>
      </c>
      <c r="B17" s="1419" t="s">
        <v>2281</v>
      </c>
      <c r="C17" s="1420"/>
    </row>
    <row r="18" spans="1:3">
      <c r="A18" s="1419" t="s">
        <v>1043</v>
      </c>
      <c r="B18" s="1419" t="s">
        <v>2419</v>
      </c>
      <c r="C18" s="1420"/>
    </row>
    <row r="19" spans="1:3">
      <c r="A19" s="1419" t="s">
        <v>1044</v>
      </c>
      <c r="B19" s="1419" t="s">
        <v>3415</v>
      </c>
      <c r="C19" s="1420"/>
    </row>
    <row r="20" spans="1:3">
      <c r="A20" s="1419" t="s">
        <v>1045</v>
      </c>
      <c r="B20" s="1419" t="s">
        <v>3417</v>
      </c>
      <c r="C20" s="1420"/>
    </row>
    <row r="21" spans="1:3">
      <c r="A21" s="1419" t="s">
        <v>1046</v>
      </c>
      <c r="B21" s="1419" t="s">
        <v>3419</v>
      </c>
      <c r="C21" s="1420"/>
    </row>
    <row r="22" spans="1:3">
      <c r="A22" s="1419" t="s">
        <v>1047</v>
      </c>
      <c r="B22" s="1419" t="s">
        <v>313</v>
      </c>
      <c r="C22" s="1420"/>
    </row>
    <row r="23" spans="1:3">
      <c r="A23" s="1419" t="s">
        <v>1048</v>
      </c>
      <c r="B23" s="1419" t="s">
        <v>313</v>
      </c>
      <c r="C23" s="1420"/>
    </row>
    <row r="24" spans="1:3">
      <c r="A24" s="1419" t="s">
        <v>1049</v>
      </c>
      <c r="B24" s="1419" t="s">
        <v>313</v>
      </c>
      <c r="C24" s="1420"/>
    </row>
    <row r="25" spans="1:3">
      <c r="A25" s="1419" t="s">
        <v>1050</v>
      </c>
      <c r="B25" s="1419" t="s">
        <v>313</v>
      </c>
      <c r="C25" s="1420"/>
    </row>
    <row r="26" spans="1:3">
      <c r="A26" s="1419" t="s">
        <v>1051</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94"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25" t="s">
        <v>385</v>
      </c>
      <c r="C54" s="1423" t="s">
        <v>583</v>
      </c>
    </row>
    <row r="55" spans="1:4">
      <c r="A55" s="3194"/>
      <c r="B55" s="1425" t="s">
        <v>386</v>
      </c>
      <c r="C55" s="1423" t="s">
        <v>584</v>
      </c>
    </row>
    <row r="56" spans="1:4">
      <c r="A56" s="3194"/>
      <c r="B56" s="1425" t="s">
        <v>387</v>
      </c>
      <c r="C56" s="1423" t="s">
        <v>588</v>
      </c>
    </row>
    <row r="57" spans="1:4">
      <c r="A57" s="3194"/>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C28" sqref="C28"/>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2486</v>
      </c>
      <c r="B1" s="2729"/>
      <c r="C1" s="2729"/>
      <c r="D1" s="2729"/>
      <c r="E1" s="2729"/>
      <c r="F1" s="2730"/>
      <c r="I1" s="3106" t="s">
        <v>2579</v>
      </c>
      <c r="J1" s="2755"/>
      <c r="K1" s="2755"/>
      <c r="L1" s="2755"/>
      <c r="M1" s="2755"/>
      <c r="N1" s="2940"/>
      <c r="O1" s="2940"/>
      <c r="P1" s="2940"/>
      <c r="Q1" s="2940"/>
      <c r="R1" s="2940"/>
    </row>
    <row r="2" spans="1:18">
      <c r="A2" s="2732"/>
      <c r="B2" s="2733"/>
      <c r="C2" s="2733"/>
      <c r="D2" s="2733"/>
      <c r="E2" s="2733"/>
      <c r="F2" s="2734"/>
      <c r="I2" s="3195" t="s">
        <v>2566</v>
      </c>
      <c r="J2" s="3195"/>
      <c r="K2" s="3195"/>
      <c r="L2" s="3195"/>
      <c r="M2" s="3195"/>
      <c r="N2" s="3195"/>
      <c r="O2" s="3195"/>
      <c r="P2" s="3195"/>
      <c r="Q2" s="3195"/>
      <c r="R2" s="3195"/>
    </row>
    <row r="3" spans="1:18">
      <c r="A3" s="2735" t="s">
        <v>2487</v>
      </c>
      <c r="B3" s="2736">
        <f>项目基本情况!D3</f>
        <v>45727</v>
      </c>
      <c r="C3" s="2738"/>
      <c r="D3" s="2738"/>
      <c r="E3" s="2738"/>
      <c r="F3" s="2734"/>
      <c r="I3" s="2750"/>
      <c r="J3" s="2750" t="s">
        <v>2570</v>
      </c>
      <c r="K3" s="2750" t="s">
        <v>2571</v>
      </c>
      <c r="L3" s="2750" t="s">
        <v>2572</v>
      </c>
      <c r="M3" s="2750" t="s">
        <v>2573</v>
      </c>
      <c r="N3" s="3107" t="s">
        <v>2574</v>
      </c>
      <c r="O3" s="3107" t="s">
        <v>2575</v>
      </c>
      <c r="P3" s="3107" t="s">
        <v>2576</v>
      </c>
      <c r="Q3" s="3107" t="s">
        <v>2577</v>
      </c>
      <c r="R3" s="3107" t="s">
        <v>2578</v>
      </c>
    </row>
    <row r="4" spans="1:18">
      <c r="A4" s="2735" t="s">
        <v>2488</v>
      </c>
      <c r="B4" s="2738" t="s">
        <v>2489</v>
      </c>
      <c r="C4" s="2738" t="s">
        <v>2490</v>
      </c>
      <c r="D4" s="2738" t="s">
        <v>2491</v>
      </c>
      <c r="E4" s="2738" t="s">
        <v>2492</v>
      </c>
      <c r="F4" s="2734"/>
      <c r="I4" s="2750" t="s">
        <v>2567</v>
      </c>
      <c r="J4" s="2750">
        <v>80</v>
      </c>
      <c r="K4" s="2750">
        <v>70</v>
      </c>
      <c r="L4" s="2750">
        <v>20</v>
      </c>
      <c r="M4" s="2750">
        <v>30</v>
      </c>
      <c r="N4" s="2738">
        <v>45</v>
      </c>
      <c r="O4" s="2738">
        <v>60</v>
      </c>
      <c r="P4" s="2738">
        <v>50</v>
      </c>
      <c r="Q4" s="2738">
        <v>20</v>
      </c>
      <c r="R4" s="2738">
        <v>375</v>
      </c>
    </row>
    <row r="5" spans="1:18">
      <c r="A5" s="2739">
        <v>40</v>
      </c>
      <c r="B5" s="2736">
        <v>46375</v>
      </c>
      <c r="C5" s="2738">
        <f>ROUNDDOWN(MIN((B5-B3)/365,A5),2)</f>
        <v>1.77</v>
      </c>
      <c r="D5" s="2740">
        <f>IF(ISERROR(ROUND(POWER(1+E5,A5-C5)*(POWER(1+E5,C5)-1)/(POWER(1+E5,A5)-1),3)),0,ROUND(POWER(1+E5,A5-C5)*(POWER(1+E5,C5)-1)/(POWER(1+E5,A5)-1),4))</f>
        <v>8.4699999999999998E-2</v>
      </c>
      <c r="E5" s="2741">
        <v>0.04</v>
      </c>
      <c r="F5" s="2734"/>
      <c r="I5" s="2750" t="s">
        <v>2568</v>
      </c>
      <c r="J5" s="2750">
        <v>70</v>
      </c>
      <c r="K5" s="2750">
        <v>60</v>
      </c>
      <c r="L5" s="2750">
        <v>15</v>
      </c>
      <c r="M5" s="2750">
        <v>25</v>
      </c>
      <c r="N5" s="2738">
        <v>40</v>
      </c>
      <c r="O5" s="2738">
        <v>50</v>
      </c>
      <c r="P5" s="2738">
        <v>40</v>
      </c>
      <c r="Q5" s="2738">
        <v>15</v>
      </c>
      <c r="R5" s="2738">
        <v>315</v>
      </c>
    </row>
    <row r="6" spans="1:18">
      <c r="A6" s="2739">
        <v>50</v>
      </c>
      <c r="B6" s="2736">
        <v>50028</v>
      </c>
      <c r="C6" s="2738">
        <f>ROUNDDOWN(MIN((B6-B3)/365,A6),2)</f>
        <v>11.78</v>
      </c>
      <c r="D6" s="2740">
        <f>IF(ISERROR(ROUND(POWER(1+E6,A6-C6)*(POWER(1+E6,C6)-1)/(POWER(1+E6,A6)-1),3)),0,ROUND(POWER(1+E6,A6-C6)*(POWER(1+E6,C6)-1)/(POWER(1+E6,A6)-1),4))</f>
        <v>0.43059999999999998</v>
      </c>
      <c r="E6" s="2741">
        <v>0.04</v>
      </c>
      <c r="F6" s="2734"/>
      <c r="I6" s="2750" t="s">
        <v>2569</v>
      </c>
      <c r="J6" s="2750">
        <v>60</v>
      </c>
      <c r="K6" s="2750">
        <v>50</v>
      </c>
      <c r="L6" s="2750">
        <v>10</v>
      </c>
      <c r="M6" s="2750">
        <v>20</v>
      </c>
      <c r="N6" s="2738">
        <v>35</v>
      </c>
      <c r="O6" s="2738">
        <v>40</v>
      </c>
      <c r="P6" s="2738">
        <v>30</v>
      </c>
      <c r="Q6" s="2738">
        <v>10</v>
      </c>
      <c r="R6" s="2738">
        <v>255</v>
      </c>
    </row>
    <row r="7" spans="1:18">
      <c r="A7" s="2739">
        <v>70</v>
      </c>
      <c r="B7" s="2736">
        <v>57333</v>
      </c>
      <c r="C7" s="2738">
        <f>ROUNDDOWN(MIN((B7-B3)/365,A7),2)</f>
        <v>31.79</v>
      </c>
      <c r="D7" s="2740">
        <f>IF(ISERROR(ROUND(POWER(1+E7,A7-C7)*(POWER(1+E7,C7)-1)/(POWER(1+E7,A7)-1),3)),0,ROUND(POWER(1+E7,A7-C7)*(POWER(1+E7,C7)-1)/(POWER(1+E7,A7)-1),4))</f>
        <v>0.76149999999999995</v>
      </c>
      <c r="E7" s="2741">
        <v>0.04</v>
      </c>
      <c r="F7" s="2734"/>
    </row>
    <row r="8" spans="1:18">
      <c r="A8" s="2732"/>
      <c r="B8" s="2733"/>
      <c r="C8" s="2733"/>
      <c r="D8" s="2733"/>
      <c r="E8" s="2733"/>
      <c r="F8" s="2734"/>
    </row>
    <row r="9" spans="1:18">
      <c r="A9" s="2735" t="s">
        <v>2493</v>
      </c>
      <c r="B9" s="2738"/>
      <c r="C9" s="2738"/>
      <c r="D9" s="2738"/>
      <c r="E9" s="2738"/>
      <c r="F9" s="2742"/>
    </row>
    <row r="10" spans="1:18">
      <c r="A10" s="2735" t="s">
        <v>2494</v>
      </c>
      <c r="B10" s="2738"/>
      <c r="C10" s="2738"/>
      <c r="D10" s="2738" t="s">
        <v>2492</v>
      </c>
      <c r="E10" s="2738"/>
      <c r="F10" s="2742" t="s">
        <v>2491</v>
      </c>
    </row>
    <row r="11" spans="1:18">
      <c r="A11" s="2735" t="s">
        <v>2495</v>
      </c>
      <c r="B11" s="2743">
        <v>70</v>
      </c>
      <c r="C11" s="2738" t="s">
        <v>2496</v>
      </c>
      <c r="D11" s="2743">
        <v>4.4999999999999998E-2</v>
      </c>
      <c r="E11" s="2738" t="s">
        <v>2497</v>
      </c>
      <c r="F11" s="2744">
        <f>ROUND(1-(1/(POWER(1+D11,B11))),4)</f>
        <v>0.95409999999999995</v>
      </c>
    </row>
    <row r="12" spans="1:18">
      <c r="A12" s="2735" t="s">
        <v>2498</v>
      </c>
      <c r="B12" s="2743">
        <v>40</v>
      </c>
      <c r="C12" s="2738" t="s">
        <v>2499</v>
      </c>
      <c r="D12" s="2743">
        <v>4.4999999999999998E-2</v>
      </c>
      <c r="E12" s="2738" t="s">
        <v>2500</v>
      </c>
      <c r="F12" s="2744">
        <f>ROUND(1-(1/(POWER(1+D12,B12))),4)</f>
        <v>0.82809999999999995</v>
      </c>
    </row>
    <row r="13" spans="1:18">
      <c r="A13" s="2735" t="s">
        <v>2501</v>
      </c>
      <c r="B13" s="2738"/>
      <c r="C13" s="2738"/>
      <c r="D13" s="2733"/>
      <c r="E13" s="2733"/>
      <c r="F13" s="2734"/>
    </row>
    <row r="14" spans="1:18">
      <c r="A14" s="2735" t="s">
        <v>2502</v>
      </c>
      <c r="B14" s="2743">
        <v>5000</v>
      </c>
      <c r="C14" s="2737"/>
      <c r="D14" s="2733"/>
      <c r="E14" s="2733"/>
      <c r="F14" s="2734"/>
    </row>
    <row r="15" spans="1:18">
      <c r="A15" s="2735" t="s">
        <v>2503</v>
      </c>
      <c r="B15" s="2738">
        <f>ROUND(B14*F12/F11,2)</f>
        <v>4339.6899999999996</v>
      </c>
      <c r="C15" s="2738">
        <f>ROUND(F12/F11,4)</f>
        <v>0.8679</v>
      </c>
      <c r="D15" s="2733"/>
      <c r="E15" s="2733"/>
      <c r="F15" s="2734"/>
    </row>
    <row r="16" spans="1:18">
      <c r="A16" s="2735" t="s">
        <v>2504</v>
      </c>
      <c r="B16" s="2738"/>
      <c r="C16" s="2738"/>
      <c r="D16" s="2733"/>
      <c r="E16" s="2733"/>
      <c r="F16" s="2734"/>
    </row>
    <row r="17" spans="1:14">
      <c r="A17" s="2735" t="s">
        <v>2503</v>
      </c>
      <c r="B17" s="2743">
        <v>4810</v>
      </c>
      <c r="C17" s="2737"/>
      <c r="D17" s="2733"/>
      <c r="E17" s="2733"/>
      <c r="F17" s="2734"/>
    </row>
    <row r="18" spans="1:14" ht="14.25" thickBot="1">
      <c r="A18" s="2745" t="s">
        <v>2502</v>
      </c>
      <c r="B18" s="2746">
        <f>ROUND(B17*F11/F12,2)</f>
        <v>5541.87</v>
      </c>
      <c r="C18" s="2746">
        <f>ROUND(F11/F12,4)</f>
        <v>1.1521999999999999</v>
      </c>
      <c r="D18" s="2747"/>
      <c r="E18" s="2747"/>
      <c r="F18" s="2748"/>
    </row>
    <row r="19" spans="1:14" ht="14.25" thickBot="1"/>
    <row r="20" spans="1:14" s="2781" customFormat="1" ht="14.25" thickTop="1">
      <c r="A20" s="2778" t="s">
        <v>2505</v>
      </c>
      <c r="B20" s="2779"/>
      <c r="C20" s="2779"/>
      <c r="D20" s="2779"/>
      <c r="E20" s="2779"/>
      <c r="F20" s="2779"/>
      <c r="G20" s="2780"/>
      <c r="I20" s="2782" t="s">
        <v>2550</v>
      </c>
      <c r="J20" s="2782" t="s">
        <v>2555</v>
      </c>
      <c r="K20" s="2782"/>
      <c r="L20" s="2782"/>
      <c r="M20" s="2782"/>
    </row>
    <row r="21" spans="1:14">
      <c r="A21" s="2749"/>
      <c r="B21" s="2750" t="s">
        <v>2506</v>
      </c>
      <c r="C21" s="2750" t="s">
        <v>2507</v>
      </c>
      <c r="D21" s="2750" t="s">
        <v>2508</v>
      </c>
      <c r="E21" s="2750" t="s">
        <v>2509</v>
      </c>
      <c r="F21" s="2750" t="s">
        <v>2510</v>
      </c>
      <c r="G21" s="2751" t="s">
        <v>2511</v>
      </c>
      <c r="I21" s="2772">
        <v>5</v>
      </c>
      <c r="J21" s="2772">
        <v>54.2</v>
      </c>
    </row>
    <row r="22" spans="1:14">
      <c r="A22" s="2749" t="s">
        <v>2512</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4">
      <c r="A23" s="2749" t="s">
        <v>2513</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2553</v>
      </c>
      <c r="N23" s="3124" t="s">
        <v>2554</v>
      </c>
    </row>
    <row r="24" spans="1:14">
      <c r="A24" s="2749" t="s">
        <v>2514</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2552</v>
      </c>
      <c r="N24" s="3124">
        <v>10</v>
      </c>
    </row>
    <row r="25" spans="1:14">
      <c r="A25" s="2749" t="s">
        <v>2515</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2556</v>
      </c>
      <c r="N25" s="3124">
        <v>8</v>
      </c>
    </row>
    <row r="26" spans="1:14">
      <c r="A26" s="2754"/>
      <c r="B26" s="2755"/>
      <c r="C26" s="2755"/>
      <c r="D26" s="2755"/>
      <c r="E26" s="2755"/>
      <c r="F26" s="2755"/>
      <c r="G26" s="2756"/>
      <c r="I26" s="2772">
        <v>30</v>
      </c>
      <c r="J26" s="2772">
        <v>90.5</v>
      </c>
      <c r="K26" s="2772">
        <f t="shared" si="2"/>
        <v>4.2000000000000028</v>
      </c>
      <c r="L26" s="2772" t="s">
        <v>2557</v>
      </c>
      <c r="N26" s="3124">
        <v>5</v>
      </c>
    </row>
    <row r="27" spans="1:14">
      <c r="A27" s="2754" t="s">
        <v>2516</v>
      </c>
      <c r="B27" s="2755"/>
      <c r="C27" s="2755"/>
      <c r="D27" s="2755"/>
      <c r="E27" s="2755"/>
      <c r="F27" s="2755"/>
      <c r="G27" s="2756"/>
      <c r="I27" s="2772">
        <v>35</v>
      </c>
      <c r="J27" s="2772">
        <v>93.8</v>
      </c>
      <c r="K27" s="2772">
        <f t="shared" si="2"/>
        <v>3.2999999999999972</v>
      </c>
      <c r="L27" s="2772" t="s">
        <v>2558</v>
      </c>
      <c r="N27" s="3124">
        <v>3</v>
      </c>
    </row>
    <row r="28" spans="1:14">
      <c r="A28" s="2754" t="s">
        <v>2517</v>
      </c>
      <c r="B28" s="2755"/>
      <c r="C28" s="2755"/>
      <c r="D28" s="2755"/>
      <c r="E28" s="2755"/>
      <c r="F28" s="2755"/>
      <c r="G28" s="2756"/>
      <c r="I28" s="2772">
        <v>40</v>
      </c>
      <c r="J28" s="2772">
        <v>96.4</v>
      </c>
      <c r="K28" s="2772">
        <f t="shared" si="2"/>
        <v>2.6000000000000085</v>
      </c>
      <c r="L28" s="2772" t="s">
        <v>2559</v>
      </c>
      <c r="N28" s="3124">
        <v>2</v>
      </c>
    </row>
    <row r="29" spans="1:14">
      <c r="A29" s="2754" t="s">
        <v>2518</v>
      </c>
      <c r="B29" s="2755"/>
      <c r="C29" s="2755"/>
      <c r="D29" s="2755"/>
      <c r="E29" s="2755"/>
      <c r="F29" s="2755"/>
      <c r="G29" s="2756"/>
      <c r="I29" s="2772">
        <v>45</v>
      </c>
      <c r="J29" s="2772">
        <v>98.4</v>
      </c>
      <c r="K29" s="2772">
        <f t="shared" si="2"/>
        <v>2</v>
      </c>
    </row>
    <row r="30" spans="1:14">
      <c r="A30" s="2754" t="s">
        <v>2519</v>
      </c>
      <c r="B30" s="2755"/>
      <c r="C30" s="2755"/>
      <c r="D30" s="2755"/>
      <c r="E30" s="2755"/>
      <c r="F30" s="2755"/>
      <c r="G30" s="2756"/>
      <c r="I30" s="2772">
        <v>50</v>
      </c>
      <c r="J30" s="2772">
        <v>100</v>
      </c>
      <c r="K30" s="2772">
        <f t="shared" si="2"/>
        <v>1.5999999999999943</v>
      </c>
    </row>
    <row r="31" spans="1:14">
      <c r="A31" s="2754" t="s">
        <v>2520</v>
      </c>
      <c r="B31" s="2755"/>
      <c r="C31" s="2755"/>
      <c r="D31" s="2755"/>
      <c r="E31" s="2755"/>
      <c r="F31" s="2755"/>
      <c r="G31" s="2756"/>
      <c r="I31" s="2772" t="s">
        <v>2551</v>
      </c>
    </row>
    <row r="32" spans="1:14">
      <c r="A32" s="2754" t="s">
        <v>2521</v>
      </c>
      <c r="B32" s="2755"/>
      <c r="C32" s="2755"/>
      <c r="D32" s="2755"/>
      <c r="E32" s="2755"/>
      <c r="F32" s="2755"/>
      <c r="G32" s="2756"/>
    </row>
    <row r="33" spans="1:14">
      <c r="A33" s="2754" t="s">
        <v>2522</v>
      </c>
      <c r="B33" s="2755"/>
      <c r="C33" s="2755"/>
      <c r="D33" s="2755"/>
      <c r="E33" s="2755"/>
      <c r="F33" s="2755"/>
      <c r="G33" s="2756"/>
      <c r="I33" s="2772" t="s">
        <v>2550</v>
      </c>
      <c r="J33" s="2772" t="s">
        <v>2560</v>
      </c>
    </row>
    <row r="34" spans="1:14">
      <c r="A34" s="2754" t="s">
        <v>2523</v>
      </c>
      <c r="B34" s="2755"/>
      <c r="C34" s="2755"/>
      <c r="D34" s="2755"/>
      <c r="E34" s="2755"/>
      <c r="F34" s="2755"/>
      <c r="G34" s="2756"/>
      <c r="I34" s="2772">
        <v>5</v>
      </c>
      <c r="J34" s="2772">
        <v>55.1</v>
      </c>
    </row>
    <row r="35" spans="1:14">
      <c r="A35" s="2754" t="s">
        <v>2524</v>
      </c>
      <c r="B35" s="2755"/>
      <c r="C35" s="2755"/>
      <c r="D35" s="2755"/>
      <c r="E35" s="2755"/>
      <c r="F35" s="2755"/>
      <c r="G35" s="2756"/>
      <c r="I35" s="2772">
        <v>10</v>
      </c>
      <c r="J35" s="2772">
        <v>67</v>
      </c>
      <c r="K35" s="2772">
        <f>J35-J34</f>
        <v>11.899999999999999</v>
      </c>
    </row>
    <row r="36" spans="1:14">
      <c r="A36" s="2754" t="s">
        <v>2525</v>
      </c>
      <c r="B36" s="2755"/>
      <c r="C36" s="2755"/>
      <c r="D36" s="2755"/>
      <c r="E36" s="2755"/>
      <c r="F36" s="2755"/>
      <c r="G36" s="2756"/>
      <c r="I36" s="2772">
        <v>15</v>
      </c>
      <c r="J36" s="2772">
        <v>76.3</v>
      </c>
      <c r="K36" s="2772">
        <f t="shared" ref="K36:K41" si="3">J36-J35</f>
        <v>9.2999999999999972</v>
      </c>
      <c r="L36" s="2772" t="s">
        <v>2553</v>
      </c>
      <c r="N36" s="3124" t="s">
        <v>2554</v>
      </c>
    </row>
    <row r="37" spans="1:14">
      <c r="A37" s="2754" t="s">
        <v>2526</v>
      </c>
      <c r="B37" s="2755"/>
      <c r="C37" s="2755"/>
      <c r="D37" s="2755"/>
      <c r="E37" s="2755"/>
      <c r="F37" s="2755"/>
      <c r="G37" s="2756"/>
      <c r="I37" s="2772">
        <v>20</v>
      </c>
      <c r="J37" s="2772">
        <v>83.6</v>
      </c>
      <c r="K37" s="2772">
        <f t="shared" si="3"/>
        <v>7.2999999999999972</v>
      </c>
      <c r="L37" s="2772" t="s">
        <v>2552</v>
      </c>
      <c r="N37" s="3124">
        <v>10</v>
      </c>
    </row>
    <row r="38" spans="1:14">
      <c r="A38" s="2754" t="s">
        <v>2527</v>
      </c>
      <c r="B38" s="2755"/>
      <c r="C38" s="2755"/>
      <c r="D38" s="2755"/>
      <c r="E38" s="2755"/>
      <c r="F38" s="2755"/>
      <c r="G38" s="2756"/>
      <c r="I38" s="2772">
        <v>25</v>
      </c>
      <c r="J38" s="2772">
        <v>89.3</v>
      </c>
      <c r="K38" s="2772">
        <f t="shared" si="3"/>
        <v>5.7000000000000028</v>
      </c>
      <c r="L38" s="2772" t="s">
        <v>2556</v>
      </c>
      <c r="N38" s="3124">
        <v>8</v>
      </c>
    </row>
    <row r="39" spans="1:14">
      <c r="A39" s="2754"/>
      <c r="B39" s="2755"/>
      <c r="C39" s="2755"/>
      <c r="D39" s="2755"/>
      <c r="E39" s="2755"/>
      <c r="F39" s="2755"/>
      <c r="G39" s="2756"/>
      <c r="I39" s="2772">
        <v>30</v>
      </c>
      <c r="J39" s="2772">
        <v>93.8</v>
      </c>
      <c r="K39" s="2772">
        <f t="shared" si="3"/>
        <v>4.5</v>
      </c>
      <c r="L39" s="2772" t="s">
        <v>2557</v>
      </c>
      <c r="N39" s="3124">
        <v>6</v>
      </c>
    </row>
    <row r="40" spans="1:14">
      <c r="A40" s="2757" t="s">
        <v>2528</v>
      </c>
      <c r="B40" s="2758"/>
      <c r="C40" s="2758"/>
      <c r="D40" s="2758"/>
      <c r="E40" s="2758"/>
      <c r="F40" s="2758"/>
      <c r="G40" s="2759"/>
      <c r="I40" s="2772">
        <v>35</v>
      </c>
      <c r="J40" s="2772">
        <v>97.2</v>
      </c>
      <c r="K40" s="2772">
        <f t="shared" si="3"/>
        <v>3.4000000000000057</v>
      </c>
      <c r="L40" s="2772" t="s">
        <v>2558</v>
      </c>
      <c r="N40" s="3124">
        <v>3</v>
      </c>
    </row>
    <row r="41" spans="1:14">
      <c r="A41" s="2760" t="s">
        <v>2529</v>
      </c>
      <c r="B41" s="2761" t="s">
        <v>2530</v>
      </c>
      <c r="C41" s="2762" t="s">
        <v>2531</v>
      </c>
      <c r="D41" s="2762" t="s">
        <v>2532</v>
      </c>
      <c r="E41" s="2763"/>
      <c r="F41" s="2764"/>
      <c r="G41" s="2765"/>
      <c r="I41" s="2772">
        <v>40</v>
      </c>
      <c r="J41" s="2772">
        <v>100</v>
      </c>
      <c r="K41" s="2772">
        <f t="shared" si="3"/>
        <v>2.7999999999999972</v>
      </c>
    </row>
    <row r="42" spans="1:14">
      <c r="A42" s="2760" t="s">
        <v>2533</v>
      </c>
      <c r="B42" s="2761" t="s">
        <v>2534</v>
      </c>
      <c r="C42" s="2762" t="s">
        <v>2535</v>
      </c>
      <c r="D42" s="2766" t="s">
        <v>2536</v>
      </c>
      <c r="E42" s="2758" t="s">
        <v>2537</v>
      </c>
      <c r="F42" s="2758"/>
      <c r="G42" s="2759"/>
    </row>
    <row r="43" spans="1:14">
      <c r="A43" s="2760" t="s">
        <v>2538</v>
      </c>
      <c r="B43" s="2761" t="s">
        <v>2539</v>
      </c>
      <c r="C43" s="2762" t="s">
        <v>2540</v>
      </c>
      <c r="D43" s="2762" t="s">
        <v>2541</v>
      </c>
      <c r="E43" s="2763" t="s">
        <v>2542</v>
      </c>
      <c r="F43" s="2764"/>
      <c r="G43" s="2765"/>
      <c r="I43" s="2772" t="s">
        <v>2550</v>
      </c>
      <c r="J43" s="2772" t="s">
        <v>2561</v>
      </c>
    </row>
    <row r="44" spans="1:14">
      <c r="A44" s="2760" t="s">
        <v>2543</v>
      </c>
      <c r="B44" s="2761" t="s">
        <v>2544</v>
      </c>
      <c r="C44" s="2762" t="s">
        <v>2545</v>
      </c>
      <c r="D44" s="2766">
        <v>0.5</v>
      </c>
      <c r="E44" s="2763" t="s">
        <v>2546</v>
      </c>
      <c r="F44" s="2764"/>
      <c r="G44" s="2765"/>
      <c r="I44" s="2772">
        <v>30</v>
      </c>
      <c r="J44" s="2772">
        <v>81.7</v>
      </c>
    </row>
    <row r="45" spans="1:14" ht="14.25" thickBot="1">
      <c r="A45" s="2767" t="s">
        <v>2547</v>
      </c>
      <c r="B45" s="2768" t="s">
        <v>2534</v>
      </c>
      <c r="C45" s="2769" t="s">
        <v>2534</v>
      </c>
      <c r="D45" s="2769" t="s">
        <v>2548</v>
      </c>
      <c r="E45" s="2770" t="s">
        <v>2549</v>
      </c>
      <c r="F45" s="2770"/>
      <c r="G45" s="2771"/>
      <c r="I45" s="2772">
        <v>40</v>
      </c>
      <c r="J45" s="2772">
        <v>89.2</v>
      </c>
      <c r="K45" s="2772">
        <f>J45-J44</f>
        <v>7.5</v>
      </c>
    </row>
    <row r="46" spans="1:14">
      <c r="I46" s="2772">
        <v>50</v>
      </c>
      <c r="J46" s="2772">
        <v>94.3</v>
      </c>
      <c r="K46" s="2772">
        <f t="shared" ref="K46:K47" si="4">J46-J45</f>
        <v>5.0999999999999943</v>
      </c>
    </row>
    <row r="47" spans="1:14">
      <c r="I47" s="2772">
        <v>60</v>
      </c>
      <c r="J47" s="2772">
        <v>97.7</v>
      </c>
      <c r="K47" s="2772">
        <f t="shared" si="4"/>
        <v>3.4000000000000057</v>
      </c>
    </row>
    <row r="48" spans="1:14" ht="14.25" thickBot="1"/>
    <row r="49" spans="1:4">
      <c r="A49" s="2728" t="s">
        <v>3371</v>
      </c>
    </row>
    <row r="50" spans="1:4">
      <c r="A50" s="3116" t="s">
        <v>3372</v>
      </c>
      <c r="B50" s="3116" t="s">
        <v>3373</v>
      </c>
      <c r="C50" s="3116" t="s">
        <v>3374</v>
      </c>
      <c r="D50" s="3116" t="s">
        <v>3375</v>
      </c>
    </row>
    <row r="51" spans="1:4">
      <c r="A51" s="3116" t="s">
        <v>3376</v>
      </c>
      <c r="B51" s="2737">
        <f>B52+B53</f>
        <v>15000</v>
      </c>
      <c r="C51" s="3117">
        <f>D51/B51</f>
        <v>2666.6666666666665</v>
      </c>
      <c r="D51" s="2737">
        <f>D52+D53</f>
        <v>40000000</v>
      </c>
    </row>
    <row r="52" spans="1:4">
      <c r="A52" s="3118" t="s">
        <v>3377</v>
      </c>
      <c r="B52" s="3119">
        <v>10000</v>
      </c>
      <c r="C52" s="3119">
        <v>1500</v>
      </c>
      <c r="D52" s="3120">
        <f>C52*B52</f>
        <v>15000000</v>
      </c>
    </row>
    <row r="53" spans="1:4">
      <c r="A53" s="3118" t="s">
        <v>3378</v>
      </c>
      <c r="B53" s="3119">
        <v>5000</v>
      </c>
      <c r="C53" s="3119">
        <v>5000</v>
      </c>
      <c r="D53" s="3120">
        <f>C53*B53</f>
        <v>25000000</v>
      </c>
    </row>
    <row r="54" spans="1:4">
      <c r="A54" s="3116" t="s">
        <v>3379</v>
      </c>
      <c r="B54" s="2737">
        <f>B51</f>
        <v>15000</v>
      </c>
      <c r="C54" s="2743">
        <v>700</v>
      </c>
      <c r="D54" s="2737">
        <f t="shared" ref="D54:D55" si="5">C54*B54</f>
        <v>10500000</v>
      </c>
    </row>
    <row r="55" spans="1:4">
      <c r="A55" s="3116" t="s">
        <v>3380</v>
      </c>
      <c r="B55" s="2737">
        <f>B51</f>
        <v>15000</v>
      </c>
      <c r="C55" s="2743">
        <v>1500</v>
      </c>
      <c r="D55" s="2737">
        <f t="shared" si="5"/>
        <v>22500000</v>
      </c>
    </row>
    <row r="56" spans="1:4">
      <c r="A56" s="3116" t="s">
        <v>3381</v>
      </c>
      <c r="B56" s="2737">
        <f>B51</f>
        <v>15000</v>
      </c>
      <c r="C56" s="3121">
        <f>C51+C54+C55</f>
        <v>4866.6666666666661</v>
      </c>
      <c r="D56" s="2737">
        <f>D51+D54+D55</f>
        <v>73000000</v>
      </c>
    </row>
    <row r="58" spans="1:4">
      <c r="A58" s="3116" t="s">
        <v>3382</v>
      </c>
      <c r="B58" s="3122">
        <v>0.05</v>
      </c>
      <c r="C58" s="2737">
        <f>C56*(1+B58)</f>
        <v>5110</v>
      </c>
      <c r="D58" s="2737">
        <f>D56*B58</f>
        <v>3650000</v>
      </c>
    </row>
    <row r="60" spans="1:4">
      <c r="A60" s="3116" t="s">
        <v>3383</v>
      </c>
      <c r="B60" s="2743">
        <v>3500</v>
      </c>
      <c r="C60" s="2743">
        <f>C53</f>
        <v>5000</v>
      </c>
      <c r="D60" s="2737">
        <f>C60*B60</f>
        <v>17500000</v>
      </c>
    </row>
    <row r="62" spans="1:4">
      <c r="A62" s="3116" t="s">
        <v>3384</v>
      </c>
      <c r="B62" s="2743">
        <f>B51</f>
        <v>15000</v>
      </c>
      <c r="C62" s="3123">
        <f>D62/B62</f>
        <v>6276.666666666667</v>
      </c>
      <c r="D62" s="2743">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20" sqref="L20"/>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2165</v>
      </c>
      <c r="B1" s="3203" t="str">
        <f>IF(B10="北京市","北京市",C10)&amp;F10&amp;IF('结果表-商业'!G1="在建","出让国有建设用地使用权及在建建筑物",IF('结果表-商业'!G1="土地","出让国有建设用地使用权",))&amp;B9&amp;"预评估"</f>
        <v>房地产抵押价值预评估</v>
      </c>
      <c r="C1" s="3204"/>
      <c r="D1" s="3204"/>
      <c r="E1" s="3204"/>
      <c r="F1" s="3204"/>
      <c r="G1" s="3204"/>
      <c r="H1" s="3204"/>
      <c r="I1" s="3205"/>
      <c r="J1" s="2222"/>
      <c r="K1" s="2160"/>
      <c r="L1" s="2161"/>
      <c r="M1" s="2161"/>
      <c r="N1" s="2159"/>
      <c r="O1" s="1444"/>
      <c r="P1" s="2159"/>
      <c r="Q1" s="2159"/>
      <c r="R1" s="2159"/>
      <c r="S1" s="1539" t="str">
        <f>IF(B10="北京市","北京市",C10)&amp;F10&amp;IF('结果表-商业'!G1="在建","出让国有建设用地使用权及在建建筑物房地产抵押价值",IF('结果表-商业'!G1="土地","出让国有建设用地使用权抵押价值",B9))</f>
        <v>房地产抵押价值</v>
      </c>
      <c r="T1" s="1595"/>
      <c r="U1" s="1595"/>
      <c r="V1" s="1595"/>
      <c r="W1" s="1595"/>
      <c r="X1" s="1595"/>
      <c r="Y1" s="1595"/>
      <c r="Z1" s="1595"/>
      <c r="AA1" s="1595"/>
      <c r="AB1" s="1595"/>
    </row>
    <row r="2" spans="1:30">
      <c r="A2" s="2159" t="s">
        <v>2166</v>
      </c>
      <c r="B2" s="116"/>
      <c r="D2" s="2424"/>
      <c r="E2" s="2417"/>
      <c r="F2" s="2417"/>
      <c r="G2" s="2418"/>
      <c r="H2" s="2418"/>
      <c r="I2" s="2418"/>
      <c r="J2" s="2222"/>
      <c r="K2" s="2160"/>
      <c r="L2" s="2161"/>
      <c r="M2" s="2161"/>
      <c r="N2" s="2159"/>
      <c r="O2" s="1444"/>
      <c r="P2" s="2159"/>
      <c r="Q2" s="2159"/>
      <c r="R2" s="2159"/>
      <c r="S2" s="1539" t="str">
        <f>IF(B10="北京市","北京市",C10)&amp;F10&amp;IF('结果表-商业'!G1="在建","出让国有建设用地使用权及在建建筑物房地产",IF('结果表-商业'!G1="土地","出让国有建设用地使用权","房地产"))</f>
        <v>房地产</v>
      </c>
      <c r="T2" s="1595"/>
      <c r="U2" s="1595"/>
      <c r="V2" s="1595"/>
      <c r="W2" s="1595"/>
      <c r="X2" s="1595"/>
      <c r="Y2" s="1595"/>
      <c r="Z2" s="1595"/>
      <c r="AA2" s="1595"/>
      <c r="AB2" s="1595"/>
    </row>
    <row r="3" spans="1:30">
      <c r="A3" s="288" t="s">
        <v>2167</v>
      </c>
      <c r="B3" s="2162">
        <v>45727</v>
      </c>
      <c r="C3" s="2163" t="s">
        <v>2168</v>
      </c>
      <c r="D3" s="2162">
        <v>45727</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2169</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2170</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2171</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2172</v>
      </c>
      <c r="B7" s="2175"/>
      <c r="C7" s="2173"/>
      <c r="D7" s="2174"/>
      <c r="E7" s="2417"/>
      <c r="F7" s="2418"/>
      <c r="G7" s="2418"/>
      <c r="H7" s="2418"/>
      <c r="I7" s="2418"/>
      <c r="J7" s="2222"/>
      <c r="K7" s="2379"/>
      <c r="L7" s="2376"/>
      <c r="M7" s="2376"/>
      <c r="N7" s="2222"/>
      <c r="O7" s="1647"/>
      <c r="P7" s="2222"/>
      <c r="Q7" s="2222"/>
      <c r="R7" s="2222"/>
    </row>
    <row r="8" spans="1:30">
      <c r="A8" s="2176" t="s">
        <v>2173</v>
      </c>
      <c r="B8" s="2177" t="s">
        <v>3388</v>
      </c>
      <c r="C8" s="2178"/>
      <c r="D8" s="3206" t="s">
        <v>2174</v>
      </c>
      <c r="E8" s="2179" t="s">
        <v>3389</v>
      </c>
      <c r="F8" s="2180"/>
      <c r="G8" s="2418"/>
      <c r="H8" s="2418"/>
      <c r="I8" s="2418"/>
      <c r="J8" s="2222"/>
      <c r="K8" s="2377"/>
      <c r="L8" s="2376"/>
      <c r="M8" s="2376"/>
      <c r="N8" s="2222"/>
      <c r="O8" s="1647"/>
      <c r="P8" s="2222"/>
      <c r="Q8" s="2222"/>
      <c r="R8" s="2222"/>
    </row>
    <row r="9" spans="1:30" ht="13.5" thickBot="1">
      <c r="A9" s="2181" t="s">
        <v>2175</v>
      </c>
      <c r="B9" s="2182" t="s">
        <v>3389</v>
      </c>
      <c r="C9" s="2183"/>
      <c r="D9" s="3207"/>
      <c r="E9" s="2182" t="s">
        <v>43</v>
      </c>
      <c r="F9" s="2184"/>
      <c r="G9" s="2419"/>
      <c r="H9" s="2419"/>
      <c r="I9" s="2419"/>
      <c r="J9" s="2222"/>
      <c r="K9" s="2379"/>
      <c r="L9" s="2376"/>
      <c r="M9" s="2376"/>
      <c r="N9" s="2222"/>
      <c r="O9" s="1647"/>
      <c r="P9" s="2222"/>
      <c r="Q9" s="2222"/>
      <c r="R9" s="2222"/>
    </row>
    <row r="10" spans="1:30" ht="13.5" thickTop="1">
      <c r="A10" s="2185" t="s">
        <v>2176</v>
      </c>
      <c r="B10" s="2186"/>
      <c r="C10" s="2187"/>
      <c r="D10" s="2170"/>
      <c r="E10" s="2188" t="s">
        <v>2177</v>
      </c>
      <c r="F10" s="2420"/>
      <c r="G10" s="2421"/>
      <c r="H10" s="2422"/>
      <c r="I10" s="2423"/>
      <c r="J10" s="2222"/>
      <c r="K10" s="2379"/>
      <c r="L10" s="2376"/>
      <c r="M10" s="2376"/>
      <c r="N10" s="2222"/>
      <c r="O10" s="1647"/>
      <c r="P10" s="2222"/>
      <c r="Q10" s="2222"/>
      <c r="R10" s="2222"/>
    </row>
    <row r="11" spans="1:30">
      <c r="A11" s="2189" t="s">
        <v>2178</v>
      </c>
      <c r="B11" s="2190"/>
      <c r="C11" s="2191"/>
      <c r="D11" s="2192"/>
      <c r="E11" s="2159"/>
      <c r="F11" s="2159"/>
      <c r="G11" s="2159"/>
      <c r="H11" s="2159"/>
      <c r="I11" s="2159"/>
      <c r="J11" s="2774"/>
      <c r="K11" s="2376"/>
      <c r="L11" s="2376"/>
      <c r="M11" s="2376"/>
      <c r="N11" s="2222"/>
      <c r="O11" s="1647"/>
      <c r="P11" s="2222"/>
      <c r="Q11" s="2222"/>
      <c r="R11" s="2222"/>
    </row>
    <row r="12" spans="1:30">
      <c r="A12" s="2193" t="s">
        <v>2179</v>
      </c>
      <c r="B12" s="308" t="s">
        <v>2180</v>
      </c>
      <c r="C12" s="2194" t="s">
        <v>2181</v>
      </c>
      <c r="D12" s="2194" t="s">
        <v>2182</v>
      </c>
      <c r="E12" s="2194" t="s">
        <v>2183</v>
      </c>
      <c r="F12" s="2194" t="s">
        <v>2184</v>
      </c>
      <c r="G12" s="2194" t="s">
        <v>2185</v>
      </c>
      <c r="H12" s="2194" t="s">
        <v>2186</v>
      </c>
      <c r="I12" s="2773" t="s">
        <v>2562</v>
      </c>
      <c r="J12" s="2775"/>
      <c r="K12" s="2376"/>
      <c r="L12" s="2376"/>
      <c r="M12" s="2222"/>
      <c r="N12" s="1647"/>
      <c r="O12" s="2222"/>
      <c r="P12" s="2222"/>
      <c r="Q12" s="2222"/>
      <c r="AD12" s="1595"/>
    </row>
    <row r="13" spans="1:30">
      <c r="A13" s="3094" t="s">
        <v>3318</v>
      </c>
      <c r="B13" s="2195" t="s">
        <v>2187</v>
      </c>
      <c r="C13" s="785"/>
      <c r="D13" s="785">
        <v>57409</v>
      </c>
      <c r="E13" s="785">
        <v>61061</v>
      </c>
      <c r="F13" s="785">
        <v>61061</v>
      </c>
      <c r="G13" s="785"/>
      <c r="H13" s="785"/>
      <c r="I13" s="785"/>
      <c r="J13" s="2775"/>
      <c r="K13" s="2376"/>
      <c r="L13" s="2376"/>
      <c r="M13" s="2222"/>
      <c r="N13" s="1647"/>
      <c r="O13" s="2222"/>
      <c r="P13" s="2222"/>
      <c r="Q13" s="2222"/>
      <c r="AD13" s="1595"/>
    </row>
    <row r="14" spans="1:30">
      <c r="A14" s="996"/>
      <c r="B14" s="2195" t="s">
        <v>2188</v>
      </c>
      <c r="C14" s="2196"/>
      <c r="D14" s="2196">
        <v>40</v>
      </c>
      <c r="E14" s="2196">
        <v>50</v>
      </c>
      <c r="F14" s="2196">
        <v>50</v>
      </c>
      <c r="G14" s="2196"/>
      <c r="H14" s="2196"/>
      <c r="I14" s="2196"/>
      <c r="J14" s="2776"/>
      <c r="K14" s="2376"/>
      <c r="L14" s="2376"/>
      <c r="M14" s="2222"/>
      <c r="N14" s="1647"/>
      <c r="O14" s="2222"/>
      <c r="P14" s="2222"/>
      <c r="Q14" s="2222"/>
      <c r="AD14" s="1595"/>
    </row>
    <row r="15" spans="1:30">
      <c r="A15" s="305"/>
      <c r="B15" s="2197" t="s">
        <v>2189</v>
      </c>
      <c r="C15" s="2198" t="str">
        <f>IF(A13="出让",IF(C13="","",ROUNDDOWN(MIN((C13-$D$3)/365,C14),2)),C14)</f>
        <v/>
      </c>
      <c r="D15" s="2198">
        <f>IF(A13="出让",IF(D13="","",ROUNDDOWN(MIN((D13-$D$3)/365,D14),2)),D14)</f>
        <v>32</v>
      </c>
      <c r="E15" s="2198">
        <f>IF(A13="出让",IF(E13="","",ROUNDDOWN(MIN((E13-$D$3)/365,E14),2)),E14)</f>
        <v>42.01</v>
      </c>
      <c r="F15" s="2198">
        <f>IF(A13="出让",IF(F13="","",ROUNDDOWN(MIN((F13-$D$3)/365,F14),2)),F14)</f>
        <v>42.01</v>
      </c>
      <c r="G15" s="2198" t="str">
        <f>IF(A13="出让",IF(G13="","",ROUNDDOWN(MIN((G13-$D$3)/365,G14),2)),G14)</f>
        <v/>
      </c>
      <c r="H15" s="2198" t="str">
        <f>IF(A13="出让",IF(H13="","",ROUNDDOWN(MIN((H13-$D$3)/365,H14),2)),H14)</f>
        <v/>
      </c>
      <c r="I15" s="2198" t="str">
        <f>IF(A13="出让",IF(I13="","",ROUNDDOWN(MIN((I13-$D$3)/365,I14),2)),I14)</f>
        <v/>
      </c>
      <c r="J15" s="2777"/>
      <c r="K15" s="1647"/>
      <c r="L15" s="1647"/>
      <c r="M15" s="2222"/>
      <c r="N15" s="1647"/>
      <c r="O15" s="2222"/>
      <c r="P15" s="2222"/>
      <c r="Q15" s="2222"/>
      <c r="AD15" s="1595"/>
    </row>
    <row r="16" spans="1:30">
      <c r="A16" s="2188" t="s">
        <v>2190</v>
      </c>
      <c r="B16" s="3213"/>
      <c r="C16" s="3214"/>
      <c r="D16" s="3215"/>
      <c r="E16" s="2199" t="s">
        <v>2191</v>
      </c>
      <c r="F16" s="3216"/>
      <c r="G16" s="3217"/>
      <c r="H16" s="3217"/>
      <c r="I16" s="3218"/>
      <c r="J16" s="2222"/>
      <c r="K16" s="2380"/>
      <c r="L16" s="1647"/>
      <c r="M16" s="1647"/>
      <c r="N16" s="2222"/>
      <c r="O16" s="1647"/>
      <c r="P16" s="2222"/>
      <c r="Q16" s="2222"/>
      <c r="R16" s="2222"/>
    </row>
    <row r="17" spans="1:28">
      <c r="A17" s="299" t="s">
        <v>2192</v>
      </c>
      <c r="B17" s="288" t="s">
        <v>2193</v>
      </c>
      <c r="C17" s="8">
        <f>'数据-汇总表'!E3</f>
        <v>3532.0600000000004</v>
      </c>
      <c r="D17" s="1234" t="s">
        <v>2194</v>
      </c>
      <c r="E17" s="3219" t="s">
        <v>2195</v>
      </c>
      <c r="F17" s="3220"/>
      <c r="G17" s="3220"/>
      <c r="H17" s="3220"/>
      <c r="I17" s="3221"/>
      <c r="J17" s="2222"/>
      <c r="K17" s="2381"/>
      <c r="L17" s="1647"/>
      <c r="M17" s="1647"/>
      <c r="N17" s="2222"/>
      <c r="O17" s="1647"/>
      <c r="P17" s="2222"/>
      <c r="Q17" s="2222"/>
      <c r="R17" s="2222"/>
      <c r="S17" s="2222"/>
      <c r="T17" s="2222"/>
      <c r="U17" s="2222"/>
      <c r="V17" s="2222"/>
    </row>
    <row r="18" spans="1:28" ht="24.75" thickBot="1">
      <c r="A18" s="2200" t="s">
        <v>2196</v>
      </c>
      <c r="B18" s="1005" t="s">
        <v>2197</v>
      </c>
      <c r="C18" s="2201">
        <f>'数据-汇总表'!D3</f>
        <v>0</v>
      </c>
      <c r="D18" s="1007" t="s">
        <v>2198</v>
      </c>
      <c r="E18" s="3222" t="s">
        <v>2199</v>
      </c>
      <c r="F18" s="3223"/>
      <c r="G18" s="3223"/>
      <c r="H18" s="3223"/>
      <c r="I18" s="3224"/>
      <c r="J18" s="2222"/>
      <c r="K18" s="2381"/>
      <c r="L18" s="1647"/>
      <c r="M18" s="1647"/>
      <c r="N18" s="2222"/>
      <c r="O18" s="1647"/>
      <c r="P18" s="2222"/>
      <c r="Q18" s="2222"/>
      <c r="R18" s="2222"/>
      <c r="S18" s="2222"/>
      <c r="T18" s="2222"/>
      <c r="U18" s="2222"/>
      <c r="V18" s="2222"/>
    </row>
    <row r="19" spans="1:28" ht="37.5" thickTop="1" thickBot="1">
      <c r="A19" s="312" t="s">
        <v>1052</v>
      </c>
      <c r="B19" s="293" t="s">
        <v>2200</v>
      </c>
      <c r="C19" s="1433"/>
      <c r="D19" s="1434" t="s">
        <v>2201</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2202</v>
      </c>
      <c r="B20" s="3209" t="s">
        <v>2203</v>
      </c>
      <c r="C20" s="3210"/>
      <c r="D20" s="3211" t="s">
        <v>2204</v>
      </c>
      <c r="E20" s="3212"/>
      <c r="F20" s="2407" t="s">
        <v>1053</v>
      </c>
      <c r="G20" s="2418"/>
      <c r="H20" s="2418"/>
      <c r="I20" s="2418"/>
      <c r="J20" s="2222"/>
      <c r="K20" s="3208" t="s">
        <v>2205</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2206</v>
      </c>
      <c r="C21" s="2273" t="s">
        <v>1054</v>
      </c>
      <c r="D21" s="1438" t="s">
        <v>2207</v>
      </c>
      <c r="E21" s="2396" t="s">
        <v>1054</v>
      </c>
      <c r="F21" s="2408"/>
      <c r="G21" s="2418"/>
      <c r="H21" s="2418"/>
      <c r="I21" s="2418"/>
      <c r="J21" s="2222"/>
      <c r="K21" s="3208"/>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2208</v>
      </c>
      <c r="C22" s="2273" t="s">
        <v>1055</v>
      </c>
      <c r="D22" s="2418"/>
      <c r="E22" s="2418"/>
      <c r="F22" s="2418"/>
      <c r="G22" s="2418"/>
      <c r="H22" s="2418"/>
      <c r="I22" s="2418"/>
      <c r="J22" s="2222"/>
      <c r="K22" s="3208"/>
      <c r="L22" s="636"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2209</v>
      </c>
      <c r="B23" s="2270" t="s">
        <v>2210</v>
      </c>
      <c r="C23" s="2399"/>
      <c r="D23" s="2400" t="s">
        <v>2210</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1056</v>
      </c>
      <c r="C24" s="2248"/>
      <c r="D24" s="2398" t="s">
        <v>1056</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1057</v>
      </c>
      <c r="C25" s="2248"/>
      <c r="D25" s="2398" t="s">
        <v>1057</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1058</v>
      </c>
      <c r="C26" s="2405"/>
      <c r="D26" s="2403" t="s">
        <v>1058</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97" t="s">
        <v>2211</v>
      </c>
      <c r="B27" s="305" t="s">
        <v>2212</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197"/>
      <c r="B28" s="288" t="s">
        <v>2213</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197"/>
      <c r="B29" s="288" t="s">
        <v>2214</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198"/>
      <c r="B30" s="288" t="s">
        <v>2215</v>
      </c>
      <c r="C30" s="3199"/>
      <c r="D30" s="3200"/>
      <c r="E30" s="2418"/>
      <c r="F30" s="2418"/>
      <c r="G30" s="2418"/>
      <c r="H30" s="2418"/>
      <c r="I30" s="2418"/>
      <c r="J30" s="2222"/>
      <c r="K30" s="2379"/>
      <c r="L30" s="2376"/>
      <c r="M30" s="2376"/>
      <c r="N30" s="2222"/>
      <c r="O30" s="1647"/>
      <c r="P30" s="2222"/>
      <c r="Q30" s="2222"/>
      <c r="R30" s="2222"/>
      <c r="S30" s="2222"/>
      <c r="T30" s="2222"/>
      <c r="U30" s="2222"/>
      <c r="V30" s="2222"/>
    </row>
    <row r="31" spans="1:28">
      <c r="A31" s="3201" t="s">
        <v>2216</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2"/>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2"/>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2217</v>
      </c>
      <c r="B34" s="1847"/>
      <c r="C34" s="1847"/>
      <c r="D34" s="1847"/>
      <c r="E34" s="1847"/>
      <c r="F34" s="1847"/>
      <c r="G34" s="1847"/>
      <c r="H34" s="1847"/>
      <c r="I34" s="2418"/>
      <c r="J34" s="2222"/>
      <c r="K34" s="8">
        <f>COUNTIF(B34:H34,"——")</f>
        <v>0</v>
      </c>
      <c r="L34" s="308" t="s">
        <v>2218</v>
      </c>
      <c r="M34" s="308" t="s">
        <v>2219</v>
      </c>
      <c r="N34" s="308" t="s">
        <v>2220</v>
      </c>
      <c r="O34" s="308" t="s">
        <v>2221</v>
      </c>
      <c r="P34" s="308" t="s">
        <v>2222</v>
      </c>
      <c r="Q34" s="308" t="s">
        <v>2223</v>
      </c>
      <c r="R34" s="308" t="s">
        <v>2224</v>
      </c>
      <c r="S34" s="3196" t="s">
        <v>2225</v>
      </c>
      <c r="T34" s="308" t="str">
        <f>NUMBERSTRING(7-K34,1)&amp;"通"</f>
        <v>七通</v>
      </c>
      <c r="U34" s="2222"/>
      <c r="V34" s="2222"/>
    </row>
    <row r="35" spans="1:30">
      <c r="A35" s="2213"/>
      <c r="B35" s="3196" t="s">
        <v>2226</v>
      </c>
      <c r="C35" s="3196"/>
      <c r="D35" s="3196"/>
      <c r="E35" s="3196"/>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96"/>
      <c r="T35" s="132" t="str">
        <f>IF(T34="一通",L35,IF(T34="二通",M35,IF(T34="三通",N35,IF(T34="四通",O35,IF(T34="五通",P35,IF(T34="六通",Q35,R35))))))</f>
        <v>、、、、、、</v>
      </c>
      <c r="U35" s="2222"/>
      <c r="V35" s="2222"/>
    </row>
    <row r="36" spans="1:30">
      <c r="A36" s="2160"/>
      <c r="B36" s="8" t="s">
        <v>2182</v>
      </c>
      <c r="C36" s="8" t="s">
        <v>2183</v>
      </c>
      <c r="D36" s="8" t="s">
        <v>2181</v>
      </c>
      <c r="E36" s="8" t="s">
        <v>2186</v>
      </c>
      <c r="F36" s="2773" t="s">
        <v>2565</v>
      </c>
      <c r="G36" s="2418"/>
      <c r="H36" s="2418"/>
      <c r="I36" s="2418"/>
      <c r="J36" s="2222"/>
      <c r="K36" s="2379"/>
      <c r="L36" s="2376"/>
      <c r="M36" s="2376"/>
      <c r="N36" s="2222"/>
      <c r="O36" s="1647"/>
      <c r="P36" s="2222"/>
      <c r="Q36" s="2222"/>
      <c r="R36" s="2222"/>
      <c r="S36" s="2222"/>
      <c r="T36" s="2222"/>
      <c r="U36" s="2222"/>
      <c r="V36" s="2222"/>
    </row>
    <row r="37" spans="1:30">
      <c r="A37" s="2392" t="s">
        <v>2227</v>
      </c>
      <c r="B37" s="2214"/>
      <c r="C37" s="2214"/>
      <c r="D37" s="2214"/>
      <c r="E37" s="2214"/>
      <c r="F37" s="2214"/>
      <c r="G37" s="2418"/>
      <c r="H37" s="2418"/>
      <c r="I37" s="2418"/>
      <c r="J37" s="2222"/>
      <c r="K37" s="2379"/>
      <c r="L37" s="2376"/>
      <c r="M37" s="2376"/>
      <c r="N37" s="2222"/>
      <c r="O37" s="1647"/>
      <c r="P37" s="2222"/>
      <c r="Q37" s="2222"/>
      <c r="R37" s="2222"/>
      <c r="S37" s="2222"/>
      <c r="T37" s="2222"/>
      <c r="U37" s="2222"/>
      <c r="V37" s="2222"/>
    </row>
    <row r="38" spans="1:30" ht="13.5" thickBot="1">
      <c r="A38" s="2393" t="s">
        <v>2228</v>
      </c>
      <c r="B38" s="2215"/>
      <c r="C38" s="2215"/>
      <c r="D38" s="2215"/>
      <c r="E38" s="2215"/>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2229</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2230</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2231</v>
      </c>
      <c r="B42" s="8" t="s">
        <v>2232</v>
      </c>
      <c r="C42" s="8" t="s">
        <v>2233</v>
      </c>
      <c r="D42" s="8" t="s">
        <v>2234</v>
      </c>
      <c r="E42" s="8" t="s">
        <v>2235</v>
      </c>
      <c r="F42" s="8" t="s">
        <v>2236</v>
      </c>
      <c r="G42" s="8" t="s">
        <v>2237</v>
      </c>
      <c r="H42" s="8" t="s">
        <v>2238</v>
      </c>
      <c r="I42" s="8" t="s">
        <v>2239</v>
      </c>
      <c r="J42" s="2388" t="s">
        <v>2240</v>
      </c>
      <c r="K42" s="2389" t="s">
        <v>2241</v>
      </c>
      <c r="L42" s="2389" t="s">
        <v>2242</v>
      </c>
      <c r="M42" s="2389" t="s">
        <v>2243</v>
      </c>
      <c r="N42" s="2382" t="s">
        <v>2244</v>
      </c>
      <c r="O42" s="2382" t="s">
        <v>2245</v>
      </c>
      <c r="P42" s="2382" t="s">
        <v>2246</v>
      </c>
      <c r="Q42" s="2383" t="s">
        <v>2247</v>
      </c>
      <c r="R42" s="2383" t="s">
        <v>2248</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60F94-7851-4240-8AF5-91F588BD4594}">
  <dimension ref="B6:C9"/>
  <sheetViews>
    <sheetView tabSelected="1" topLeftCell="A49" workbookViewId="0">
      <selection activeCell="N62" sqref="N62"/>
    </sheetView>
  </sheetViews>
  <sheetFormatPr defaultRowHeight="13.5"/>
  <sheetData>
    <row r="6" spans="2:3">
      <c r="B6" s="1383" t="s">
        <v>3385</v>
      </c>
      <c r="C6">
        <v>562.78</v>
      </c>
    </row>
    <row r="7" spans="2:3">
      <c r="B7" s="1383" t="s">
        <v>3386</v>
      </c>
      <c r="C7">
        <v>1259.6400000000001</v>
      </c>
    </row>
    <row r="8" spans="2:3">
      <c r="B8" s="1383" t="s">
        <v>3387</v>
      </c>
      <c r="C8">
        <v>1259.6400000000001</v>
      </c>
    </row>
    <row r="9" spans="2:3">
      <c r="B9" s="1383" t="s">
        <v>3396</v>
      </c>
      <c r="C9">
        <f>45*10</f>
        <v>450</v>
      </c>
    </row>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bestFit="1" customWidth="1"/>
    <col min="31" max="31" width="9.75" style="1441" customWidth="1"/>
    <col min="32"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1059</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1060</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1061</v>
      </c>
      <c r="B2" s="8" t="s">
        <v>1062</v>
      </c>
      <c r="C2" s="8" t="s">
        <v>1063</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1064</v>
      </c>
      <c r="AZ2" s="966" t="s">
        <v>1065</v>
      </c>
      <c r="BA2" s="8" t="s">
        <v>1066</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c r="B3" s="11">
        <f>IF(C3="否",G5-AT5,G5)</f>
        <v>3532.0600000000004</v>
      </c>
      <c r="C3" s="1447" t="s">
        <v>1067</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1068</v>
      </c>
      <c r="B5" s="1237"/>
      <c r="C5" s="1237"/>
      <c r="D5" s="1238"/>
      <c r="E5" s="13" t="s">
        <v>0</v>
      </c>
      <c r="F5" s="13">
        <f>SUM(F13:F587)</f>
        <v>0</v>
      </c>
      <c r="G5" s="13">
        <f>SUM(G13:G587)</f>
        <v>3532.0600000000004</v>
      </c>
      <c r="H5" s="13">
        <f t="shared" ref="H5:AT5" si="0">SUM(H13:H656)</f>
        <v>3532.0600000000004</v>
      </c>
      <c r="I5" s="13">
        <f t="shared" si="0"/>
        <v>562.78</v>
      </c>
      <c r="J5" s="13">
        <f t="shared" si="0"/>
        <v>0</v>
      </c>
      <c r="K5" s="13">
        <f t="shared" si="0"/>
        <v>2519.2800000000002</v>
      </c>
      <c r="L5" s="13">
        <f t="shared" si="0"/>
        <v>0</v>
      </c>
      <c r="M5" s="13">
        <f t="shared" si="0"/>
        <v>450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1068</v>
      </c>
      <c r="AW5" s="1237"/>
      <c r="AX5" s="1237"/>
      <c r="AY5" s="14" t="s">
        <v>2</v>
      </c>
      <c r="AZ5" s="15">
        <f t="shared" ref="AZ5:BT5" si="1">SUM(AZ13:AZ656)</f>
        <v>3532.0600000000004</v>
      </c>
      <c r="BA5" s="15">
        <f t="shared" si="1"/>
        <v>3532.0600000000004</v>
      </c>
      <c r="BB5" s="15">
        <f t="shared" si="1"/>
        <v>562.78</v>
      </c>
      <c r="BC5" s="15">
        <f t="shared" si="1"/>
        <v>2519.2800000000002</v>
      </c>
      <c r="BD5" s="15">
        <f t="shared" si="1"/>
        <v>450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5" customFormat="1" ht="12.75">
      <c r="A6" s="12" t="s">
        <v>1069</v>
      </c>
      <c r="B6" s="1452"/>
      <c r="C6" s="1452"/>
      <c r="D6" s="145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1069</v>
      </c>
      <c r="AW6" s="1452"/>
      <c r="AX6" s="145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6" customFormat="1" ht="24.75">
      <c r="A7" s="1439" t="s">
        <v>1070</v>
      </c>
      <c r="B7" s="1439" t="s">
        <v>1071</v>
      </c>
      <c r="C7" s="1439" t="s">
        <v>1072</v>
      </c>
      <c r="D7" s="1439" t="s">
        <v>1073</v>
      </c>
      <c r="E7" s="1439" t="s">
        <v>1074</v>
      </c>
      <c r="F7" s="1439" t="s">
        <v>1075</v>
      </c>
      <c r="G7" s="1456" t="s">
        <v>1076</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1077</v>
      </c>
      <c r="AV7" s="20" t="s">
        <v>1078</v>
      </c>
      <c r="AW7" s="1444" t="s">
        <v>1079</v>
      </c>
      <c r="AX7" s="20" t="s">
        <v>1072</v>
      </c>
      <c r="AY7" s="1237" t="s">
        <v>1080</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1081</v>
      </c>
      <c r="H8" s="1462" t="s">
        <v>1082</v>
      </c>
      <c r="I8" s="1463"/>
      <c r="J8" s="1247"/>
      <c r="K8" s="1247"/>
      <c r="L8" s="1247"/>
      <c r="M8" s="1247"/>
      <c r="N8" s="1247"/>
      <c r="O8" s="1247"/>
      <c r="P8" s="1247"/>
      <c r="Q8" s="1247"/>
      <c r="R8" s="1247"/>
      <c r="S8" s="1247"/>
      <c r="T8" s="1247"/>
      <c r="U8" s="1247"/>
      <c r="V8" s="1464"/>
      <c r="W8" s="1247"/>
      <c r="X8" s="1247"/>
      <c r="Y8" s="1247"/>
      <c r="Z8" s="1247"/>
      <c r="AA8" s="1464"/>
      <c r="AB8" s="1465"/>
      <c r="AC8" s="743" t="s">
        <v>1083</v>
      </c>
      <c r="AD8" s="1466"/>
      <c r="AE8" s="1458"/>
      <c r="AF8" s="1247"/>
      <c r="AG8" s="1247"/>
      <c r="AH8" s="1247"/>
      <c r="AI8" s="1247"/>
      <c r="AJ8" s="1247"/>
      <c r="AK8" s="1247"/>
      <c r="AL8" s="1247"/>
      <c r="AM8" s="1247"/>
      <c r="AN8" s="1247"/>
      <c r="AO8" s="1247"/>
      <c r="AP8" s="1247"/>
      <c r="AQ8" s="1247"/>
      <c r="AR8" s="1247"/>
      <c r="AS8" s="1247"/>
      <c r="AT8" s="986" t="s">
        <v>1084</v>
      </c>
      <c r="AU8" s="1460" t="s">
        <v>1085</v>
      </c>
      <c r="AV8" s="986"/>
      <c r="AW8" s="1445"/>
      <c r="AX8" s="986"/>
      <c r="AY8" s="1444" t="s">
        <v>1086</v>
      </c>
      <c r="AZ8" s="1246" t="s">
        <v>1087</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1088</v>
      </c>
      <c r="I9" s="1469" t="s">
        <v>3393</v>
      </c>
      <c r="J9" s="743"/>
      <c r="K9" s="1469" t="s">
        <v>3393</v>
      </c>
      <c r="L9" s="743"/>
      <c r="M9" s="1469" t="s">
        <v>3399</v>
      </c>
      <c r="N9" s="743"/>
      <c r="O9" s="1469"/>
      <c r="P9" s="743"/>
      <c r="Q9" s="1469"/>
      <c r="R9" s="743"/>
      <c r="S9" s="1469"/>
      <c r="T9" s="743"/>
      <c r="U9" s="1469"/>
      <c r="V9" s="743"/>
      <c r="W9" s="1469"/>
      <c r="X9" s="1470"/>
      <c r="Y9" s="1469"/>
      <c r="Z9" s="743"/>
      <c r="AA9" s="1469"/>
      <c r="AB9" s="743"/>
      <c r="AC9" s="1461" t="s">
        <v>1088</v>
      </c>
      <c r="AD9" s="12" t="s">
        <v>1089</v>
      </c>
      <c r="AE9" s="992"/>
      <c r="AF9" s="12" t="s">
        <v>1090</v>
      </c>
      <c r="AG9" s="992"/>
      <c r="AH9" s="12" t="s">
        <v>1089</v>
      </c>
      <c r="AI9" s="992"/>
      <c r="AJ9" s="12" t="s">
        <v>1090</v>
      </c>
      <c r="AK9" s="992"/>
      <c r="AL9" s="12" t="s">
        <v>1089</v>
      </c>
      <c r="AM9" s="992"/>
      <c r="AN9" s="12" t="s">
        <v>1090</v>
      </c>
      <c r="AO9" s="992"/>
      <c r="AP9" s="12" t="s">
        <v>1089</v>
      </c>
      <c r="AQ9" s="992"/>
      <c r="AR9" s="12" t="s">
        <v>1090</v>
      </c>
      <c r="AS9" s="1471"/>
      <c r="AT9" s="1460"/>
      <c r="AU9" s="1460" t="s">
        <v>1091</v>
      </c>
      <c r="AV9" s="986"/>
      <c r="AW9" s="1445"/>
      <c r="AX9" s="986"/>
      <c r="AY9" s="25"/>
      <c r="AZ9" s="25" t="s">
        <v>1081</v>
      </c>
      <c r="BA9" s="1472" t="s">
        <v>1092</v>
      </c>
      <c r="BB9" s="1473"/>
      <c r="BC9" s="1003"/>
      <c r="BD9" s="1003"/>
      <c r="BE9" s="1003"/>
      <c r="BF9" s="1003"/>
      <c r="BG9" s="1003"/>
      <c r="BH9" s="1003"/>
      <c r="BI9" s="1003"/>
      <c r="BJ9" s="1003"/>
      <c r="BK9" s="1474"/>
      <c r="BL9" s="12" t="s">
        <v>1093</v>
      </c>
      <c r="BM9" s="1247"/>
      <c r="BN9" s="1463"/>
      <c r="BO9" s="1247"/>
      <c r="BP9" s="1247"/>
      <c r="BQ9" s="1247"/>
      <c r="BR9" s="1247"/>
      <c r="BS9" s="1247"/>
      <c r="BT9" s="23"/>
    </row>
    <row r="10" spans="1:72" s="1467" customFormat="1" ht="12.75">
      <c r="A10" s="1460"/>
      <c r="B10" s="1460"/>
      <c r="C10" s="1460"/>
      <c r="D10" s="1460"/>
      <c r="E10" s="1460"/>
      <c r="F10" s="1460"/>
      <c r="G10" s="986"/>
      <c r="H10" s="25"/>
      <c r="I10" s="1469" t="s">
        <v>670</v>
      </c>
      <c r="J10" s="743"/>
      <c r="K10" s="1475" t="s">
        <v>21</v>
      </c>
      <c r="L10" s="743"/>
      <c r="M10" s="1475" t="s">
        <v>3400</v>
      </c>
      <c r="N10" s="743"/>
      <c r="O10" s="1475"/>
      <c r="P10" s="743"/>
      <c r="Q10" s="1475"/>
      <c r="R10" s="743"/>
      <c r="S10" s="1475"/>
      <c r="T10" s="743"/>
      <c r="U10" s="1475"/>
      <c r="V10" s="743"/>
      <c r="W10" s="1475"/>
      <c r="X10" s="743"/>
      <c r="Y10" s="1475"/>
      <c r="Z10" s="743"/>
      <c r="AA10" s="1475"/>
      <c r="AB10" s="743"/>
      <c r="AC10" s="986"/>
      <c r="AD10" s="12" t="s">
        <v>1094</v>
      </c>
      <c r="AE10" s="1476"/>
      <c r="AF10" s="12" t="s">
        <v>1094</v>
      </c>
      <c r="AG10" s="1476"/>
      <c r="AH10" s="12" t="s">
        <v>1095</v>
      </c>
      <c r="AI10" s="1476"/>
      <c r="AJ10" s="12" t="s">
        <v>1095</v>
      </c>
      <c r="AK10" s="1476"/>
      <c r="AL10" s="12" t="s">
        <v>1096</v>
      </c>
      <c r="AM10" s="992"/>
      <c r="AN10" s="12" t="s">
        <v>1096</v>
      </c>
      <c r="AO10" s="992"/>
      <c r="AP10" s="12" t="s">
        <v>1097</v>
      </c>
      <c r="AQ10" s="992"/>
      <c r="AR10" s="12" t="s">
        <v>1097</v>
      </c>
      <c r="AS10" s="992"/>
      <c r="AT10" s="1460"/>
      <c r="AU10" s="1460"/>
      <c r="AV10" s="986"/>
      <c r="AW10" s="1445"/>
      <c r="AX10" s="986"/>
      <c r="AY10" s="25"/>
      <c r="AZ10" s="25"/>
      <c r="BA10" s="1477" t="s">
        <v>1088</v>
      </c>
      <c r="BB10" s="1478"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1098</v>
      </c>
      <c r="AE11" s="1248"/>
      <c r="AF11" s="1482" t="s">
        <v>1098</v>
      </c>
      <c r="AG11" s="1248"/>
      <c r="AH11" s="1482" t="s">
        <v>1099</v>
      </c>
      <c r="AI11" s="1483"/>
      <c r="AJ11" s="1482" t="s">
        <v>1099</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t="str">
        <f>K10</f>
        <v>办公</v>
      </c>
      <c r="BD11" s="1465" t="str">
        <f>M10</f>
        <v>车库—办公</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6" t="s">
        <v>1101</v>
      </c>
      <c r="W12" s="8" t="s">
        <v>1100</v>
      </c>
      <c r="X12" s="8" t="s">
        <v>1101</v>
      </c>
      <c r="Y12" s="8" t="s">
        <v>1100</v>
      </c>
      <c r="Z12" s="8" t="s">
        <v>1101</v>
      </c>
      <c r="AA12" s="8" t="s">
        <v>1100</v>
      </c>
      <c r="AB12" s="8" t="s">
        <v>1101</v>
      </c>
      <c r="AC12" s="1487"/>
      <c r="AD12" s="1238"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5" t="s">
        <v>1101</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25" t="s">
        <v>3390</v>
      </c>
      <c r="D13" s="1491" t="s">
        <v>3391</v>
      </c>
      <c r="E13" s="13">
        <f>IF($C$3="是",ROUND($A$3*G13/$B$3,2),ROUND($A$3*(G13-AT13)/$B$3,2))</f>
        <v>0</v>
      </c>
      <c r="F13" s="29"/>
      <c r="G13" s="30">
        <f>H13+AC13+AT13</f>
        <v>562.78</v>
      </c>
      <c r="H13" s="17">
        <f>SUMIF(I$12:AB$12,"总值",I13:AB13)</f>
        <v>562.78</v>
      </c>
      <c r="I13" s="1492">
        <f>面积位置!C6</f>
        <v>562.78</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3"/>
      <c r="AV13" s="8">
        <f t="shared" ref="AV13:AX17" si="6">A13</f>
        <v>0</v>
      </c>
      <c r="AW13" s="8">
        <f t="shared" si="6"/>
        <v>0</v>
      </c>
      <c r="AX13" s="8" t="str">
        <f t="shared" si="6"/>
        <v>商业</v>
      </c>
      <c r="AY13" s="1238">
        <f>ROUND($AY$6*AZ13/$AZ$5,2)</f>
        <v>0</v>
      </c>
      <c r="AZ13" s="13">
        <f>BA13+BL13</f>
        <v>562.78</v>
      </c>
      <c r="BA13" s="13">
        <f>SUM(BB13:BK13)</f>
        <v>562.78</v>
      </c>
      <c r="BB13" s="13">
        <f>IF($D13="是",I13-J13,0)</f>
        <v>562.78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6" customFormat="1" ht="12.75">
      <c r="A14" s="621"/>
      <c r="B14" s="621"/>
      <c r="C14" s="3126" t="s">
        <v>3392</v>
      </c>
      <c r="D14" s="1491" t="s">
        <v>3391</v>
      </c>
      <c r="E14" s="13">
        <f>IF($C$3="是",ROUND($A$3*G14/$B$3,2),ROUND($A$3*(G14-AT14)/$B$3,2))</f>
        <v>0</v>
      </c>
      <c r="F14" s="29"/>
      <c r="G14" s="30">
        <f>H14+AC14+AT14</f>
        <v>2519.2800000000002</v>
      </c>
      <c r="H14" s="17">
        <f>SUMIF(I$12:AB$12,"总值",I14:AB14)</f>
        <v>2519.2800000000002</v>
      </c>
      <c r="I14" s="1492"/>
      <c r="J14" s="1492"/>
      <c r="K14" s="1492">
        <f>面积位置!C7+面积位置!C8</f>
        <v>2519.2800000000002</v>
      </c>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办公</v>
      </c>
      <c r="AY14" s="1238">
        <f>ROUND($AY$6*AZ14/$AZ$5,2)</f>
        <v>0</v>
      </c>
      <c r="AZ14" s="13">
        <f>BA14+BL14</f>
        <v>2519.2800000000002</v>
      </c>
      <c r="BA14" s="13">
        <f>SUM(BB14:BK14)</f>
        <v>2519.2800000000002</v>
      </c>
      <c r="BB14" s="13">
        <f>IF($D14="是",I14-J14,0)</f>
        <v>0</v>
      </c>
      <c r="BC14" s="13">
        <f>IF($D14="是",K14-L14,0)</f>
        <v>2519.2800000000002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3126" t="s">
        <v>3398</v>
      </c>
      <c r="D15" s="1491" t="s">
        <v>3391</v>
      </c>
      <c r="E15" s="13">
        <f>IF($C$3="是",ROUND($A$3*G15/$B$3,2),ROUND($A$3*(G15-AT15)/$B$3,2))</f>
        <v>0</v>
      </c>
      <c r="F15" s="29"/>
      <c r="G15" s="30">
        <f>H15+AC15+AT15</f>
        <v>450</v>
      </c>
      <c r="H15" s="17">
        <f>SUMIF(I$12:AB$12,"总值",I15:AB15)</f>
        <v>450</v>
      </c>
      <c r="I15" s="1492"/>
      <c r="J15" s="1492"/>
      <c r="K15" s="1492"/>
      <c r="L15" s="1492"/>
      <c r="M15" s="1492">
        <f>面积位置!C9</f>
        <v>450</v>
      </c>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t="str">
        <f t="shared" si="6"/>
        <v>地下车位</v>
      </c>
      <c r="AY15" s="1238">
        <f>ROUND($AY$6*AZ15/$AZ$5,2)</f>
        <v>0</v>
      </c>
      <c r="AZ15" s="13">
        <f>BA15+BL15</f>
        <v>450</v>
      </c>
      <c r="BA15" s="13">
        <f>SUM(BB15:BK15)</f>
        <v>450</v>
      </c>
      <c r="BB15" s="13">
        <f>IF($D15="是",I15-J15,0)</f>
        <v>0</v>
      </c>
      <c r="BC15" s="13">
        <f>IF($D15="是",K15-L15,0)</f>
        <v>0</v>
      </c>
      <c r="BD15" s="13">
        <f>IF($D15="是",M15-N15,0)</f>
        <v>450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4" sqref="I44"/>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1127</v>
      </c>
      <c r="B1" s="1049"/>
      <c r="C1" s="1049"/>
      <c r="D1" s="1049"/>
      <c r="E1" s="1049"/>
      <c r="F1" s="1049"/>
      <c r="G1" s="1049"/>
      <c r="H1" s="1049"/>
      <c r="I1" s="1049"/>
      <c r="J1" s="1049"/>
      <c r="K1" s="1049"/>
      <c r="L1" s="1049"/>
      <c r="M1" s="1049"/>
      <c r="N1" s="1049"/>
      <c r="O1" s="1049"/>
      <c r="P1" s="1049"/>
    </row>
    <row r="2" spans="1:16" ht="15">
      <c r="A2" s="3234" t="s">
        <v>1128</v>
      </c>
      <c r="B2" s="3234"/>
      <c r="C2" s="3234"/>
      <c r="D2" s="730" t="s">
        <v>1104</v>
      </c>
      <c r="E2" s="1501" t="s">
        <v>1105</v>
      </c>
      <c r="F2" s="2415"/>
      <c r="G2" s="2409"/>
      <c r="H2" s="2410"/>
      <c r="I2" s="2123" t="s">
        <v>1129</v>
      </c>
      <c r="J2" s="2415"/>
      <c r="K2" s="2415"/>
      <c r="L2" s="2415"/>
      <c r="M2" s="2415"/>
      <c r="N2" s="2416"/>
      <c r="O2" s="2415"/>
      <c r="P2" s="2415"/>
    </row>
    <row r="3" spans="1:16" ht="15.75" thickBot="1">
      <c r="A3" s="3235" t="s">
        <v>1102</v>
      </c>
      <c r="B3" s="3235"/>
      <c r="C3" s="3235"/>
      <c r="D3" s="41">
        <f>'数据-基础表'!AY6</f>
        <v>0</v>
      </c>
      <c r="E3" s="41">
        <f>'数据-基础表'!AZ5</f>
        <v>3532.0600000000004</v>
      </c>
      <c r="F3" s="2415"/>
      <c r="G3" s="42"/>
      <c r="H3" s="43" t="s">
        <v>1103</v>
      </c>
      <c r="I3" s="784" t="e">
        <f>ROUND('数据-基础表'!B3/'数据-基础表'!A3,2)</f>
        <v>#DIV/0!</v>
      </c>
      <c r="J3" s="2415"/>
      <c r="K3" s="2415"/>
      <c r="L3" s="2415"/>
      <c r="M3" s="2415"/>
      <c r="N3" s="2416"/>
      <c r="O3" s="2415"/>
      <c r="P3" s="2415"/>
    </row>
    <row r="4" spans="1:16" ht="15">
      <c r="A4" s="3236"/>
      <c r="B4" s="3237"/>
      <c r="C4" s="3238"/>
      <c r="D4" s="1502" t="s">
        <v>1104</v>
      </c>
      <c r="E4" s="1503" t="s">
        <v>1105</v>
      </c>
      <c r="F4" s="2415"/>
      <c r="G4" s="2411" t="s">
        <v>1130</v>
      </c>
      <c r="H4" s="43" t="s">
        <v>1110</v>
      </c>
      <c r="I4" s="784" t="e">
        <f>ROUND(SUMIF('数据-基础表'!I9:AS9,"地上",'数据-基础表'!I5:AS5)/'数据-基础表'!A3,2)</f>
        <v>#DIV/0!</v>
      </c>
      <c r="J4" s="2415"/>
      <c r="K4" s="2415"/>
      <c r="L4" s="2415"/>
      <c r="M4" s="2415"/>
      <c r="N4" s="2416"/>
      <c r="O4" s="2415"/>
      <c r="P4" s="2415"/>
    </row>
    <row r="5" spans="1:16">
      <c r="A5" s="42" t="s">
        <v>1106</v>
      </c>
      <c r="B5" s="3239" t="s">
        <v>1107</v>
      </c>
      <c r="C5" s="3239"/>
      <c r="D5" s="43">
        <f>ROUND($D$3*E5/$E$3,2)</f>
        <v>0</v>
      </c>
      <c r="E5" s="44">
        <f>SUMIF('数据-基础表'!$11:$11,"住宅",'数据-基础表'!$5:$5)</f>
        <v>0</v>
      </c>
      <c r="F5" s="2415"/>
      <c r="G5" s="42"/>
      <c r="H5" s="43" t="s">
        <v>1103</v>
      </c>
      <c r="I5" s="784" t="e">
        <f>ROUND(E31/D31,2)</f>
        <v>#DIV/0!</v>
      </c>
      <c r="J5" s="2415"/>
      <c r="K5" s="2415"/>
      <c r="L5" s="2415"/>
      <c r="M5" s="2415"/>
      <c r="N5" s="2415"/>
      <c r="O5" s="2415"/>
      <c r="P5" s="2415"/>
    </row>
    <row r="6" spans="1:16" ht="15" thickBot="1">
      <c r="A6" s="1505"/>
      <c r="B6" s="3239" t="s">
        <v>1108</v>
      </c>
      <c r="C6" s="3239"/>
      <c r="D6" s="43">
        <f>ROUND($D$3*E6/$E$3,2)</f>
        <v>0</v>
      </c>
      <c r="E6" s="44">
        <f>E3-E5</f>
        <v>3532.0600000000004</v>
      </c>
      <c r="F6" s="2415"/>
      <c r="G6" s="1507" t="s">
        <v>1109</v>
      </c>
      <c r="H6" s="45" t="s">
        <v>1110</v>
      </c>
      <c r="I6" s="2412" t="e">
        <f>ROUND(F31/D31,2)</f>
        <v>#DIV/0!</v>
      </c>
      <c r="J6" s="2415"/>
      <c r="K6" s="2415"/>
      <c r="L6" s="2415"/>
      <c r="M6" s="2415"/>
      <c r="N6" s="2415"/>
      <c r="O6" s="2415"/>
      <c r="P6" s="2415"/>
    </row>
    <row r="7" spans="1:16" ht="15.75" thickBot="1">
      <c r="A7" s="3231"/>
      <c r="B7" s="3232"/>
      <c r="C7" s="3233"/>
      <c r="D7" s="1502" t="s">
        <v>1104</v>
      </c>
      <c r="E7" s="1506" t="s">
        <v>1111</v>
      </c>
      <c r="F7" s="2415"/>
      <c r="G7" s="2413" t="s">
        <v>1112</v>
      </c>
      <c r="H7" s="95"/>
      <c r="I7" s="2414"/>
      <c r="J7" s="2415"/>
      <c r="K7" s="2415"/>
      <c r="L7" s="2415"/>
      <c r="M7" s="2415"/>
      <c r="N7" s="2415"/>
      <c r="O7" s="2415"/>
      <c r="P7" s="2415"/>
    </row>
    <row r="8" spans="1:16">
      <c r="A8" s="42" t="s">
        <v>1113</v>
      </c>
      <c r="B8" s="45" t="s">
        <v>1114</v>
      </c>
      <c r="C8" s="43" t="s">
        <v>1115</v>
      </c>
      <c r="D8" s="43">
        <f t="shared" ref="D8:D15" si="0">ROUND($D$3*E8/$E$3,2)</f>
        <v>0</v>
      </c>
      <c r="E8" s="46">
        <f>SUMIF('数据-基础表'!BB10:BK10,"地上",'数据-基础表'!BB5:BK5)</f>
        <v>3082.0600000000004</v>
      </c>
      <c r="F8" s="2415"/>
      <c r="G8" s="2415"/>
      <c r="H8" s="2415"/>
      <c r="I8" s="2415"/>
      <c r="J8" s="2415"/>
      <c r="K8" s="2415"/>
      <c r="L8" s="2415"/>
      <c r="M8" s="2415"/>
      <c r="N8" s="2415"/>
      <c r="O8" s="2415"/>
      <c r="P8" s="2415"/>
    </row>
    <row r="9" spans="1:16">
      <c r="A9" s="1507"/>
      <c r="B9" s="1508"/>
      <c r="C9" s="43" t="s">
        <v>1116</v>
      </c>
      <c r="D9" s="43">
        <f t="shared" si="0"/>
        <v>0</v>
      </c>
      <c r="E9" s="47">
        <v>0</v>
      </c>
      <c r="F9" s="2415"/>
      <c r="G9" s="2415"/>
      <c r="H9" s="2415"/>
      <c r="I9" s="2415"/>
      <c r="J9" s="2415"/>
      <c r="K9" s="2415"/>
      <c r="L9" s="2415"/>
      <c r="M9" s="2415"/>
      <c r="N9" s="2415"/>
      <c r="O9" s="2415"/>
      <c r="P9" s="2415"/>
    </row>
    <row r="10" spans="1:16">
      <c r="A10" s="1507"/>
      <c r="B10" s="1508"/>
      <c r="C10" s="43" t="s">
        <v>1125</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1117</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1118</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1119</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1131</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1126</v>
      </c>
      <c r="D15" s="43">
        <f t="shared" si="0"/>
        <v>0</v>
      </c>
      <c r="E15" s="46">
        <f>SUMPRODUCT(('数据-基础表'!BB10:BK10="地下")*('数据-基础表'!BB11:BK11="车库—办公")*('数据-基础表'!BB5:BK5))</f>
        <v>450</v>
      </c>
      <c r="F15" s="2415"/>
      <c r="G15" s="2415"/>
      <c r="H15" s="2415"/>
      <c r="I15" s="2415"/>
      <c r="J15" s="2415"/>
      <c r="K15" s="2415"/>
      <c r="L15" s="2415"/>
      <c r="M15" s="2415"/>
      <c r="N15" s="2415"/>
      <c r="O15" s="2415"/>
      <c r="P15" s="2415"/>
    </row>
    <row r="16" spans="1:16" ht="15.75" thickBot="1">
      <c r="A16" s="1505"/>
      <c r="B16" s="1508"/>
      <c r="C16" s="45" t="s">
        <v>1120</v>
      </c>
      <c r="D16" s="45">
        <f>SUM(D8:D15)</f>
        <v>0</v>
      </c>
      <c r="E16" s="48">
        <f>SUM(E8:E15)</f>
        <v>3532.0600000000004</v>
      </c>
      <c r="F16" s="2415"/>
      <c r="G16" s="2415"/>
      <c r="H16" s="1509" t="s">
        <v>1132</v>
      </c>
      <c r="I16" s="1510"/>
      <c r="J16" s="1049"/>
      <c r="K16" s="3228" t="s">
        <v>1132</v>
      </c>
      <c r="L16" s="3229"/>
      <c r="M16" s="3229"/>
      <c r="N16" s="3229"/>
      <c r="O16" s="3229"/>
      <c r="P16" s="3230"/>
    </row>
    <row r="17" spans="1:19" ht="15">
      <c r="A17" s="1511" t="s">
        <v>1133</v>
      </c>
      <c r="B17" s="1512" t="s">
        <v>1134</v>
      </c>
      <c r="C17" s="1513" t="s">
        <v>1135</v>
      </c>
      <c r="D17" s="1514" t="s">
        <v>1123</v>
      </c>
      <c r="E17" s="1515" t="s">
        <v>1124</v>
      </c>
      <c r="F17" s="1516"/>
      <c r="G17" s="1517"/>
      <c r="H17" s="1518" t="s">
        <v>1136</v>
      </c>
      <c r="I17" s="1519" t="s">
        <v>1121</v>
      </c>
      <c r="J17" s="1049"/>
      <c r="K17" s="3225" t="s">
        <v>1137</v>
      </c>
      <c r="L17" s="3226"/>
      <c r="M17" s="3227"/>
      <c r="N17" s="3225" t="s">
        <v>1138</v>
      </c>
      <c r="O17" s="3226"/>
      <c r="P17" s="3227"/>
      <c r="R17" s="751" t="s">
        <v>1139</v>
      </c>
      <c r="S17" s="54"/>
    </row>
    <row r="18" spans="1:19" ht="15">
      <c r="A18" s="1507"/>
      <c r="B18" s="1504"/>
      <c r="C18" s="1520"/>
      <c r="D18" s="1521"/>
      <c r="E18" s="1522" t="s">
        <v>1140</v>
      </c>
      <c r="F18" s="1523" t="s">
        <v>1141</v>
      </c>
      <c r="G18" s="1524" t="s">
        <v>1142</v>
      </c>
      <c r="H18" s="959" t="s">
        <v>1143</v>
      </c>
      <c r="I18" s="1525" t="s">
        <v>1144</v>
      </c>
      <c r="J18" s="1049"/>
      <c r="K18" s="959" t="s">
        <v>1145</v>
      </c>
      <c r="L18" s="1526" t="s">
        <v>1146</v>
      </c>
      <c r="M18" s="784" t="s">
        <v>1147</v>
      </c>
      <c r="N18" s="959" t="s">
        <v>1145</v>
      </c>
      <c r="O18" s="1526" t="s">
        <v>1146</v>
      </c>
      <c r="P18" s="784" t="s">
        <v>1147</v>
      </c>
      <c r="R18" s="43" t="s">
        <v>1148</v>
      </c>
      <c r="S18" s="43" t="s">
        <v>1149</v>
      </c>
    </row>
    <row r="19" spans="1:19">
      <c r="A19" s="1527"/>
      <c r="B19" s="45" t="s">
        <v>1122</v>
      </c>
      <c r="C19" s="3088" t="str">
        <f>'数据-基础表'!C13</f>
        <v>商业</v>
      </c>
      <c r="D19" s="43">
        <f>ROUND($D$3*E19/$E$3,2)</f>
        <v>0</v>
      </c>
      <c r="E19" s="51">
        <f t="shared" ref="E19:E26" si="1">SUM(F19:G19)</f>
        <v>562.78</v>
      </c>
      <c r="F19" s="2532">
        <f>'数据-基础表'!I13</f>
        <v>562.78</v>
      </c>
      <c r="G19" s="1221"/>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8"/>
      <c r="O19" s="1529"/>
      <c r="P19" s="46">
        <f>N19+O19</f>
        <v>0</v>
      </c>
      <c r="R19" s="43">
        <f t="shared" ref="R19:S26" si="5">D19+H19</f>
        <v>0</v>
      </c>
      <c r="S19" s="51">
        <f t="shared" si="5"/>
        <v>562.78</v>
      </c>
    </row>
    <row r="20" spans="1:19">
      <c r="A20" s="1527"/>
      <c r="B20" s="45" t="s">
        <v>1150</v>
      </c>
      <c r="C20" s="3088" t="str">
        <f>'数据-基础表'!C14</f>
        <v>办公</v>
      </c>
      <c r="D20" s="43">
        <f t="shared" ref="D20:D26" si="6">ROUND($D$3*E20/$E$3,2)</f>
        <v>0</v>
      </c>
      <c r="E20" s="51">
        <f t="shared" si="1"/>
        <v>2519.2800000000002</v>
      </c>
      <c r="F20" s="2532">
        <f>'数据-基础表'!K14</f>
        <v>2519.2800000000002</v>
      </c>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2519.2800000000002</v>
      </c>
    </row>
    <row r="21" spans="1:19">
      <c r="A21" s="1527"/>
      <c r="B21" s="45" t="s">
        <v>1150</v>
      </c>
      <c r="C21" s="3088" t="str">
        <f>'数据-基础表'!C15</f>
        <v>地下车位</v>
      </c>
      <c r="D21" s="43">
        <f t="shared" si="6"/>
        <v>0</v>
      </c>
      <c r="E21" s="51">
        <f t="shared" si="1"/>
        <v>450</v>
      </c>
      <c r="F21" s="2532"/>
      <c r="G21" s="1221">
        <f>'数据-基础表'!M15</f>
        <v>450</v>
      </c>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450</v>
      </c>
    </row>
    <row r="22" spans="1:19">
      <c r="A22" s="1527"/>
      <c r="B22" s="45" t="s">
        <v>1150</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1150</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1150</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1150</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1150</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1151</v>
      </c>
      <c r="D27" s="1050">
        <f>SUM(D19:D26)</f>
        <v>0</v>
      </c>
      <c r="E27" s="1051">
        <f>IF(SUM(E19:E26)='数据-基础表'!BA5,SUM(E19:E26),IF(F27="地上面积有误","面积有误","地下面积有误"))</f>
        <v>3532.0600000000004</v>
      </c>
      <c r="F27" s="1050">
        <f>IF(SUM(F19:F26)=E8,SUM(F19:F26),"地上面积有误")</f>
        <v>3082.0600000000004</v>
      </c>
      <c r="G27" s="1052">
        <f>SUM(G19:G26)</f>
        <v>450</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0</v>
      </c>
      <c r="S27" s="43">
        <f>IF(SUM(S19:S26)=$E$3,SUM(S19:S26),SUM(S19:S26)&amp;"误差"&amp;ROUND(SUM(S19:S26)-E3,2))</f>
        <v>3532.0600000000004</v>
      </c>
    </row>
    <row r="28" spans="1:19">
      <c r="A28" s="1527"/>
      <c r="B28" s="45" t="s">
        <v>1152</v>
      </c>
      <c r="C28" s="54" t="s">
        <v>1153</v>
      </c>
      <c r="D28" s="43">
        <f>ROUND($D$3*E28/$E$3,2)</f>
        <v>0</v>
      </c>
      <c r="E28" s="51">
        <f>SUM(F28:G28)</f>
        <v>0</v>
      </c>
      <c r="F28" s="54">
        <f>'数据-基础表'!BQ5+'数据-基础表'!BS5</f>
        <v>0</v>
      </c>
      <c r="G28" s="55">
        <f>'数据-基础表'!BR5+'数据-基础表'!BT5</f>
        <v>0</v>
      </c>
      <c r="H28" s="2415"/>
      <c r="I28" s="2415"/>
      <c r="J28" s="2415"/>
      <c r="K28" s="2415"/>
      <c r="L28" s="2415"/>
      <c r="M28" s="2415"/>
      <c r="N28" s="2415"/>
      <c r="O28" s="2415"/>
      <c r="P28" s="2415"/>
    </row>
    <row r="29" spans="1:19">
      <c r="A29" s="1527"/>
      <c r="B29" s="45" t="s">
        <v>1152</v>
      </c>
      <c r="C29" s="1533" t="s">
        <v>1154</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1151</v>
      </c>
      <c r="D30" s="1050">
        <f>SUM(D28:D29)</f>
        <v>0</v>
      </c>
      <c r="E30" s="1050">
        <f>SUM(E28:E29)</f>
        <v>0</v>
      </c>
      <c r="F30" s="1050">
        <f>SUM(F28:F29)</f>
        <v>0</v>
      </c>
      <c r="G30" s="1052">
        <f>SUM(G28:G29)</f>
        <v>0</v>
      </c>
      <c r="H30" s="2415"/>
      <c r="I30" s="2415"/>
      <c r="J30" s="2415"/>
      <c r="K30" s="2415"/>
      <c r="L30" s="2415"/>
      <c r="M30" s="2415"/>
      <c r="N30" s="2415"/>
      <c r="O30" s="2415"/>
      <c r="P30" s="2415"/>
    </row>
    <row r="31" spans="1:19" ht="15.75" thickBot="1">
      <c r="A31" s="1535"/>
      <c r="B31" s="96"/>
      <c r="C31" s="767" t="s">
        <v>1155</v>
      </c>
      <c r="D31" s="633">
        <f>D27+D30</f>
        <v>0</v>
      </c>
      <c r="E31" s="633">
        <f>E27+E30</f>
        <v>3532.0600000000004</v>
      </c>
      <c r="F31" s="634">
        <f>F27+F30</f>
        <v>3082.0600000000004</v>
      </c>
      <c r="G31" s="635">
        <f>G27+G30</f>
        <v>450</v>
      </c>
      <c r="H31" s="2415"/>
      <c r="I31" s="2415"/>
      <c r="J31" s="2415"/>
      <c r="K31" s="2415"/>
      <c r="L31" s="2415"/>
      <c r="M31" s="2415"/>
      <c r="N31" s="2415"/>
      <c r="O31" s="2415"/>
      <c r="P31" s="2415"/>
    </row>
    <row r="32" spans="1:19">
      <c r="A32" s="1504"/>
      <c r="B32" s="1504" t="s">
        <v>1156</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1157</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1158</v>
      </c>
      <c r="B2" s="963">
        <f>项目基本情况!D3</f>
        <v>45727</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1159</v>
      </c>
      <c r="B4" s="1542"/>
      <c r="C4" s="1543"/>
      <c r="D4" s="1544"/>
      <c r="E4" s="1543" t="s">
        <v>1160</v>
      </c>
      <c r="F4" s="1543"/>
      <c r="G4" s="1543"/>
      <c r="H4" s="1543"/>
      <c r="I4" s="1543"/>
      <c r="J4" s="1545"/>
      <c r="K4" s="1546"/>
      <c r="L4" s="1547"/>
      <c r="M4" s="1543"/>
      <c r="N4" s="1543" t="s">
        <v>1161</v>
      </c>
      <c r="O4" s="1543"/>
      <c r="P4" s="1543"/>
      <c r="Q4" s="1543"/>
      <c r="R4" s="1543"/>
      <c r="S4" s="1545"/>
      <c r="T4" s="3128" t="str">
        <f>'数据-汇总表'!I17</f>
        <v>按面积比例</v>
      </c>
      <c r="U4" s="1542" t="s">
        <v>1162</v>
      </c>
      <c r="V4" s="1543"/>
      <c r="W4" s="1543"/>
      <c r="X4" s="1543"/>
      <c r="Y4" s="1545"/>
      <c r="Z4" s="1513" t="s">
        <v>1163</v>
      </c>
      <c r="AA4" s="1513"/>
      <c r="AB4" s="1513"/>
      <c r="AC4" s="1513"/>
      <c r="AD4" s="1513"/>
      <c r="AE4" s="1511" t="s">
        <v>1164</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1165</v>
      </c>
      <c r="B5" s="1550" t="s">
        <v>1166</v>
      </c>
      <c r="C5" s="1551" t="s">
        <v>1167</v>
      </c>
      <c r="D5" s="1552" t="s">
        <v>1168</v>
      </c>
      <c r="E5" s="497" t="s">
        <v>1169</v>
      </c>
      <c r="F5" s="1553" t="s">
        <v>1170</v>
      </c>
      <c r="G5" s="497" t="s">
        <v>1171</v>
      </c>
      <c r="H5" s="497" t="s">
        <v>1172</v>
      </c>
      <c r="I5" s="497" t="s">
        <v>1173</v>
      </c>
      <c r="J5" s="1225" t="s">
        <v>1174</v>
      </c>
      <c r="K5" s="1554" t="s">
        <v>1175</v>
      </c>
      <c r="L5" s="1555" t="s">
        <v>1176</v>
      </c>
      <c r="M5" s="1556" t="s">
        <v>1177</v>
      </c>
      <c r="N5" s="1557" t="s">
        <v>3401</v>
      </c>
      <c r="O5" s="1555" t="s">
        <v>1178</v>
      </c>
      <c r="P5" s="1558" t="s">
        <v>1179</v>
      </c>
      <c r="Q5" s="58" t="s">
        <v>1180</v>
      </c>
      <c r="R5" s="1559" t="s">
        <v>1181</v>
      </c>
      <c r="S5" s="1560" t="s">
        <v>1182</v>
      </c>
      <c r="T5" s="1561" t="s">
        <v>1183</v>
      </c>
      <c r="U5" s="964" t="s">
        <v>1184</v>
      </c>
      <c r="V5" s="497" t="s">
        <v>1185</v>
      </c>
      <c r="W5" s="497" t="s">
        <v>1186</v>
      </c>
      <c r="X5" s="60"/>
      <c r="Y5" s="59" t="s">
        <v>1187</v>
      </c>
      <c r="Z5" s="1079" t="s">
        <v>1184</v>
      </c>
      <c r="AA5" s="497" t="s">
        <v>1185</v>
      </c>
      <c r="AB5" s="497" t="s">
        <v>1186</v>
      </c>
      <c r="AC5" s="60"/>
      <c r="AD5" s="60" t="s">
        <v>1187</v>
      </c>
      <c r="AE5" s="964" t="s">
        <v>1188</v>
      </c>
      <c r="AF5" s="497" t="s">
        <v>1189</v>
      </c>
      <c r="AG5" s="59" t="s">
        <v>1190</v>
      </c>
      <c r="AH5" s="964" t="s">
        <v>1191</v>
      </c>
      <c r="AI5" s="1079" t="s">
        <v>1192</v>
      </c>
      <c r="AJ5" s="1079" t="s">
        <v>1193</v>
      </c>
      <c r="AK5" s="497" t="s">
        <v>1194</v>
      </c>
      <c r="AL5" s="497" t="s">
        <v>1195</v>
      </c>
      <c r="AM5" s="59" t="s">
        <v>1196</v>
      </c>
      <c r="AN5" s="1562" t="s">
        <v>1197</v>
      </c>
      <c r="AO5" s="1432" t="s">
        <v>1198</v>
      </c>
      <c r="AP5" s="948" t="s">
        <v>1199</v>
      </c>
      <c r="AQ5" s="1563" t="s">
        <v>1200</v>
      </c>
      <c r="AR5" s="1563" t="s">
        <v>1201</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9" t="str">
        <f>'数据-汇总表'!C19</f>
        <v>商业</v>
      </c>
      <c r="B6" s="1564" t="str">
        <f>IF(A6=0,"","经营性")</f>
        <v>经营性</v>
      </c>
      <c r="C6" s="1565" t="s">
        <v>670</v>
      </c>
      <c r="D6" s="3130">
        <f>SUMIF(项目基本情况!C$12:I$12,C6,项目基本情况!C$14:I$14)</f>
        <v>40</v>
      </c>
      <c r="E6" s="3131">
        <f>IF(B6="","",SUMIF(项目基本情况!C$12:I$12,C6,项目基本情况!C$13:I$13))</f>
        <v>57409</v>
      </c>
      <c r="F6" s="61">
        <f>SUMIF(项目基本情况!C$12:I$12,C6,项目基本情况!C$15:I$15)</f>
        <v>32</v>
      </c>
      <c r="G6" s="62">
        <f>IF(ISERROR(ROUND(POWER(1+H6,D6-F6)*(POWER(1+H6,F6)-1)/(POWER(1+H6,D6)-1),3)),0,ROUND(POWER(1+H6,D6-F6)*(POWER(1+H6,F6)-1)/(POWER(1+H6,D6)-1),3))</f>
        <v>0.92100000000000004</v>
      </c>
      <c r="H6" s="3132">
        <v>0.05</v>
      </c>
      <c r="I6" s="3132">
        <v>5.5E-2</v>
      </c>
      <c r="J6" s="63">
        <v>7.0000000000000007E-2</v>
      </c>
      <c r="K6" s="66">
        <f>SUMIF('数据-汇总表'!C$19:C$33,A6,'数据-汇总表'!E$19:E$33)</f>
        <v>562.78</v>
      </c>
      <c r="L6" s="79">
        <v>4500</v>
      </c>
      <c r="M6" s="64">
        <f t="shared" ref="M6:M14" si="0">ROUND(K6*L6/10000,0)</f>
        <v>253</v>
      </c>
      <c r="N6" s="80">
        <f>ROUND(1-(2025-2023)/60,2)</f>
        <v>0.97</v>
      </c>
      <c r="O6" s="64" t="str">
        <f>IF($N$5="成新度","——",ROUND(M6*N6,0))</f>
        <v>——</v>
      </c>
      <c r="P6" s="65" t="str">
        <f>IF($N$5="成新度","——",M6-O6)</f>
        <v>——</v>
      </c>
      <c r="Q6" s="78">
        <v>0.2</v>
      </c>
      <c r="R6" s="66">
        <f ca="1">SUMIF('数据-汇总表'!C$19:C$33,A6,'数据-汇总表'!R$19:R$27)</f>
        <v>0</v>
      </c>
      <c r="S6" s="49">
        <f>IF('数据-汇总表'!$I$17="按面积比例",SUMIF('数据-汇总表'!C$19:C$33,A6,'数据-汇总表'!K$19:K$33),SUMIF('数据-汇总表'!C$19:C$33,A6,'数据-汇总表'!N$19:N$33))</f>
        <v>0</v>
      </c>
      <c r="T6" s="1070">
        <f>ROUND($L$14*S6/10000,0)</f>
        <v>0</v>
      </c>
      <c r="U6" s="3099">
        <v>4</v>
      </c>
      <c r="V6" s="67">
        <v>0.02</v>
      </c>
      <c r="W6" s="67">
        <v>0.1</v>
      </c>
      <c r="X6" s="958"/>
      <c r="Y6" s="68">
        <f>N6</f>
        <v>0.97</v>
      </c>
      <c r="Z6" s="69"/>
      <c r="AA6" s="63"/>
      <c r="AB6" s="63"/>
      <c r="AC6" s="958"/>
      <c r="AD6" s="70"/>
      <c r="AE6" s="959">
        <f ca="1">IF(AN6="",0,SUMIF(INDIRECT("'"&amp;AN6&amp;"'"&amp;"!E:E"),$AE$5,INDIRECT("'"&amp;AN6&amp;"'"&amp;"!F:F")))</f>
        <v>32</v>
      </c>
      <c r="AF6" s="74"/>
      <c r="AG6" s="124">
        <f>IF(AF6="",0,AE6-AF6)</f>
        <v>0</v>
      </c>
      <c r="AH6" s="71"/>
      <c r="AI6" s="73">
        <v>365</v>
      </c>
      <c r="AJ6" s="74"/>
      <c r="AK6" s="75">
        <v>2E-3</v>
      </c>
      <c r="AL6" s="76">
        <v>1E-3</v>
      </c>
      <c r="AM6" s="77">
        <v>0.01</v>
      </c>
      <c r="AN6" s="1566" t="s">
        <v>3416</v>
      </c>
      <c r="AO6" s="50">
        <f ca="1">SUMIF(INDIRECT("'"&amp;AN6&amp;"'"&amp;"!A:A"),"总价",INDIRECT("'"&amp;AN6&amp;"'"&amp;"!B:B"))</f>
        <v>1143.9078999999999</v>
      </c>
      <c r="AP6" s="1567">
        <f>IF(C6="住宅",K6*L6,0)</f>
        <v>0</v>
      </c>
      <c r="AQ6" s="50">
        <f>ROUND($L$14*$N$14*S6/10000,0)</f>
        <v>0</v>
      </c>
      <c r="AR6" s="50">
        <f>ROUND($L$14*(1-$N$14)*S6/10000,0)</f>
        <v>0</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129" t="str">
        <f>'数据-汇总表'!C20</f>
        <v>办公</v>
      </c>
      <c r="B7" s="1564" t="str">
        <f t="shared" ref="B7:B13" si="1">IF(A7=0,"","经营性")</f>
        <v>经营性</v>
      </c>
      <c r="C7" s="1565" t="s">
        <v>21</v>
      </c>
      <c r="D7" s="3130">
        <f>SUMIF(项目基本情况!C$12:I$12,C7,项目基本情况!C$14:I$14)</f>
        <v>50</v>
      </c>
      <c r="E7" s="3131">
        <f>IF(B7="","",SUMIF(项目基本情况!C$12:I$12,C7,项目基本情况!C$13:I$13))</f>
        <v>61061</v>
      </c>
      <c r="F7" s="61">
        <f>SUMIF(项目基本情况!C$12:I$12,C7,项目基本情况!C$15:I$15)</f>
        <v>42.01</v>
      </c>
      <c r="G7" s="62">
        <f t="shared" ref="G7:G11" si="2">IF(ISERROR(ROUND(POWER(1+H7,D7-F7)*(POWER(1+H7,F7)-1)/(POWER(1+H7,D7)-1),3)),0,ROUND(POWER(1+H7,D7-F7)*(POWER(1+H7,F7)-1)/(POWER(1+H7,D7)-1),3))</f>
        <v>0.95399999999999996</v>
      </c>
      <c r="H7" s="3132">
        <v>0.05</v>
      </c>
      <c r="I7" s="3132">
        <v>5.5E-2</v>
      </c>
      <c r="J7" s="63">
        <v>7.0000000000000007E-2</v>
      </c>
      <c r="K7" s="66">
        <f>SUMIF('数据-汇总表'!C$19:C$33,A7,'数据-汇总表'!E$19:E$33)</f>
        <v>2519.2800000000002</v>
      </c>
      <c r="L7" s="79">
        <v>4500</v>
      </c>
      <c r="M7" s="64">
        <f t="shared" si="0"/>
        <v>1134</v>
      </c>
      <c r="N7" s="80">
        <f t="shared" ref="N7:N8" si="3">ROUND(1-(2025-2023)/60,2)</f>
        <v>0.97</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70">
        <f t="shared" ref="T7:T13" si="6">ROUND($L$14*S7/10000,0)</f>
        <v>0</v>
      </c>
      <c r="U7" s="3099">
        <v>2.8</v>
      </c>
      <c r="V7" s="67">
        <v>0.02</v>
      </c>
      <c r="W7" s="67">
        <v>0.1</v>
      </c>
      <c r="X7" s="958"/>
      <c r="Y7" s="68">
        <f t="shared" ref="Y7:Y8" si="7">N7</f>
        <v>0.97</v>
      </c>
      <c r="Z7" s="69"/>
      <c r="AA7" s="63"/>
      <c r="AB7" s="63"/>
      <c r="AC7" s="958"/>
      <c r="AD7" s="70"/>
      <c r="AE7" s="959">
        <f t="shared" ref="AE7:AE13" ca="1" si="8">IF(AN7="",0,SUMIF(INDIRECT("'"&amp;AN7&amp;"'"&amp;"!E:E"),$AE$5,INDIRECT("'"&amp;AN7&amp;"'"&amp;"!F:F")))</f>
        <v>42.01</v>
      </c>
      <c r="AF7" s="74"/>
      <c r="AG7" s="124">
        <f t="shared" ref="AG7:AG13" si="9">IF(AF7="",0,AE7-AF7)</f>
        <v>0</v>
      </c>
      <c r="AH7" s="71"/>
      <c r="AI7" s="73">
        <v>365</v>
      </c>
      <c r="AJ7" s="74"/>
      <c r="AK7" s="75">
        <v>2E-3</v>
      </c>
      <c r="AL7" s="76">
        <v>1E-3</v>
      </c>
      <c r="AM7" s="77">
        <v>0.01</v>
      </c>
      <c r="AN7" s="1566" t="s">
        <v>3414</v>
      </c>
      <c r="AO7" s="50">
        <f t="shared" ref="AO7:AO13" ca="1" si="10">SUMIF(INDIRECT("'"&amp;AN7&amp;"'"&amp;"!A:A"),"总价",INDIRECT("'"&amp;AN7&amp;"'"&amp;"!B:B"))</f>
        <v>4050.7451999999998</v>
      </c>
      <c r="AP7" s="1567">
        <f t="shared" ref="AP7:AP13" si="11">IF(C7="住宅",K7*L7,0)</f>
        <v>0</v>
      </c>
      <c r="AQ7" s="50">
        <f t="shared" ref="AQ7:AQ13" si="12">ROUND($L$14*$N$14*S7/10000,0)</f>
        <v>0</v>
      </c>
      <c r="AR7" s="50">
        <f t="shared" ref="AR7:AR13" si="13">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c r="A8" s="3129" t="str">
        <f>'数据-汇总表'!C21</f>
        <v>地下车位</v>
      </c>
      <c r="B8" s="1564" t="str">
        <f t="shared" si="1"/>
        <v>经营性</v>
      </c>
      <c r="C8" s="1565" t="s">
        <v>3319</v>
      </c>
      <c r="D8" s="3130">
        <f>SUMIF(项目基本情况!C$12:I$12,C8,项目基本情况!C$14:I$14)</f>
        <v>50</v>
      </c>
      <c r="E8" s="3131">
        <f>IF(B8="","",SUMIF(项目基本情况!C$12:I$12,C8,项目基本情况!C$13:I$13))</f>
        <v>61061</v>
      </c>
      <c r="F8" s="61">
        <f>SUMIF(项目基本情况!C$12:I$12,C8,项目基本情况!C$15:I$15)</f>
        <v>42.01</v>
      </c>
      <c r="G8" s="62">
        <f t="shared" si="2"/>
        <v>0.95399999999999996</v>
      </c>
      <c r="H8" s="3132">
        <v>0.05</v>
      </c>
      <c r="I8" s="3132">
        <v>5.5E-2</v>
      </c>
      <c r="J8" s="63">
        <v>7.0000000000000007E-2</v>
      </c>
      <c r="K8" s="66">
        <f>SUMIF('数据-汇总表'!C$19:C$33,A8,'数据-汇总表'!E$19:E$33)</f>
        <v>450</v>
      </c>
      <c r="L8" s="79">
        <v>4500</v>
      </c>
      <c r="M8" s="64">
        <f>ROUND(K8*L8/10000,0)</f>
        <v>203</v>
      </c>
      <c r="N8" s="80">
        <f t="shared" si="3"/>
        <v>0.97</v>
      </c>
      <c r="O8" s="64" t="str">
        <f t="shared" si="4"/>
        <v>——</v>
      </c>
      <c r="P8" s="65" t="str">
        <f t="shared" si="5"/>
        <v>——</v>
      </c>
      <c r="Q8" s="78">
        <v>0.05</v>
      </c>
      <c r="R8" s="66">
        <f ca="1">SUMIF('数据-汇总表'!C$19:C$33,A8,'数据-汇总表'!R$19:R$27)</f>
        <v>0</v>
      </c>
      <c r="S8" s="49">
        <f>IF('数据-汇总表'!$I$17="按面积比例",SUMIF('数据-汇总表'!C$19:C$33,A8,'数据-汇总表'!K$19:K$33),SUMIF('数据-汇总表'!C$19:C$33,A8,'数据-汇总表'!N$19:N$33))</f>
        <v>0</v>
      </c>
      <c r="T8" s="1070">
        <f t="shared" si="6"/>
        <v>0</v>
      </c>
      <c r="U8" s="3099">
        <v>300</v>
      </c>
      <c r="V8" s="67">
        <v>0.02</v>
      </c>
      <c r="W8" s="67">
        <v>0.1</v>
      </c>
      <c r="X8" s="958"/>
      <c r="Y8" s="68">
        <f t="shared" si="7"/>
        <v>0.97</v>
      </c>
      <c r="Z8" s="69"/>
      <c r="AA8" s="63"/>
      <c r="AB8" s="63"/>
      <c r="AC8" s="958"/>
      <c r="AD8" s="70"/>
      <c r="AE8" s="959">
        <f t="shared" ca="1" si="8"/>
        <v>42.01</v>
      </c>
      <c r="AF8" s="74"/>
      <c r="AG8" s="124">
        <f t="shared" si="9"/>
        <v>0</v>
      </c>
      <c r="AH8" s="71">
        <v>10</v>
      </c>
      <c r="AI8" s="73">
        <v>12</v>
      </c>
      <c r="AJ8" s="74"/>
      <c r="AK8" s="75">
        <v>2E-3</v>
      </c>
      <c r="AL8" s="76">
        <v>1E-3</v>
      </c>
      <c r="AM8" s="77">
        <v>0.01</v>
      </c>
      <c r="AN8" s="1566" t="s">
        <v>3418</v>
      </c>
      <c r="AO8" s="50">
        <f t="shared" ca="1" si="10"/>
        <v>45.540500000000002</v>
      </c>
      <c r="AP8" s="1567">
        <f t="shared" si="11"/>
        <v>0</v>
      </c>
      <c r="AQ8" s="50">
        <f t="shared" si="12"/>
        <v>0</v>
      </c>
      <c r="AR8" s="50">
        <f t="shared" si="13"/>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9">
        <f>'数据-汇总表'!C22</f>
        <v>0</v>
      </c>
      <c r="B9" s="1564" t="str">
        <f t="shared" si="1"/>
        <v/>
      </c>
      <c r="C9" s="1565"/>
      <c r="D9" s="3130">
        <f>SUMIF(项目基本情况!C$12:I$12,C9,项目基本情况!C$14:I$14)</f>
        <v>0</v>
      </c>
      <c r="E9" s="3131"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70">
        <f t="shared" si="6"/>
        <v>0</v>
      </c>
      <c r="U9" s="3099"/>
      <c r="V9" s="67"/>
      <c r="W9" s="67"/>
      <c r="X9" s="958"/>
      <c r="Y9" s="68"/>
      <c r="Z9" s="69"/>
      <c r="AA9" s="63"/>
      <c r="AB9" s="63"/>
      <c r="AC9" s="958"/>
      <c r="AD9" s="70"/>
      <c r="AE9" s="959">
        <f t="shared" ca="1" si="8"/>
        <v>0</v>
      </c>
      <c r="AF9" s="74"/>
      <c r="AG9" s="124">
        <f t="shared" si="9"/>
        <v>0</v>
      </c>
      <c r="AH9" s="71"/>
      <c r="AI9" s="73"/>
      <c r="AJ9" s="74"/>
      <c r="AK9" s="75"/>
      <c r="AL9" s="76"/>
      <c r="AM9" s="77"/>
      <c r="AN9" s="1566"/>
      <c r="AO9" s="50" t="e">
        <f t="shared" ca="1" si="10"/>
        <v>#REF!</v>
      </c>
      <c r="AP9" s="1567">
        <f t="shared" si="11"/>
        <v>0</v>
      </c>
      <c r="AQ9" s="50">
        <f t="shared" si="12"/>
        <v>0</v>
      </c>
      <c r="AR9" s="50">
        <f t="shared" si="13"/>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9">
        <f>'数据-汇总表'!C23</f>
        <v>0</v>
      </c>
      <c r="B10" s="1564" t="str">
        <f t="shared" si="1"/>
        <v/>
      </c>
      <c r="C10" s="1565"/>
      <c r="D10" s="3130">
        <f>SUMIF(项目基本情况!C$12:I$12,C10,项目基本情况!C$14:I$14)</f>
        <v>0</v>
      </c>
      <c r="E10" s="3131"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70">
        <f t="shared" si="6"/>
        <v>0</v>
      </c>
      <c r="U10" s="3099"/>
      <c r="V10" s="67"/>
      <c r="W10" s="67"/>
      <c r="X10" s="958"/>
      <c r="Y10" s="68"/>
      <c r="Z10" s="69"/>
      <c r="AA10" s="63"/>
      <c r="AB10" s="63"/>
      <c r="AC10" s="958"/>
      <c r="AD10" s="70"/>
      <c r="AE10" s="959">
        <f t="shared" ca="1" si="8"/>
        <v>0</v>
      </c>
      <c r="AF10" s="74"/>
      <c r="AG10" s="124">
        <f t="shared" si="9"/>
        <v>0</v>
      </c>
      <c r="AH10" s="71"/>
      <c r="AI10" s="73"/>
      <c r="AJ10" s="74"/>
      <c r="AK10" s="75"/>
      <c r="AL10" s="76"/>
      <c r="AM10" s="77"/>
      <c r="AN10" s="1566"/>
      <c r="AO10" s="50" t="e">
        <f t="shared" ca="1" si="10"/>
        <v>#REF!</v>
      </c>
      <c r="AP10" s="1567">
        <f t="shared" si="11"/>
        <v>0</v>
      </c>
      <c r="AQ10" s="50">
        <f t="shared" si="12"/>
        <v>0</v>
      </c>
      <c r="AR10" s="50">
        <f t="shared" si="13"/>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9">
        <f>'数据-汇总表'!C24</f>
        <v>0</v>
      </c>
      <c r="B11" s="1564" t="str">
        <f t="shared" si="1"/>
        <v/>
      </c>
      <c r="C11" s="1565"/>
      <c r="D11" s="3130">
        <f>SUMIF(项目基本情况!C$12:I$12,C11,项目基本情况!C$14:I$14)</f>
        <v>0</v>
      </c>
      <c r="E11" s="3131"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70">
        <f t="shared" si="6"/>
        <v>0</v>
      </c>
      <c r="U11" s="3099"/>
      <c r="V11" s="63"/>
      <c r="W11" s="63"/>
      <c r="X11" s="958"/>
      <c r="Y11" s="68"/>
      <c r="Z11" s="81"/>
      <c r="AA11" s="63"/>
      <c r="AB11" s="63"/>
      <c r="AC11" s="958"/>
      <c r="AD11" s="70"/>
      <c r="AE11" s="959">
        <f t="shared" ca="1" si="8"/>
        <v>0</v>
      </c>
      <c r="AF11" s="74"/>
      <c r="AG11" s="124">
        <f t="shared" si="9"/>
        <v>0</v>
      </c>
      <c r="AH11" s="71"/>
      <c r="AI11" s="73"/>
      <c r="AJ11" s="74"/>
      <c r="AK11" s="75"/>
      <c r="AL11" s="76"/>
      <c r="AM11" s="77"/>
      <c r="AN11" s="1566"/>
      <c r="AO11" s="50" t="e">
        <f t="shared" ca="1" si="10"/>
        <v>#REF!</v>
      </c>
      <c r="AP11" s="1567">
        <f t="shared" si="11"/>
        <v>0</v>
      </c>
      <c r="AQ11" s="50">
        <f t="shared" si="12"/>
        <v>0</v>
      </c>
      <c r="AR11" s="50">
        <f t="shared" si="13"/>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9">
        <f>'数据-汇总表'!C25</f>
        <v>0</v>
      </c>
      <c r="B12" s="1564" t="str">
        <f t="shared" si="1"/>
        <v/>
      </c>
      <c r="C12" s="1565"/>
      <c r="D12" s="3130">
        <f>SUMIF(项目基本情况!C$12:I$12,C12,项目基本情况!C$14:I$14)</f>
        <v>0</v>
      </c>
      <c r="E12" s="313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70">
        <f t="shared" si="6"/>
        <v>0</v>
      </c>
      <c r="U12" s="3099"/>
      <c r="V12" s="63"/>
      <c r="W12" s="63"/>
      <c r="X12" s="958"/>
      <c r="Y12" s="68"/>
      <c r="Z12" s="81"/>
      <c r="AA12" s="63"/>
      <c r="AB12" s="63"/>
      <c r="AC12" s="958"/>
      <c r="AD12" s="70"/>
      <c r="AE12" s="959">
        <f t="shared" ca="1" si="8"/>
        <v>0</v>
      </c>
      <c r="AF12" s="74"/>
      <c r="AG12" s="124">
        <f t="shared" si="9"/>
        <v>0</v>
      </c>
      <c r="AH12" s="71"/>
      <c r="AI12" s="73"/>
      <c r="AJ12" s="74"/>
      <c r="AK12" s="75"/>
      <c r="AL12" s="76"/>
      <c r="AM12" s="77"/>
      <c r="AN12" s="1566"/>
      <c r="AO12" s="50" t="e">
        <f t="shared" ca="1" si="10"/>
        <v>#REF!</v>
      </c>
      <c r="AP12" s="1567">
        <f t="shared" si="11"/>
        <v>0</v>
      </c>
      <c r="AQ12" s="50">
        <f t="shared" si="12"/>
        <v>0</v>
      </c>
      <c r="AR12" s="50">
        <f t="shared" si="13"/>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9">
        <f>'数据-汇总表'!C26</f>
        <v>0</v>
      </c>
      <c r="B13" s="1564" t="str">
        <f t="shared" si="1"/>
        <v/>
      </c>
      <c r="C13" s="1565"/>
      <c r="D13" s="3130">
        <f>SUMIF(项目基本情况!C$12:I$12,C13,项目基本情况!C$14:I$14)</f>
        <v>0</v>
      </c>
      <c r="E13" s="313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70">
        <f t="shared" si="6"/>
        <v>0</v>
      </c>
      <c r="U13" s="3100"/>
      <c r="V13" s="67"/>
      <c r="W13" s="67"/>
      <c r="X13" s="958"/>
      <c r="Y13" s="68"/>
      <c r="Z13" s="69"/>
      <c r="AA13" s="63"/>
      <c r="AB13" s="63"/>
      <c r="AC13" s="958"/>
      <c r="AD13" s="70"/>
      <c r="AE13" s="959">
        <f t="shared" ca="1" si="8"/>
        <v>0</v>
      </c>
      <c r="AF13" s="74"/>
      <c r="AG13" s="124">
        <f t="shared" si="9"/>
        <v>0</v>
      </c>
      <c r="AH13" s="71"/>
      <c r="AI13" s="73"/>
      <c r="AJ13" s="74"/>
      <c r="AK13" s="75"/>
      <c r="AL13" s="76"/>
      <c r="AM13" s="77"/>
      <c r="AN13" s="1566"/>
      <c r="AO13" s="50" t="e">
        <f t="shared" ca="1" si="10"/>
        <v>#REF!</v>
      </c>
      <c r="AP13" s="1567">
        <f t="shared" si="11"/>
        <v>0</v>
      </c>
      <c r="AQ13" s="50">
        <f t="shared" si="12"/>
        <v>0</v>
      </c>
      <c r="AR13" s="50">
        <f t="shared" si="13"/>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1202</v>
      </c>
      <c r="B14" s="1564" t="s">
        <v>1203</v>
      </c>
      <c r="C14" s="1569" t="s">
        <v>1202</v>
      </c>
      <c r="D14" s="3130"/>
      <c r="E14" s="3131"/>
      <c r="F14" s="61"/>
      <c r="G14" s="62"/>
      <c r="H14" s="949"/>
      <c r="I14" s="949"/>
      <c r="J14" s="949"/>
      <c r="K14" s="66">
        <f>SUMIF('数据-汇总表'!C$19:C$33,A14,'数据-汇总表'!E$19:E$33)</f>
        <v>0</v>
      </c>
      <c r="L14" s="79"/>
      <c r="M14" s="64">
        <f t="shared" si="0"/>
        <v>0</v>
      </c>
      <c r="N14" s="80"/>
      <c r="O14" s="64" t="str">
        <f t="shared" si="4"/>
        <v>——</v>
      </c>
      <c r="P14" s="65" t="str">
        <f t="shared" si="5"/>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1204</v>
      </c>
      <c r="B15" s="1564" t="s">
        <v>1203</v>
      </c>
      <c r="C15" s="1569" t="s">
        <v>1205</v>
      </c>
      <c r="D15" s="3130"/>
      <c r="E15" s="3131"/>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1206</v>
      </c>
      <c r="B16" s="82"/>
      <c r="C16" s="765"/>
      <c r="D16" s="1571"/>
      <c r="E16" s="82"/>
      <c r="F16" s="82"/>
      <c r="G16" s="83">
        <f>ROUND(SUMPRODUCT(G6:G13,K6:K13)/SUMPRODUCT((G6:G13&gt;0)*(K6:K13)),3)</f>
        <v>0.94899999999999995</v>
      </c>
      <c r="H16" s="84">
        <f>ROUND(SUMPRODUCT(H6:H13,K6:K13)/SUMPRODUCT((H6:H13&gt;0)*(K6:K13)),3)</f>
        <v>0.05</v>
      </c>
      <c r="I16" s="85"/>
      <c r="J16" s="85"/>
      <c r="K16" s="86">
        <f>SUM(K6:K15)</f>
        <v>3532.0600000000004</v>
      </c>
      <c r="L16" s="87">
        <f>ROUND(M16*10000/SUM(K6:K14),0)</f>
        <v>4502</v>
      </c>
      <c r="M16" s="87">
        <f>SUM(M6:M14)</f>
        <v>1590</v>
      </c>
      <c r="N16" s="88">
        <f>ROUND(SUMPRODUCT(M6:M14,N6:N14)/M16,3)</f>
        <v>0.97</v>
      </c>
      <c r="O16" s="87">
        <f>SUM(O6:O14)</f>
        <v>0</v>
      </c>
      <c r="P16" s="87">
        <f>SUM(P6:P14)</f>
        <v>0</v>
      </c>
      <c r="Q16" s="89">
        <f>ROUND(SUMPRODUCT(Q6:Q13,K6:K13)/SUMPRODUCT((Q6:Q13&gt;0)*(K6:K13)),2)</f>
        <v>0.15</v>
      </c>
      <c r="R16" s="95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1207</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1208</v>
      </c>
      <c r="B19" s="97">
        <v>0</v>
      </c>
      <c r="C19" s="2535" t="s">
        <v>2288</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1209</v>
      </c>
      <c r="B20" s="98">
        <v>2</v>
      </c>
      <c r="C20" s="2536" t="s">
        <v>2286</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1210</v>
      </c>
      <c r="B21" s="98">
        <v>2</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1211</v>
      </c>
      <c r="B22" s="99">
        <f>B19+B20</f>
        <v>2</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1212</v>
      </c>
      <c r="B23" s="99">
        <f>B19+B21</f>
        <v>2</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1213</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1214</v>
      </c>
      <c r="B26" s="1577" t="s">
        <v>1215</v>
      </c>
      <c r="C26" s="2429" t="s">
        <v>1216</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1217</v>
      </c>
      <c r="B27" s="3133">
        <v>150</v>
      </c>
      <c r="C27" s="2537" t="s">
        <v>2290</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1218</v>
      </c>
      <c r="B28" s="3134">
        <v>190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1219</v>
      </c>
      <c r="B29" s="3135"/>
      <c r="C29" s="2538" t="s">
        <v>2282</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1220</v>
      </c>
      <c r="B30" s="3136">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1221</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1222</v>
      </c>
      <c r="B32" s="3137">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1223</v>
      </c>
      <c r="B33" s="3138">
        <v>0.05</v>
      </c>
      <c r="C33" s="2536" t="s">
        <v>3407</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1224</v>
      </c>
      <c r="B34" s="77">
        <v>0</v>
      </c>
      <c r="C34" s="2536" t="s">
        <v>3408</v>
      </c>
      <c r="D34" s="2434" t="s">
        <v>2287</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1225</v>
      </c>
      <c r="B35" s="3134">
        <v>200</v>
      </c>
      <c r="C35" s="2536" t="s">
        <v>3409</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1226</v>
      </c>
      <c r="B36" s="3139">
        <v>0.02</v>
      </c>
      <c r="C36" s="2536" t="s">
        <v>3410</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1227</v>
      </c>
      <c r="B37" s="3140">
        <v>0.02</v>
      </c>
      <c r="C37" s="2536" t="s">
        <v>3411</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1228</v>
      </c>
      <c r="B38" s="77">
        <v>0.02</v>
      </c>
      <c r="C38" s="2536" t="s">
        <v>3412</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1229</v>
      </c>
      <c r="B39" s="3141">
        <f ca="1">存贷款利率!I1</f>
        <v>1.4999999999999999E-2</v>
      </c>
      <c r="C39" s="3142"/>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2296</v>
      </c>
      <c r="B40" s="3143">
        <f ca="1">IF(A40="利息：取LPR",存贷款利率!G1,存贷款利率!G1+C40)</f>
        <v>3.1E-2</v>
      </c>
      <c r="C40" s="3144">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1230</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1231</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1232</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1233</v>
      </c>
      <c r="B44" s="106">
        <v>7.0000000000000007E-2</v>
      </c>
      <c r="C44" s="2536" t="s">
        <v>3413</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1234</v>
      </c>
      <c r="B45" s="104">
        <v>0.03</v>
      </c>
      <c r="C45" s="2538" t="s">
        <v>2283</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1235</v>
      </c>
      <c r="B46" s="104">
        <v>0.02</v>
      </c>
      <c r="C46" s="2538" t="s">
        <v>2284</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1236</v>
      </c>
      <c r="B47" s="107">
        <v>0</v>
      </c>
      <c r="C47" s="2540" t="s">
        <v>2291</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1237</v>
      </c>
      <c r="B48" s="108">
        <v>0.03</v>
      </c>
      <c r="C48" s="2538" t="s">
        <v>2283</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1238</v>
      </c>
      <c r="B49" s="104">
        <v>5.0000000000000001E-4</v>
      </c>
      <c r="C49" s="2538" t="s">
        <v>2285</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1239</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1240</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1241</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1242</v>
      </c>
      <c r="B53" s="1588" t="s">
        <v>29</v>
      </c>
      <c r="C53" s="2416" t="s">
        <v>1243</v>
      </c>
      <c r="D53" s="2539" t="s">
        <v>2289</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1244</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1245</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1246</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1247</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1248</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1249</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1250</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1251</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1252</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1253</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40" t="s">
        <v>2274</v>
      </c>
      <c r="B1" s="3241"/>
      <c r="C1" s="3241"/>
      <c r="D1" s="3241"/>
      <c r="E1" s="3241"/>
      <c r="F1" s="3241"/>
      <c r="G1" s="3241"/>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2271</v>
      </c>
      <c r="D2" s="1572"/>
      <c r="E2" s="2237"/>
      <c r="F2" s="2240"/>
      <c r="G2" s="2239" t="s">
        <v>2272</v>
      </c>
      <c r="H2" s="733"/>
      <c r="I2" s="733"/>
      <c r="J2" s="733"/>
      <c r="K2" s="733"/>
      <c r="L2" s="733"/>
      <c r="M2" s="733"/>
      <c r="N2" s="733"/>
      <c r="O2" s="733"/>
      <c r="P2" s="733"/>
      <c r="Q2" s="733"/>
    </row>
    <row r="3" spans="1:29" ht="24">
      <c r="A3" s="2224" t="s">
        <v>2273</v>
      </c>
      <c r="B3" s="2241" t="s">
        <v>2249</v>
      </c>
      <c r="C3" s="2242"/>
      <c r="D3" s="2243"/>
      <c r="E3" s="2225" t="s">
        <v>2273</v>
      </c>
      <c r="F3" s="2244" t="s">
        <v>2250</v>
      </c>
      <c r="G3" s="2245"/>
      <c r="H3" s="733"/>
      <c r="I3" s="733"/>
      <c r="J3" s="733"/>
      <c r="K3" s="733"/>
      <c r="L3" s="733"/>
      <c r="M3" s="733"/>
      <c r="N3" s="733"/>
      <c r="O3" s="733"/>
      <c r="P3" s="733"/>
      <c r="Q3" s="733"/>
    </row>
    <row r="4" spans="1:29">
      <c r="A4" s="2225"/>
      <c r="B4" s="308" t="s">
        <v>2251</v>
      </c>
      <c r="C4" s="2246"/>
      <c r="D4" s="2243"/>
      <c r="E4" s="2247"/>
      <c r="F4" s="1259" t="s">
        <v>2252</v>
      </c>
      <c r="G4" s="2248"/>
      <c r="H4" s="733"/>
      <c r="I4" s="733"/>
      <c r="J4" s="733"/>
      <c r="K4" s="733"/>
      <c r="L4" s="733"/>
      <c r="M4" s="733"/>
      <c r="N4" s="733"/>
      <c r="O4" s="733"/>
      <c r="P4" s="733"/>
      <c r="Q4" s="733"/>
    </row>
    <row r="5" spans="1:29">
      <c r="A5" s="2225"/>
      <c r="B5" s="308" t="s">
        <v>2253</v>
      </c>
      <c r="C5" s="2246"/>
      <c r="D5" s="2243"/>
      <c r="E5" s="2247"/>
      <c r="F5" s="308" t="s">
        <v>2254</v>
      </c>
      <c r="G5" s="2248"/>
      <c r="H5" s="733"/>
      <c r="I5" s="733"/>
      <c r="J5" s="733"/>
      <c r="K5" s="733"/>
      <c r="L5" s="733"/>
      <c r="M5" s="733"/>
      <c r="N5" s="733"/>
      <c r="O5" s="733"/>
      <c r="P5" s="733"/>
      <c r="Q5" s="733"/>
    </row>
    <row r="6" spans="1:29">
      <c r="A6" s="2225"/>
      <c r="B6" s="308" t="s">
        <v>2255</v>
      </c>
      <c r="C6" s="2248"/>
      <c r="D6" s="2243"/>
      <c r="E6" s="2247"/>
      <c r="F6" s="308" t="s">
        <v>2256</v>
      </c>
      <c r="G6" s="2248"/>
      <c r="H6" s="733"/>
      <c r="I6" s="733"/>
      <c r="J6" s="733"/>
      <c r="K6" s="733"/>
      <c r="L6" s="733"/>
      <c r="M6" s="733"/>
      <c r="N6" s="733"/>
      <c r="O6" s="733"/>
      <c r="P6" s="733"/>
      <c r="Q6" s="733"/>
    </row>
    <row r="7" spans="1:29" ht="15" thickBot="1">
      <c r="A7" s="2225"/>
      <c r="B7" s="308" t="s">
        <v>2254</v>
      </c>
      <c r="C7" s="2248"/>
      <c r="D7" s="2222"/>
      <c r="E7" s="2249"/>
      <c r="F7" s="2250" t="s">
        <v>2257</v>
      </c>
      <c r="G7" s="2251"/>
      <c r="H7" s="733"/>
      <c r="I7" s="733"/>
      <c r="J7" s="733"/>
      <c r="K7" s="733"/>
      <c r="L7" s="733"/>
      <c r="M7" s="733"/>
      <c r="N7" s="733"/>
      <c r="O7" s="733"/>
      <c r="P7" s="733"/>
      <c r="Q7" s="733"/>
    </row>
    <row r="8" spans="1:29">
      <c r="A8" s="2225"/>
      <c r="B8" s="308" t="s">
        <v>2256</v>
      </c>
      <c r="C8" s="2248"/>
      <c r="D8" s="2222"/>
      <c r="E8" s="2222"/>
      <c r="F8" s="115"/>
      <c r="G8" s="115"/>
      <c r="H8" s="733"/>
      <c r="I8" s="733"/>
      <c r="J8" s="733"/>
      <c r="K8" s="733"/>
      <c r="L8" s="733"/>
      <c r="M8" s="733"/>
      <c r="N8" s="733"/>
      <c r="O8" s="733"/>
      <c r="P8" s="733"/>
      <c r="Q8" s="733"/>
    </row>
    <row r="9" spans="1:29">
      <c r="A9" s="2225"/>
      <c r="B9" s="308" t="s">
        <v>2258</v>
      </c>
      <c r="C9" s="2246"/>
      <c r="D9" s="2243"/>
      <c r="E9" s="2222"/>
      <c r="F9" s="115"/>
      <c r="G9" s="115"/>
      <c r="H9" s="733"/>
      <c r="I9" s="733"/>
      <c r="J9" s="733"/>
      <c r="K9" s="733"/>
      <c r="L9" s="733"/>
      <c r="M9" s="733"/>
      <c r="N9" s="733"/>
      <c r="O9" s="733"/>
      <c r="P9" s="733"/>
      <c r="Q9" s="733"/>
    </row>
    <row r="10" spans="1:29" ht="15" thickBot="1">
      <c r="A10" s="2226"/>
      <c r="B10" s="2252" t="s">
        <v>2259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2275</v>
      </c>
      <c r="B13" s="2257"/>
      <c r="C13" s="2257"/>
      <c r="D13" s="2256"/>
      <c r="E13" s="2257"/>
      <c r="F13" s="2257"/>
      <c r="G13" s="2257"/>
    </row>
    <row r="14" spans="1:29" ht="15" thickBot="1">
      <c r="A14" s="2262"/>
      <c r="B14" s="2262"/>
      <c r="C14" s="2263" t="s">
        <v>2260</v>
      </c>
      <c r="D14" s="2243"/>
      <c r="E14" s="2264"/>
      <c r="F14" s="2264"/>
      <c r="G14" s="2239" t="s">
        <v>2261</v>
      </c>
    </row>
    <row r="15" spans="1:29" ht="24">
      <c r="A15" s="2227" t="s">
        <v>2262</v>
      </c>
      <c r="B15" s="2265" t="s">
        <v>2249</v>
      </c>
      <c r="C15" s="2266">
        <f>C3</f>
        <v>0</v>
      </c>
      <c r="D15" s="2243"/>
      <c r="E15" s="2228" t="s">
        <v>2263</v>
      </c>
      <c r="F15" s="2265" t="s">
        <v>2264</v>
      </c>
      <c r="G15" s="2267">
        <f>G3</f>
        <v>0</v>
      </c>
    </row>
    <row r="16" spans="1:29">
      <c r="A16" s="2229"/>
      <c r="B16" s="2268" t="s">
        <v>2251</v>
      </c>
      <c r="C16" s="2269">
        <f>C4</f>
        <v>0</v>
      </c>
      <c r="D16" s="2243"/>
      <c r="E16" s="2230"/>
      <c r="F16" s="2270" t="s">
        <v>2252</v>
      </c>
      <c r="G16" s="2271">
        <f>G4</f>
        <v>0</v>
      </c>
    </row>
    <row r="17" spans="1:17">
      <c r="A17" s="2229"/>
      <c r="B17" s="2268" t="s">
        <v>2253</v>
      </c>
      <c r="C17" s="2269">
        <f>C5</f>
        <v>0</v>
      </c>
      <c r="D17" s="2222"/>
      <c r="E17" s="2230"/>
      <c r="F17" s="2270" t="s">
        <v>2265</v>
      </c>
      <c r="G17" s="2272"/>
    </row>
    <row r="18" spans="1:17">
      <c r="A18" s="2229"/>
      <c r="B18" s="2270" t="s">
        <v>2255</v>
      </c>
      <c r="C18" s="2271">
        <f>C6</f>
        <v>0</v>
      </c>
      <c r="D18" s="2222"/>
      <c r="E18" s="2230"/>
      <c r="F18" s="2270" t="s">
        <v>2257</v>
      </c>
      <c r="G18" s="2271">
        <f>G7</f>
        <v>0</v>
      </c>
    </row>
    <row r="19" spans="1:17">
      <c r="A19" s="2229"/>
      <c r="B19" s="2270" t="s">
        <v>2266</v>
      </c>
      <c r="C19" s="2272"/>
      <c r="D19" s="2243"/>
      <c r="E19" s="2230"/>
      <c r="F19" s="308" t="s">
        <v>2254</v>
      </c>
      <c r="G19" s="2271">
        <f>G5</f>
        <v>0</v>
      </c>
    </row>
    <row r="20" spans="1:17">
      <c r="A20" s="2229"/>
      <c r="B20" s="2270" t="s">
        <v>2267</v>
      </c>
      <c r="C20" s="2269">
        <f>C9</f>
        <v>0</v>
      </c>
      <c r="D20" s="2222"/>
      <c r="E20" s="2230"/>
      <c r="F20" s="308" t="s">
        <v>2256</v>
      </c>
      <c r="G20" s="2271">
        <f>G6</f>
        <v>0</v>
      </c>
    </row>
    <row r="21" spans="1:17">
      <c r="A21" s="2229"/>
      <c r="B21" s="308" t="s">
        <v>2254</v>
      </c>
      <c r="C21" s="2271">
        <f>C7</f>
        <v>0</v>
      </c>
      <c r="D21" s="2243"/>
      <c r="E21" s="2230"/>
      <c r="F21" s="2270" t="s">
        <v>2268</v>
      </c>
      <c r="G21" s="2273"/>
    </row>
    <row r="22" spans="1:17" ht="13.5" customHeight="1">
      <c r="A22" s="2229"/>
      <c r="B22" s="308" t="s">
        <v>2256</v>
      </c>
      <c r="C22" s="2271">
        <f>C8</f>
        <v>0</v>
      </c>
      <c r="D22" s="2243"/>
      <c r="E22" s="2230"/>
      <c r="F22" s="2270" t="s">
        <v>2259</v>
      </c>
      <c r="G22" s="2272"/>
    </row>
    <row r="23" spans="1:17" s="733" customFormat="1" ht="15" thickBot="1">
      <c r="A23" s="2229"/>
      <c r="B23" s="2270" t="s">
        <v>2268</v>
      </c>
      <c r="C23" s="2273"/>
      <c r="D23" s="1591"/>
      <c r="E23" s="2231"/>
      <c r="F23" s="2274" t="s">
        <v>2269</v>
      </c>
      <c r="G23" s="2275"/>
      <c r="H23" s="2254"/>
      <c r="I23" s="2254"/>
      <c r="J23" s="2254"/>
      <c r="K23" s="2254"/>
      <c r="L23" s="2254"/>
      <c r="M23" s="2254"/>
      <c r="N23" s="2254"/>
      <c r="O23" s="2254"/>
      <c r="P23" s="2254"/>
      <c r="Q23" s="2254"/>
    </row>
    <row r="24" spans="1:17" s="733" customFormat="1" ht="15" thickBot="1">
      <c r="A24" s="2232"/>
      <c r="B24" s="2274" t="s">
        <v>2270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3" sqref="F13"/>
    </sheetView>
  </sheetViews>
  <sheetFormatPr defaultColWidth="9" defaultRowHeight="13.5"/>
  <cols>
    <col min="1" max="1" width="25" style="2278" customWidth="1"/>
    <col min="2" max="9" width="15.75" style="2278" customWidth="1"/>
    <col min="10" max="16384" width="9" style="2278"/>
  </cols>
  <sheetData>
    <row r="1" spans="1:11" ht="16.5">
      <c r="A1" s="2277" t="s">
        <v>662</v>
      </c>
      <c r="B1" s="2277">
        <f>SUM(B14:B23)</f>
        <v>3532.0600000000004</v>
      </c>
      <c r="C1" s="2436"/>
      <c r="D1" s="2436"/>
      <c r="E1" s="2436"/>
      <c r="F1" s="2436"/>
      <c r="G1" s="2437"/>
      <c r="H1" s="2437"/>
      <c r="I1" s="2437"/>
      <c r="J1" s="2437"/>
      <c r="K1" s="2437"/>
    </row>
    <row r="2" spans="1:11" ht="16.5">
      <c r="A2" s="2277" t="s">
        <v>650</v>
      </c>
      <c r="B2" s="2277">
        <f>SUM(C14:C23)</f>
        <v>0</v>
      </c>
      <c r="C2" s="2436"/>
      <c r="D2" s="2436"/>
      <c r="E2" s="2436"/>
      <c r="F2" s="2436"/>
      <c r="G2" s="2437"/>
      <c r="H2" s="2437"/>
      <c r="I2" s="2437"/>
      <c r="J2" s="2437"/>
      <c r="K2" s="2437"/>
    </row>
    <row r="3" spans="1:11" ht="16.5">
      <c r="A3" s="2277" t="s">
        <v>659</v>
      </c>
      <c r="B3" s="2279">
        <f>项目基本情况!D3</f>
        <v>45727</v>
      </c>
      <c r="C3" s="2436"/>
      <c r="D3" s="2436"/>
      <c r="E3" s="2436"/>
      <c r="F3" s="2436"/>
      <c r="G3" s="2437"/>
      <c r="H3" s="2437"/>
      <c r="I3" s="2437"/>
      <c r="J3" s="2437"/>
      <c r="K3" s="2437"/>
    </row>
    <row r="4" spans="1:11" ht="33">
      <c r="A4" s="2277" t="s">
        <v>658</v>
      </c>
      <c r="B4" s="2277" t="s">
        <v>657</v>
      </c>
      <c r="C4" s="2277" t="s">
        <v>656</v>
      </c>
      <c r="D4" s="2277" t="s">
        <v>655</v>
      </c>
      <c r="E4" s="2436"/>
      <c r="F4" s="2437"/>
      <c r="G4" s="2437"/>
      <c r="H4" s="2437"/>
      <c r="I4" s="2437"/>
      <c r="J4" s="2437"/>
      <c r="K4" s="2437"/>
    </row>
    <row r="5" spans="1:11" ht="16.5">
      <c r="A5" s="2277" t="s">
        <v>654</v>
      </c>
      <c r="B5" s="2277">
        <f ca="1">SUM(D14:D23)</f>
        <v>6099</v>
      </c>
      <c r="C5" s="2277">
        <f ca="1">IF(B5=D14,'结果表-商业'!H102,ROUND(B5*10000/$B$1,0))</f>
        <v>17268</v>
      </c>
      <c r="D5" s="2277" t="e">
        <f ca="1">ROUND(B5*10000/$B$2,0)</f>
        <v>#DIV/0!</v>
      </c>
      <c r="E5" s="2436"/>
      <c r="F5" s="2437"/>
      <c r="G5" s="2437"/>
      <c r="H5" s="2437"/>
      <c r="I5" s="2437"/>
      <c r="J5" s="2437"/>
      <c r="K5" s="2437"/>
    </row>
    <row r="6" spans="1:11" ht="16.5">
      <c r="A6" s="2277" t="s">
        <v>653</v>
      </c>
      <c r="B6" s="2277">
        <f>SUM(G14:G23)</f>
        <v>0</v>
      </c>
      <c r="C6" s="2277" t="e">
        <f ca="1">IF(B6=G14,'结果表-商业'!H108,ROUND(B6*10000/$B$1,0))</f>
        <v>#REF!</v>
      </c>
      <c r="D6" s="2277" t="e">
        <f>ROUND(B6*10000/$B$2,0)</f>
        <v>#DIV/0!</v>
      </c>
      <c r="E6" s="2436"/>
      <c r="F6" s="2437"/>
      <c r="G6" s="2437"/>
      <c r="H6" s="2437"/>
      <c r="I6" s="2437"/>
      <c r="J6" s="2437"/>
      <c r="K6" s="2437"/>
    </row>
    <row r="7" spans="1:11" ht="16.5">
      <c r="A7" s="2277" t="s">
        <v>661</v>
      </c>
      <c r="B7" s="2277">
        <f>SUM(H14:H23)</f>
        <v>0</v>
      </c>
      <c r="C7" s="2277" t="str">
        <f>IF(B7=H14,'结果表-商业'!H110,ROUND(B7*10000/$B$1,0))</f>
        <v>——</v>
      </c>
      <c r="D7" s="2277" t="e">
        <f>ROUND(B7*10000/$B$2,0)</f>
        <v>#DIV/0!</v>
      </c>
      <c r="E7" s="2436"/>
      <c r="F7" s="2437"/>
      <c r="G7" s="2437"/>
      <c r="H7" s="2437"/>
      <c r="I7" s="2437"/>
      <c r="J7" s="2437"/>
      <c r="K7" s="2437"/>
    </row>
    <row r="8" spans="1:11" ht="16.5">
      <c r="A8" s="2277" t="s">
        <v>587</v>
      </c>
      <c r="B8" s="2277">
        <f>SUM(I14:I23)</f>
        <v>0</v>
      </c>
      <c r="C8" s="2277" t="str">
        <f>IF(B8=I14,'结果表-商业'!H112,ROUND(B8*10000/$B$1,0))</f>
        <v>——</v>
      </c>
      <c r="D8" s="2277" t="e">
        <f>ROUND(B8*10000/$B$2,0)</f>
        <v>#DIV/0!</v>
      </c>
      <c r="E8" s="2436"/>
      <c r="F8" s="2437"/>
      <c r="G8" s="2437"/>
      <c r="H8" s="2437"/>
      <c r="I8" s="2437"/>
      <c r="J8" s="2437"/>
      <c r="K8" s="2437"/>
    </row>
    <row r="9" spans="1:11" ht="16.5">
      <c r="A9" s="2277" t="s">
        <v>652</v>
      </c>
      <c r="B9" s="1222"/>
      <c r="C9" s="2436"/>
      <c r="D9" s="2436"/>
      <c r="E9" s="2436"/>
      <c r="F9" s="2437"/>
      <c r="G9" s="2437"/>
      <c r="H9" s="2437"/>
      <c r="I9" s="2437"/>
      <c r="J9" s="2437"/>
      <c r="K9" s="2437"/>
    </row>
    <row r="10" spans="1:11" ht="16.5">
      <c r="A10" s="2277" t="s">
        <v>651</v>
      </c>
      <c r="B10" s="2277">
        <f>IF(E10="",0,ROUND(B1*(E10*365/G10)/10000,0))</f>
        <v>0</v>
      </c>
      <c r="C10" s="2277" t="s">
        <v>3341</v>
      </c>
      <c r="D10" s="2277" t="s">
        <v>3342</v>
      </c>
      <c r="E10" s="3108"/>
      <c r="F10" s="3112" t="s">
        <v>3343</v>
      </c>
      <c r="G10" s="3109"/>
      <c r="H10" s="2437"/>
      <c r="I10" s="2437"/>
      <c r="J10" s="2437"/>
      <c r="K10" s="2437"/>
    </row>
    <row r="11" spans="1:11" ht="16.5">
      <c r="A11" s="2277" t="s">
        <v>667</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666</v>
      </c>
      <c r="B13" s="2281" t="s">
        <v>663</v>
      </c>
      <c r="C13" s="2281" t="s">
        <v>665</v>
      </c>
      <c r="D13" s="2281" t="s">
        <v>664</v>
      </c>
      <c r="E13" s="2277" t="s">
        <v>656</v>
      </c>
      <c r="F13" s="2277" t="s">
        <v>655</v>
      </c>
      <c r="G13" s="2281" t="s">
        <v>649</v>
      </c>
      <c r="H13" s="2281" t="s">
        <v>660</v>
      </c>
      <c r="I13" s="2281" t="s">
        <v>648</v>
      </c>
      <c r="J13" s="2437"/>
      <c r="K13" s="2437"/>
    </row>
    <row r="14" spans="1:11" ht="16.5">
      <c r="A14" s="2283" t="s">
        <v>3481</v>
      </c>
      <c r="B14" s="2283">
        <f>'数据-基础表'!I13</f>
        <v>562.78</v>
      </c>
      <c r="C14" s="2283"/>
      <c r="D14" s="2283">
        <f ca="1">'结果表-商业'!G19</f>
        <v>1690</v>
      </c>
      <c r="E14" s="2283">
        <f ca="1">ROUND(D14*10000/B14,0)</f>
        <v>30029</v>
      </c>
      <c r="F14" s="2283" t="e">
        <f ca="1">ROUND(D14*10000/C14,0)</f>
        <v>#DIV/0!</v>
      </c>
      <c r="G14" s="2283"/>
      <c r="H14" s="2283"/>
      <c r="I14" s="2283"/>
      <c r="J14" s="2437"/>
      <c r="K14" s="2437"/>
    </row>
    <row r="15" spans="1:11" ht="16.5">
      <c r="A15" s="2283" t="s">
        <v>2798</v>
      </c>
      <c r="B15" s="2283">
        <f>'数据-汇总表'!F20</f>
        <v>2519.2800000000002</v>
      </c>
      <c r="C15" s="2283"/>
      <c r="D15" s="2283">
        <f ca="1">'结果表-办公'!G19</f>
        <v>4351</v>
      </c>
      <c r="E15" s="2283">
        <f t="shared" ref="E15:E23" ca="1" si="0">ROUND(D15*10000/B15,0)</f>
        <v>17271</v>
      </c>
      <c r="F15" s="2283" t="e">
        <f t="shared" ref="F15:F23" ca="1" si="1">ROUND(D15*10000/C15,0)</f>
        <v>#DIV/0!</v>
      </c>
      <c r="G15" s="2283"/>
      <c r="H15" s="2283"/>
      <c r="I15" s="2283"/>
      <c r="J15" s="2437"/>
      <c r="K15" s="2437"/>
    </row>
    <row r="16" spans="1:11" ht="16.5">
      <c r="A16" s="2283" t="s">
        <v>3482</v>
      </c>
      <c r="B16" s="2283">
        <f>'数据-基础表'!M15</f>
        <v>450</v>
      </c>
      <c r="C16" s="2283"/>
      <c r="D16" s="2283">
        <f ca="1">'结果表-车位'!G19</f>
        <v>58</v>
      </c>
      <c r="E16" s="2283">
        <f t="shared" ca="1" si="0"/>
        <v>1289</v>
      </c>
      <c r="F16" s="2283" t="e">
        <f t="shared" ca="1" si="1"/>
        <v>#DIV/0!</v>
      </c>
      <c r="G16" s="2283"/>
      <c r="H16" s="2283"/>
      <c r="I16" s="2283"/>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t="s">
        <v>670</v>
      </c>
      <c r="D1" s="636"/>
      <c r="E1" s="636"/>
      <c r="F1" s="1598" t="s">
        <v>1260</v>
      </c>
      <c r="G1" s="1431" t="s">
        <v>3431</v>
      </c>
      <c r="H1" s="1598" t="str">
        <f>IF(G1="现房","——","估价对象范围")</f>
        <v>——</v>
      </c>
      <c r="I1" s="1599" t="s">
        <v>3432</v>
      </c>
    </row>
    <row r="2" spans="1:12" ht="21.75" customHeight="1" thickBot="1">
      <c r="A2" s="3276" t="str">
        <f>项目基本情况!S2</f>
        <v>房地产</v>
      </c>
      <c r="B2" s="3277"/>
      <c r="C2" s="3277"/>
      <c r="D2" s="3277"/>
      <c r="E2" s="3277"/>
      <c r="F2" s="3277"/>
      <c r="G2" s="3277"/>
      <c r="H2" s="3277"/>
      <c r="I2" s="3278"/>
    </row>
    <row r="3" spans="1:12" ht="12.75">
      <c r="A3" s="3280" t="s">
        <v>1261</v>
      </c>
      <c r="B3" s="3281"/>
      <c r="C3" s="3281"/>
      <c r="D3" s="3281"/>
      <c r="E3" s="3281"/>
      <c r="F3" s="3281"/>
      <c r="G3" s="3281"/>
      <c r="H3" s="3281"/>
      <c r="I3" s="3281"/>
    </row>
    <row r="4" spans="1:12" ht="14.25">
      <c r="A4" s="1601" t="s">
        <v>1262</v>
      </c>
      <c r="B4" s="1602" t="s">
        <v>1263</v>
      </c>
      <c r="C4" s="1603" t="s">
        <v>3480</v>
      </c>
      <c r="D4" s="1603" t="s">
        <v>3416</v>
      </c>
      <c r="E4" s="3282" t="s">
        <v>1264</v>
      </c>
      <c r="F4" s="3283"/>
      <c r="G4" s="3283"/>
      <c r="H4" s="3283"/>
      <c r="I4" s="3284"/>
      <c r="K4" s="132" t="str">
        <f>IF(ISNUMBER(FIND("比较法",'结果表-商业'!C4)),"比较法",IF(ISNUMBER(FIND("成本法",'结果表-商业'!C4)),"成本法",IF(ISNUMBER(FIND("假设开发法",'结果表-商业'!C4)),"假设开发法",IF(ISNUMBER(FIND("收益法",'结果表-商业'!C4)),"收益法","基准地价系数修正法"))))</f>
        <v>比较法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6" t="s">
        <v>1265</v>
      </c>
      <c r="B5" s="3243">
        <v>25</v>
      </c>
      <c r="C5" s="3259"/>
      <c r="D5" s="3279"/>
      <c r="E5" s="117" t="s">
        <v>1266</v>
      </c>
      <c r="F5" s="1604"/>
      <c r="G5" s="1604"/>
      <c r="H5" s="1604"/>
      <c r="I5" s="1259"/>
    </row>
    <row r="6" spans="1:12" ht="12.75">
      <c r="A6" s="3256"/>
      <c r="B6" s="3243"/>
      <c r="C6" s="3260"/>
      <c r="D6" s="3279"/>
      <c r="E6" s="117" t="s">
        <v>1267</v>
      </c>
      <c r="F6" s="1604"/>
      <c r="G6" s="1604"/>
      <c r="H6" s="1604"/>
      <c r="I6" s="1259"/>
    </row>
    <row r="7" spans="1:12" ht="12.75">
      <c r="A7" s="3256"/>
      <c r="B7" s="3243"/>
      <c r="C7" s="3261"/>
      <c r="D7" s="3279"/>
      <c r="E7" s="117" t="s">
        <v>1268</v>
      </c>
      <c r="F7" s="1604"/>
      <c r="G7" s="1604"/>
      <c r="H7" s="1604"/>
      <c r="I7" s="1259"/>
    </row>
    <row r="8" spans="1:12" ht="12.75">
      <c r="A8" s="3256" t="s">
        <v>1269</v>
      </c>
      <c r="B8" s="3243">
        <v>15</v>
      </c>
      <c r="C8" s="3259"/>
      <c r="D8" s="3279"/>
      <c r="E8" s="117" t="s">
        <v>1270</v>
      </c>
      <c r="F8" s="1604"/>
      <c r="G8" s="1604"/>
      <c r="H8" s="1604"/>
      <c r="I8" s="1259"/>
    </row>
    <row r="9" spans="1:12" ht="12.75">
      <c r="A9" s="3256"/>
      <c r="B9" s="3243"/>
      <c r="C9" s="3261"/>
      <c r="D9" s="3279"/>
      <c r="E9" s="117" t="s">
        <v>1271</v>
      </c>
      <c r="F9" s="1604"/>
      <c r="G9" s="1604"/>
      <c r="H9" s="1604"/>
      <c r="I9" s="1259"/>
    </row>
    <row r="10" spans="1:12" ht="12.75">
      <c r="A10" s="3256" t="s">
        <v>1272</v>
      </c>
      <c r="B10" s="3243">
        <v>15</v>
      </c>
      <c r="C10" s="3259"/>
      <c r="D10" s="3279"/>
      <c r="E10" s="117" t="s">
        <v>1273</v>
      </c>
      <c r="F10" s="1604"/>
      <c r="G10" s="1604"/>
      <c r="H10" s="1604"/>
      <c r="I10" s="1259"/>
    </row>
    <row r="11" spans="1:12" ht="12.75">
      <c r="A11" s="3256"/>
      <c r="B11" s="3243"/>
      <c r="C11" s="3261"/>
      <c r="D11" s="3279"/>
      <c r="E11" s="117" t="s">
        <v>1274</v>
      </c>
      <c r="F11" s="1604"/>
      <c r="G11" s="1604"/>
      <c r="H11" s="1604"/>
      <c r="I11" s="1259"/>
    </row>
    <row r="12" spans="1:12" ht="12.75">
      <c r="A12" s="3256" t="s">
        <v>1275</v>
      </c>
      <c r="B12" s="3243">
        <v>15</v>
      </c>
      <c r="C12" s="3259"/>
      <c r="D12" s="3279"/>
      <c r="E12" s="117" t="s">
        <v>1276</v>
      </c>
      <c r="F12" s="1604"/>
      <c r="G12" s="1604"/>
      <c r="H12" s="1604"/>
      <c r="I12" s="1259"/>
    </row>
    <row r="13" spans="1:12" ht="12.75">
      <c r="A13" s="3256"/>
      <c r="B13" s="3243"/>
      <c r="C13" s="3261"/>
      <c r="D13" s="3279"/>
      <c r="E13" s="117" t="s">
        <v>1277</v>
      </c>
      <c r="F13" s="1604"/>
      <c r="G13" s="1604"/>
      <c r="H13" s="1604"/>
      <c r="I13" s="1259"/>
    </row>
    <row r="14" spans="1:12" ht="12.75">
      <c r="A14" s="3256" t="s">
        <v>1278</v>
      </c>
      <c r="B14" s="3243">
        <v>30</v>
      </c>
      <c r="C14" s="3259">
        <v>6</v>
      </c>
      <c r="D14" s="3279">
        <v>4</v>
      </c>
      <c r="E14" s="117" t="s">
        <v>1279</v>
      </c>
      <c r="F14" s="1604"/>
      <c r="G14" s="1604"/>
      <c r="H14" s="1604"/>
      <c r="I14" s="1259"/>
    </row>
    <row r="15" spans="1:12" ht="12.75">
      <c r="A15" s="3256"/>
      <c r="B15" s="3243"/>
      <c r="C15" s="3260"/>
      <c r="D15" s="3279"/>
      <c r="E15" s="117" t="s">
        <v>1280</v>
      </c>
      <c r="F15" s="1604"/>
      <c r="G15" s="1604"/>
      <c r="H15" s="1604"/>
      <c r="I15" s="1259"/>
    </row>
    <row r="16" spans="1:12" ht="12.75">
      <c r="A16" s="3256"/>
      <c r="B16" s="3243"/>
      <c r="C16" s="3261"/>
      <c r="D16" s="3279"/>
      <c r="E16" s="117" t="s">
        <v>1281</v>
      </c>
      <c r="F16" s="1604"/>
      <c r="G16" s="1604"/>
      <c r="H16" s="1604"/>
      <c r="I16" s="1259"/>
    </row>
    <row r="17" spans="1:36" ht="15">
      <c r="A17" s="1605" t="s">
        <v>1282</v>
      </c>
      <c r="B17" s="54"/>
      <c r="C17" s="118">
        <f>SUM(C5:C16)</f>
        <v>6</v>
      </c>
      <c r="D17" s="118">
        <f>SUM(D5:D16)</f>
        <v>4</v>
      </c>
      <c r="E17" s="115"/>
      <c r="F17" s="115"/>
      <c r="G17" s="115"/>
      <c r="H17" s="115"/>
      <c r="I17" s="115"/>
      <c r="K17" s="288"/>
      <c r="L17" s="288" t="s">
        <v>1283</v>
      </c>
      <c r="M17" s="288" t="s">
        <v>1284</v>
      </c>
    </row>
    <row r="18" spans="1:36" ht="31.9" customHeight="1" thickBot="1">
      <c r="A18" s="1606" t="s">
        <v>1285</v>
      </c>
      <c r="B18" s="1520"/>
      <c r="C18" s="119">
        <f>ROUND(C17/SUM(C17:D17),2)</f>
        <v>0.6</v>
      </c>
      <c r="D18" s="119">
        <f>1-C18</f>
        <v>0.4</v>
      </c>
      <c r="E18" s="3266" t="s">
        <v>2128</v>
      </c>
      <c r="F18" s="3267"/>
      <c r="G18" s="3267"/>
      <c r="H18" s="3267"/>
      <c r="I18" s="3267"/>
      <c r="K18" s="288" t="s">
        <v>1286</v>
      </c>
      <c r="L18" s="288">
        <f>IF(C1="",'数据-汇总表'!E3,SUMIF(项目类型,C1,'数据-汇总表'!E17:E26)+SUMIF(项目类型,C1,'数据-汇总表'!I17:I26))</f>
        <v>562.78</v>
      </c>
      <c r="M18" s="288">
        <f>IF(C1="",'数据-汇总表'!E3,SUMIF(项目类型,C1,'数据-汇总表'!E17:E26))</f>
        <v>562.78</v>
      </c>
    </row>
    <row r="19" spans="1:36" ht="15">
      <c r="A19" s="1607" t="s">
        <v>1287</v>
      </c>
      <c r="B19" s="1608" t="s">
        <v>1288</v>
      </c>
      <c r="C19" s="120">
        <f ca="1">SUMIF(INDIRECT("'"&amp;C4&amp;"'"&amp;"!A:A"),'结果表-商业'!B19,INDIRECT("'"&amp;C4&amp;"'"&amp;"!B:B"))</f>
        <v>2053.4153999999999</v>
      </c>
      <c r="D19" s="121">
        <f ca="1">SUMIF(INDIRECT("'"&amp;D4&amp;"'"&amp;"!A:A"),'结果表-商业'!B19,INDIRECT("'"&amp;D4&amp;"'"&amp;"!B:B"))</f>
        <v>1143.9078999999999</v>
      </c>
      <c r="E19" s="1607" t="s">
        <v>1289</v>
      </c>
      <c r="F19" s="1608" t="s">
        <v>1288</v>
      </c>
      <c r="G19" s="122">
        <f ca="1">ROUND(C19*$C$18+D19*$D$18,0)</f>
        <v>1690</v>
      </c>
      <c r="H19" s="1609" t="s">
        <v>1290</v>
      </c>
      <c r="I19" s="115"/>
      <c r="K19" s="288" t="s">
        <v>1291</v>
      </c>
      <c r="L19" s="288">
        <f>IF(C1="",'数据-汇总表'!D3,SUMIF(项目类型,C1,'数据-汇总表'!D17:D26)+SUMIF(项目类型,C1,'数据-汇总表'!H17:H27))</f>
        <v>0</v>
      </c>
      <c r="M19" s="288">
        <f>IF(C1="",'数据-汇总表'!D3,SUMIF(项目类型,C1,'数据-汇总表'!D17:D26))</f>
        <v>0</v>
      </c>
    </row>
    <row r="20" spans="1:36" ht="15">
      <c r="A20" s="1610"/>
      <c r="B20" s="43" t="s">
        <v>1292</v>
      </c>
      <c r="C20" s="123">
        <f ca="1">SUMIF(INDIRECT("'"&amp;C4&amp;"'"&amp;"!A:A"),'结果表-商业'!B20,INDIRECT("'"&amp;C4&amp;"'"&amp;"!B:B"))</f>
        <v>36487</v>
      </c>
      <c r="D20" s="124">
        <f ca="1">SUMIF(INDIRECT("'"&amp;D4&amp;"'"&amp;"!A:A"),'结果表-商业'!B20,INDIRECT("'"&amp;D4&amp;"'"&amp;"!B:B"))</f>
        <v>20326</v>
      </c>
      <c r="E20" s="1610"/>
      <c r="F20" s="43" t="s">
        <v>1292</v>
      </c>
      <c r="G20" s="125">
        <f ca="1">ROUND(C20*$C$18+D20*$D$18,0)</f>
        <v>30023</v>
      </c>
      <c r="H20" s="742" t="s">
        <v>1293</v>
      </c>
      <c r="I20" s="115"/>
    </row>
    <row r="21" spans="1:36" ht="15" customHeight="1" thickBot="1">
      <c r="A21" s="442"/>
      <c r="B21" s="93" t="s">
        <v>1294</v>
      </c>
      <c r="C21" s="668" t="e">
        <f ca="1">ROUND(C19*10000/L19,0)</f>
        <v>#DIV/0!</v>
      </c>
      <c r="D21" s="669" t="e">
        <f ca="1">ROUND(D19*10000/L19,0)</f>
        <v>#DIV/0!</v>
      </c>
      <c r="E21" s="442"/>
      <c r="F21" s="93" t="s">
        <v>1294</v>
      </c>
      <c r="G21" s="126" t="e">
        <f ca="1">ROUND(G19*10000/L19,0)</f>
        <v>#DIV/0!</v>
      </c>
      <c r="H21" s="1611" t="s">
        <v>1293</v>
      </c>
      <c r="I21" s="115"/>
    </row>
    <row r="22" spans="1:36" ht="15" thickBot="1">
      <c r="A22" s="1542" t="s">
        <v>1295</v>
      </c>
      <c r="B22" s="1612"/>
      <c r="C22" s="1613"/>
      <c r="D22" s="670">
        <f ca="1">IF(C19&lt;D19,D19/C19-1,C19/D19-1)</f>
        <v>0.79508804860950777</v>
      </c>
      <c r="E22" s="115"/>
      <c r="F22" s="115"/>
      <c r="G22" s="115"/>
      <c r="H22" s="115"/>
      <c r="I22" s="115"/>
    </row>
    <row r="23" spans="1:36" ht="13.5" thickBot="1">
      <c r="A23" s="636"/>
      <c r="B23" s="636"/>
      <c r="C23" s="636"/>
      <c r="D23" s="636"/>
      <c r="E23" s="115"/>
      <c r="F23" s="115"/>
      <c r="G23" s="115"/>
      <c r="H23" s="115"/>
      <c r="I23" s="115"/>
    </row>
    <row r="24" spans="1:36" ht="14.25">
      <c r="A24" s="3250" t="s">
        <v>1296</v>
      </c>
      <c r="B24" s="1608" t="s">
        <v>1288</v>
      </c>
      <c r="C24" s="122">
        <f>IF(B30=0,0,D30)</f>
        <v>0</v>
      </c>
      <c r="D24" s="1614"/>
      <c r="E24" s="115"/>
      <c r="F24" s="115"/>
      <c r="G24" s="115"/>
      <c r="H24" s="115"/>
      <c r="I24" s="115"/>
    </row>
    <row r="25" spans="1:36" ht="14.25">
      <c r="A25" s="3251"/>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2129</v>
      </c>
      <c r="F30" s="115"/>
      <c r="G30" s="115"/>
      <c r="H30" s="115"/>
      <c r="I30" s="115"/>
    </row>
    <row r="31" spans="1:36" s="2110" customFormat="1" ht="26.45" customHeight="1" thickTop="1" thickBot="1">
      <c r="A31" s="2105"/>
      <c r="B31" s="2106"/>
      <c r="C31" s="2106"/>
      <c r="D31" s="2106"/>
      <c r="E31" s="2106"/>
      <c r="F31" s="2106"/>
      <c r="G31" s="2106"/>
      <c r="H31" s="2106"/>
      <c r="I31" s="2107" t="s">
        <v>2130</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30023</v>
      </c>
      <c r="D32" s="1618"/>
      <c r="E32" s="115"/>
      <c r="F32" s="115"/>
      <c r="G32" s="115"/>
      <c r="H32" s="115"/>
      <c r="I32" s="115"/>
    </row>
    <row r="33" spans="1:15" ht="15">
      <c r="A33" s="722" t="s">
        <v>1303</v>
      </c>
      <c r="B33" s="117"/>
      <c r="C33" s="1619"/>
      <c r="D33" s="1620"/>
      <c r="E33" s="1621" t="s">
        <v>1304</v>
      </c>
      <c r="F33" s="1622" t="str">
        <f>IF(D32="楼面单价","取值（单价）","取值（总价）")</f>
        <v>取值（总价）</v>
      </c>
      <c r="G33" s="115"/>
      <c r="H33" s="115"/>
      <c r="I33" s="115"/>
    </row>
    <row r="34" spans="1:15" ht="15">
      <c r="A34" s="1623"/>
      <c r="B34" s="1624"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5" t="s">
        <v>1306</v>
      </c>
      <c r="F34" s="1221"/>
      <c r="G34" s="115"/>
      <c r="H34" s="115"/>
      <c r="I34" s="115"/>
    </row>
    <row r="35" spans="1:15" ht="15.75" thickBot="1">
      <c r="A35" s="1626"/>
      <c r="B35" s="1627"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8" t="s">
        <v>1308</v>
      </c>
      <c r="F35" s="140"/>
      <c r="G35" s="115"/>
      <c r="H35" s="115"/>
      <c r="I35" s="115"/>
    </row>
    <row r="36" spans="1:15" ht="15.75" thickBot="1">
      <c r="A36" s="3270" t="s">
        <v>1309</v>
      </c>
      <c r="B36" s="1629" t="s">
        <v>1310</v>
      </c>
      <c r="C36" s="131"/>
      <c r="D36" s="1630"/>
      <c r="E36" s="1545"/>
      <c r="F36" s="1631"/>
      <c r="G36" s="115"/>
      <c r="H36" s="115"/>
      <c r="I36" s="115"/>
    </row>
    <row r="37" spans="1:15" ht="15.75" thickBot="1">
      <c r="A37" s="3271"/>
      <c r="B37" s="1533" t="s">
        <v>1311</v>
      </c>
      <c r="C37" s="133"/>
      <c r="D37" s="1049"/>
      <c r="E37" s="1049"/>
      <c r="F37" s="1631"/>
      <c r="G37" s="115"/>
      <c r="H37" s="115"/>
      <c r="I37" s="115"/>
    </row>
    <row r="38" spans="1:15" ht="15.75" thickBot="1">
      <c r="A38" s="3272"/>
      <c r="B38" s="1632" t="s">
        <v>1312</v>
      </c>
      <c r="C38" s="631"/>
      <c r="D38" s="1633" t="s">
        <v>1313</v>
      </c>
      <c r="E38" s="1049"/>
      <c r="F38" s="1631"/>
      <c r="G38" s="115"/>
      <c r="H38" s="115"/>
      <c r="I38" s="115"/>
    </row>
    <row r="39" spans="1:15" ht="15">
      <c r="A39" s="1610" t="s">
        <v>1314</v>
      </c>
      <c r="B39" s="1634" t="s">
        <v>1315</v>
      </c>
      <c r="C39" s="1635" t="s">
        <v>1316</v>
      </c>
      <c r="D39" s="1635" t="s">
        <v>1317</v>
      </c>
      <c r="E39" s="1636" t="s">
        <v>1318</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247" t="s">
        <v>1323</v>
      </c>
      <c r="B45" s="3248"/>
      <c r="C45" s="3249"/>
      <c r="D45" s="141" t="e">
        <f ca="1">ROUND(H101*F45,0)</f>
        <v>#REF!</v>
      </c>
      <c r="E45" s="142" t="s">
        <v>1324</v>
      </c>
      <c r="F45" s="143">
        <v>1</v>
      </c>
      <c r="G45" s="144" t="s">
        <v>1325</v>
      </c>
      <c r="H45" s="115"/>
      <c r="I45" s="115"/>
      <c r="J45" s="3325" t="s">
        <v>1326</v>
      </c>
      <c r="K45" s="3325"/>
      <c r="L45" s="3325"/>
      <c r="M45" s="3325"/>
      <c r="N45" s="3325"/>
      <c r="O45" s="3325"/>
    </row>
    <row r="46" spans="1:15" ht="14.25" customHeight="1">
      <c r="A46" s="3244" t="s">
        <v>1327</v>
      </c>
      <c r="B46" s="3245"/>
      <c r="C46" s="3245"/>
      <c r="D46" s="3245"/>
      <c r="E46" s="3245"/>
      <c r="F46" s="3245"/>
      <c r="G46" s="3246"/>
      <c r="H46" s="1645"/>
      <c r="I46" s="145"/>
      <c r="J46" s="2287">
        <v>1</v>
      </c>
      <c r="K46" s="3306" t="s">
        <v>1328</v>
      </c>
      <c r="L46" s="3306"/>
      <c r="M46" s="3326"/>
      <c r="N46" s="3326"/>
      <c r="O46" s="3326"/>
    </row>
    <row r="47" spans="1:15" ht="12" customHeight="1">
      <c r="A47" s="146" t="s">
        <v>1329</v>
      </c>
      <c r="B47" s="147"/>
      <c r="C47" s="148"/>
      <c r="D47" s="1002" t="s">
        <v>1330</v>
      </c>
      <c r="E47" s="288" t="s">
        <v>1331</v>
      </c>
      <c r="F47" s="149" t="s">
        <v>1332</v>
      </c>
      <c r="G47" s="2310" t="s">
        <v>1333</v>
      </c>
      <c r="H47" s="2311"/>
      <c r="I47" s="145"/>
      <c r="J47" s="2287">
        <v>2</v>
      </c>
      <c r="K47" s="3306" t="s">
        <v>1334</v>
      </c>
      <c r="L47" s="3306"/>
      <c r="M47" s="3327">
        <f>'数据-取费表'!B2</f>
        <v>45727</v>
      </c>
      <c r="N47" s="3327"/>
      <c r="O47" s="3327"/>
    </row>
    <row r="48" spans="1:15" ht="25.5">
      <c r="A48" s="3275" t="s">
        <v>1335</v>
      </c>
      <c r="B48" s="3258"/>
      <c r="C48" s="3258"/>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1336</v>
      </c>
      <c r="H48" s="2314"/>
      <c r="I48" s="1645"/>
      <c r="J48" s="2287">
        <v>3</v>
      </c>
      <c r="K48" s="3306" t="s">
        <v>1337</v>
      </c>
      <c r="L48" s="3306"/>
      <c r="M48" s="3328" t="e">
        <f ca="1">H101</f>
        <v>#REF!</v>
      </c>
      <c r="N48" s="3328"/>
      <c r="O48" s="3328"/>
    </row>
    <row r="49" spans="1:35" ht="25.5" customHeight="1">
      <c r="A49" s="2129" t="s">
        <v>1338</v>
      </c>
      <c r="B49" s="3242" t="s">
        <v>1339</v>
      </c>
      <c r="C49" s="3242"/>
      <c r="D49" s="1456">
        <v>0</v>
      </c>
      <c r="E49" s="309" t="s">
        <v>1340</v>
      </c>
      <c r="F49" s="2210" t="s">
        <v>28</v>
      </c>
      <c r="G49" s="3312"/>
      <c r="H49" s="2111" t="s">
        <v>2131</v>
      </c>
      <c r="I49" s="2112"/>
      <c r="J49" s="2287">
        <v>4</v>
      </c>
      <c r="K49" s="3306" t="str">
        <f>IF(项目基本情况!E8="房地产抵押价值","房地产抵押价值","抵押担保权已注销时的房地产抵押价值")</f>
        <v>房地产抵押价值</v>
      </c>
      <c r="L49" s="3306"/>
      <c r="M49" s="3328" t="e">
        <f ca="1">IF(项目基本情况!E8="房地产抵押价值",H107,H109)</f>
        <v>#REF!</v>
      </c>
      <c r="N49" s="3328"/>
      <c r="O49" s="3328"/>
    </row>
    <row r="50" spans="1:35" ht="25.5" customHeight="1">
      <c r="A50" s="2315"/>
      <c r="B50" s="3242" t="s">
        <v>1341</v>
      </c>
      <c r="C50" s="3242"/>
      <c r="D50" s="2166"/>
      <c r="E50" s="316"/>
      <c r="F50" s="2210"/>
      <c r="G50" s="3313"/>
      <c r="H50" s="2113" t="s">
        <v>2132</v>
      </c>
      <c r="I50" s="2112"/>
      <c r="J50" s="3325" t="s">
        <v>1342</v>
      </c>
      <c r="K50" s="3325"/>
      <c r="L50" s="3325"/>
      <c r="M50" s="3325"/>
      <c r="N50" s="3325"/>
      <c r="O50" s="3325"/>
    </row>
    <row r="51" spans="1:35" ht="20.45" customHeight="1">
      <c r="A51" s="2316"/>
      <c r="B51" s="3242" t="s">
        <v>1343</v>
      </c>
      <c r="C51" s="3242"/>
      <c r="D51" s="1002"/>
      <c r="E51" s="312"/>
      <c r="F51" s="2210"/>
      <c r="G51" s="3314"/>
      <c r="H51" s="2113" t="s">
        <v>2133</v>
      </c>
      <c r="I51" s="2112"/>
      <c r="J51" s="2288" t="s">
        <v>1344</v>
      </c>
      <c r="K51" s="3306" t="s">
        <v>1345</v>
      </c>
      <c r="L51" s="3306"/>
      <c r="M51" s="2288" t="s">
        <v>1346</v>
      </c>
      <c r="N51" s="2288" t="s">
        <v>1347</v>
      </c>
      <c r="O51" s="2288" t="s">
        <v>1348</v>
      </c>
    </row>
    <row r="52" spans="1:35" ht="24" customHeight="1">
      <c r="A52" s="2130" t="s">
        <v>1349</v>
      </c>
      <c r="B52" s="3242" t="s">
        <v>1350</v>
      </c>
      <c r="C52" s="3242"/>
      <c r="D52" s="1002" t="e">
        <f ca="1">ROUND(D45*'数据-取费表'!B41/(1+'数据-取费表'!C42),0)</f>
        <v>#REF!</v>
      </c>
      <c r="E52" s="1234" t="s">
        <v>1351</v>
      </c>
      <c r="F52" s="2317">
        <f>'数据-取费表'!B41</f>
        <v>5.6000000000000001E-2</v>
      </c>
      <c r="G52" s="2318"/>
      <c r="H52" s="2308"/>
      <c r="I52" s="1646"/>
      <c r="J52" s="2287">
        <v>1</v>
      </c>
      <c r="K52" s="3307" t="s">
        <v>1352</v>
      </c>
      <c r="L52" s="3307"/>
      <c r="M52" s="2289" t="b">
        <f>D48</f>
        <v>0</v>
      </c>
      <c r="N52" s="2287" t="str">
        <f>E48</f>
        <v>销售额×税（费）率</v>
      </c>
      <c r="O52" s="2290">
        <f>F48</f>
        <v>5.6000000000000001E-2</v>
      </c>
    </row>
    <row r="53" spans="1:35" ht="12" customHeight="1">
      <c r="A53" s="2130" t="s">
        <v>1353</v>
      </c>
      <c r="B53" s="3268" t="s">
        <v>2279</v>
      </c>
      <c r="C53" s="3269"/>
      <c r="D53" s="1002" t="e">
        <f ca="1">ROUND(D45*'数据-取费表'!B41/(1+'数据-取费表'!C42),0)</f>
        <v>#REF!</v>
      </c>
      <c r="E53" s="1234" t="s">
        <v>1351</v>
      </c>
      <c r="F53" s="2317">
        <f>'数据-取费表'!B41</f>
        <v>5.6000000000000001E-2</v>
      </c>
      <c r="G53" s="2318"/>
      <c r="H53" s="2308"/>
      <c r="I53" s="1646"/>
      <c r="J53" s="2287">
        <v>2</v>
      </c>
      <c r="K53" s="3307" t="s">
        <v>1354</v>
      </c>
      <c r="L53" s="3307"/>
      <c r="M53" s="2289" t="e">
        <f t="shared" ref="M53:O54" ca="1" si="0">D55</f>
        <v>#REF!</v>
      </c>
      <c r="N53" s="2287" t="str">
        <f t="shared" si="0"/>
        <v>销售额×税（费）率</v>
      </c>
      <c r="O53" s="2290" t="str">
        <f t="shared" si="0"/>
        <v>免征</v>
      </c>
    </row>
    <row r="54" spans="1:35" ht="12" customHeight="1">
      <c r="A54" s="2130" t="s">
        <v>1355</v>
      </c>
      <c r="B54" s="3268" t="s">
        <v>2280</v>
      </c>
      <c r="C54" s="3269"/>
      <c r="D54" s="1002" t="e">
        <f ca="1">C68</f>
        <v>#REF!</v>
      </c>
      <c r="E54" s="312" t="s">
        <v>1356</v>
      </c>
      <c r="F54" s="2317">
        <f>'数据-取费表'!B41</f>
        <v>5.6000000000000001E-2</v>
      </c>
      <c r="G54" s="2318"/>
      <c r="H54" s="2319"/>
      <c r="I54" s="1646"/>
      <c r="J54" s="2287">
        <v>3</v>
      </c>
      <c r="K54" s="3307" t="s">
        <v>1357</v>
      </c>
      <c r="L54" s="3307"/>
      <c r="M54" s="2289" t="e">
        <f t="shared" ca="1" si="0"/>
        <v>#REF!</v>
      </c>
      <c r="N54" s="2287" t="str">
        <f t="shared" si="0"/>
        <v>增值额×税（费）率</v>
      </c>
      <c r="O54" s="2291" t="str">
        <f t="shared" si="0"/>
        <v>免征</v>
      </c>
    </row>
    <row r="55" spans="1:35" ht="24" customHeight="1">
      <c r="A55" s="3257" t="s">
        <v>1358</v>
      </c>
      <c r="B55" s="3258"/>
      <c r="C55" s="3258"/>
      <c r="D55" s="12" t="e">
        <f ca="1">IF(H55="个人住宅",0,ROUND(D45*I55,0))</f>
        <v>#REF!</v>
      </c>
      <c r="E55" s="1234" t="s">
        <v>1359</v>
      </c>
      <c r="F55" s="2317" t="str">
        <f>IF(H55="正常",I55,"免征")</f>
        <v>免征</v>
      </c>
      <c r="G55" s="2318"/>
      <c r="H55" s="2314"/>
      <c r="I55" s="151">
        <f>'数据-取费表'!B49</f>
        <v>5.0000000000000001E-4</v>
      </c>
      <c r="J55" s="2287">
        <f>IF(H59="非个人房产","",4)</f>
        <v>4</v>
      </c>
      <c r="K55" s="3307" t="str">
        <f>IF(H59="非个人房产","——","个人所得税")</f>
        <v>个人所得税</v>
      </c>
      <c r="L55" s="3307"/>
      <c r="M55" s="2292" t="e">
        <f ca="1">D59</f>
        <v>#REF!</v>
      </c>
      <c r="N55" s="1860" t="str">
        <f>E59</f>
        <v>差额计税</v>
      </c>
      <c r="O55" s="2293">
        <f>F59</f>
        <v>0.01</v>
      </c>
    </row>
    <row r="56" spans="1:35" ht="24.75">
      <c r="A56" s="3257" t="s">
        <v>1360</v>
      </c>
      <c r="B56" s="3258"/>
      <c r="C56" s="3258"/>
      <c r="D56" s="12" t="e">
        <f ca="1">IF(H56="个人住宅",D57,D58)</f>
        <v>#REF!</v>
      </c>
      <c r="E56" s="1234" t="s">
        <v>1361</v>
      </c>
      <c r="F56" s="2317" t="str">
        <f>IF(H56="正常",F58,"免征")</f>
        <v>免征</v>
      </c>
      <c r="G56" s="2320" t="s">
        <v>1362</v>
      </c>
      <c r="H56" s="2321"/>
      <c r="I56" s="1647"/>
      <c r="J56" s="2287" t="str">
        <f>IF(项目基本情况!K6="上海银行",IF(J55="",4,J55+1),"")</f>
        <v/>
      </c>
      <c r="K56" s="3330" t="str">
        <f>IF(项目基本情况!K6="上海银行","其他处置费用","")</f>
        <v/>
      </c>
      <c r="L56" s="3331"/>
      <c r="M56" s="2289" t="str">
        <f>IF(项目基本情况!K6="上海银行",M69,"")</f>
        <v/>
      </c>
      <c r="N56" s="3330" t="str">
        <f>IF(项目基本情况!K6="上海银行","包含处置中涉及的律师、诉讼、拍卖、评估等费用","")</f>
        <v/>
      </c>
      <c r="O56" s="3333"/>
    </row>
    <row r="57" spans="1:35" ht="12.75">
      <c r="A57" s="2130" t="s">
        <v>1338</v>
      </c>
      <c r="B57" s="3268" t="s">
        <v>1363</v>
      </c>
      <c r="C57" s="3269"/>
      <c r="D57" s="1456">
        <v>0</v>
      </c>
      <c r="E57" s="309" t="s">
        <v>1340</v>
      </c>
      <c r="F57" s="288"/>
      <c r="G57" s="2318"/>
      <c r="H57" s="2322"/>
      <c r="I57" s="1647"/>
      <c r="J57" s="3307">
        <f>IF(AND(J55="",J56=""),4,IF(项目基本情况!K6="上海银行",'结果表-商业'!J56+1,'结果表-商业'!J55+1))</f>
        <v>5</v>
      </c>
      <c r="K57" s="3307" t="s">
        <v>1364</v>
      </c>
      <c r="L57" s="2294" t="s">
        <v>1365</v>
      </c>
      <c r="M57" s="2295"/>
      <c r="N57" s="2296">
        <f ca="1">SUMIF(M52:M56,"&lt;9e307")</f>
        <v>0</v>
      </c>
      <c r="O57" s="2297"/>
      <c r="P57" s="2439" t="e">
        <f ca="1">N57/M49</f>
        <v>#REF!</v>
      </c>
    </row>
    <row r="58" spans="1:35" ht="24.75">
      <c r="A58" s="2130" t="s">
        <v>1349</v>
      </c>
      <c r="B58" s="3268" t="s">
        <v>1366</v>
      </c>
      <c r="C58" s="3242"/>
      <c r="D58" s="12" t="e">
        <f ca="1">IF(H58="转让取得",C81,C97)</f>
        <v>#REF!</v>
      </c>
      <c r="E58" s="1234" t="s">
        <v>1361</v>
      </c>
      <c r="F58" s="288" t="s">
        <v>28</v>
      </c>
      <c r="G58" s="2318"/>
      <c r="H58" s="2321"/>
      <c r="I58" s="1647"/>
      <c r="J58" s="3307"/>
      <c r="K58" s="3307"/>
      <c r="L58" s="2294" t="s">
        <v>1367</v>
      </c>
      <c r="M58" s="2298"/>
      <c r="N58" s="2299" t="str">
        <f ca="1">NUMBERSTRING(INT(N57*10000),2)&amp;"元整"</f>
        <v>零元整</v>
      </c>
      <c r="O58" s="2300"/>
    </row>
    <row r="59" spans="1:35" ht="24.75" thickBot="1">
      <c r="A59" s="3310" t="s">
        <v>1368</v>
      </c>
      <c r="B59" s="3311"/>
      <c r="C59" s="3311"/>
      <c r="D59" s="2323" t="e">
        <f ca="1">IF(H59="非个人房产","——",IF(H59="个人住宅（满五唯一有凭证）",0,IF(H59="个人其他（无凭证）",ROUND(D45*F59,0),ROUND(C67*F59,0))))</f>
        <v>#REF!</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1362</v>
      </c>
      <c r="H59" s="2115"/>
      <c r="I59" s="2114" t="s">
        <v>2134</v>
      </c>
      <c r="J59" s="3308">
        <f>J57+1</f>
        <v>6</v>
      </c>
      <c r="K59" s="3307" t="s">
        <v>1369</v>
      </c>
      <c r="L59" s="2287" t="s">
        <v>1365</v>
      </c>
      <c r="M59" s="2301"/>
      <c r="N59" s="2302" t="e">
        <f ca="1">M49-N57</f>
        <v>#REF!</v>
      </c>
      <c r="O59" s="2303"/>
    </row>
    <row r="60" spans="1:35" ht="12" customHeight="1">
      <c r="A60" s="1648"/>
      <c r="B60" s="636"/>
      <c r="C60" s="636"/>
      <c r="D60" s="636"/>
      <c r="E60" s="1444"/>
      <c r="F60" s="1647"/>
      <c r="G60" s="1647"/>
      <c r="H60" s="145"/>
      <c r="I60" s="115"/>
      <c r="J60" s="3309"/>
      <c r="K60" s="3307"/>
      <c r="L60" s="2294" t="s">
        <v>1367</v>
      </c>
      <c r="M60" s="2298"/>
      <c r="N60" s="2299" t="e">
        <f ca="1">NUMBERSTRING(INT(N59*10000),2)&amp;"元整"</f>
        <v>#REF!</v>
      </c>
      <c r="O60" s="2300"/>
    </row>
    <row r="61" spans="1:35" ht="13.5" thickBot="1">
      <c r="A61" s="3255" t="s">
        <v>1370</v>
      </c>
      <c r="B61" s="3255"/>
      <c r="C61" s="3255"/>
      <c r="D61" s="3255"/>
      <c r="E61" s="3255"/>
      <c r="F61" s="1647"/>
      <c r="G61" s="1647"/>
      <c r="H61" s="145"/>
      <c r="I61" s="115"/>
      <c r="J61" s="2287">
        <f>J59+1</f>
        <v>7</v>
      </c>
      <c r="K61" s="3307" t="s">
        <v>1371</v>
      </c>
      <c r="L61" s="3307"/>
      <c r="M61" s="2304"/>
      <c r="N61" s="2305" t="e">
        <f ca="1">ROUND(N59*10000/'数据-汇总表'!E3,0)</f>
        <v>#REF!</v>
      </c>
      <c r="O61" s="2306"/>
    </row>
    <row r="62" spans="1:35" ht="12.75">
      <c r="A62" s="3273" t="s">
        <v>1372</v>
      </c>
      <c r="B62" s="3274"/>
      <c r="C62" s="1842"/>
      <c r="D62" s="1842" t="s">
        <v>1373</v>
      </c>
      <c r="E62" s="152" t="s">
        <v>1374</v>
      </c>
      <c r="F62" s="1647"/>
      <c r="G62" s="1647"/>
      <c r="H62" s="145"/>
      <c r="I62" s="115"/>
    </row>
    <row r="63" spans="1:35" ht="12.75">
      <c r="A63" s="159" t="s">
        <v>330</v>
      </c>
      <c r="B63" s="153" t="s">
        <v>1375</v>
      </c>
      <c r="C63" s="2327" t="e">
        <f ca="1">ROUND((C64+C65)/(1+'数据-取费表'!C42),0)</f>
        <v>#REF!</v>
      </c>
      <c r="D63" s="153"/>
      <c r="E63" s="154"/>
      <c r="F63" s="1647"/>
      <c r="G63" s="1647"/>
      <c r="H63" s="145"/>
      <c r="I63" s="115"/>
      <c r="J63" s="3332" t="s">
        <v>1376</v>
      </c>
      <c r="K63" s="1223" t="s">
        <v>1377</v>
      </c>
      <c r="L63" s="1223" t="e">
        <f ca="1">IF(M49&gt;10000,M49*0.5%,IF(AND(M49&gt;1000,M49&lt;=10000),M49*1%,IF(AND(M49&gt;100,M49&lt;=1000),M49*3%,IF(AND(M49&gt;10,M49&lt;=100),M49*5%,M49*8%))))</f>
        <v>#REF!</v>
      </c>
      <c r="M63" s="288" t="e">
        <f ca="1">ROUND(L63,1)</f>
        <v>#REF!</v>
      </c>
      <c r="N63" s="2307"/>
      <c r="Z63" s="1600"/>
      <c r="AI63" s="1539"/>
    </row>
    <row r="64" spans="1:35" ht="14.25" customHeight="1">
      <c r="A64" s="155" t="s">
        <v>325</v>
      </c>
      <c r="B64" s="156" t="s">
        <v>1378</v>
      </c>
      <c r="C64" s="2328" t="e">
        <f ca="1">D45</f>
        <v>#REF!</v>
      </c>
      <c r="D64" s="156" t="s">
        <v>26</v>
      </c>
      <c r="E64" s="158"/>
      <c r="F64" s="1647"/>
      <c r="G64" s="1647"/>
      <c r="H64" s="145"/>
      <c r="I64" s="115"/>
      <c r="J64" s="3332"/>
      <c r="K64" s="1223" t="s">
        <v>1379</v>
      </c>
      <c r="L64" s="1223" t="e">
        <f ca="1">IF(M49&gt;2000,M49*0.5%,IF(AND(M49&gt;1000,M49&lt;=2000),M49*0.6%,IF(AND(M49&gt;500,M49&lt;=1000),M49*0.7%,IF(AND(M49&gt;200,M49&lt;=500),M49*0.8%,IF(AND(M49&gt;100,M49&lt;=200),M49*0.9%,IF(AND(M49&gt;50,M49&lt;=100),M49*1%,IF(AND(M49&gt;20,M49&lt;=50),M49*1.5%,IF(AND(M49&gt;10,M49&lt;=20),M49*2%,IF(AND(M49&gt;1,M49&lt;=10),M49*2.5%)))))))))</f>
        <v>#REF!</v>
      </c>
      <c r="M64" s="288" t="e">
        <f t="shared" ref="M64:M65" ca="1" si="1">ROUND(L64,1)</f>
        <v>#REF!</v>
      </c>
      <c r="N64" s="2308" t="s">
        <v>1380</v>
      </c>
      <c r="Z64" s="1600"/>
      <c r="AI64" s="1539"/>
    </row>
    <row r="65" spans="1:35" ht="14.25" customHeight="1">
      <c r="A65" s="155" t="s">
        <v>326</v>
      </c>
      <c r="B65" s="156" t="s">
        <v>1381</v>
      </c>
      <c r="C65" s="2329"/>
      <c r="D65" s="156"/>
      <c r="E65" s="158"/>
      <c r="F65" s="1647"/>
      <c r="G65" s="1647"/>
      <c r="H65" s="145"/>
      <c r="I65" s="115"/>
      <c r="J65" s="3332"/>
      <c r="K65" s="1223" t="s">
        <v>1382</v>
      </c>
      <c r="L65" s="1223" t="e">
        <f ca="1">IF(M49&gt;1000,M49*0.1%,IF(AND(M49&gt;500,M49&lt;=1000),M49*0.5%,IF(AND(M49&gt;50,M49&lt;=500),M49*1%,IF(AND(M49&gt;1,M49&lt;=50),M49*1.5%))))</f>
        <v>#REF!</v>
      </c>
      <c r="M65" s="288" t="e">
        <f t="shared" ca="1" si="1"/>
        <v>#REF!</v>
      </c>
      <c r="N65" s="2308" t="s">
        <v>1380</v>
      </c>
      <c r="Z65" s="1600"/>
      <c r="AI65" s="1539"/>
    </row>
    <row r="66" spans="1:35" ht="14.25" customHeight="1">
      <c r="A66" s="159" t="s">
        <v>327</v>
      </c>
      <c r="B66" s="160" t="s">
        <v>1383</v>
      </c>
      <c r="C66" s="2330"/>
      <c r="D66" s="160" t="s">
        <v>26</v>
      </c>
      <c r="E66" s="1229" t="s">
        <v>668</v>
      </c>
      <c r="F66" s="1647"/>
      <c r="G66" s="1647"/>
      <c r="H66" s="145"/>
      <c r="I66" s="115"/>
      <c r="J66" s="3332"/>
      <c r="K66" s="1223" t="s">
        <v>1384</v>
      </c>
      <c r="L66" s="1223" t="e">
        <f ca="1">M49*0.5%</f>
        <v>#REF!</v>
      </c>
      <c r="M66" s="288" t="e">
        <f ca="1">IF(L66&gt;0.5,0.5,ROUND(L66,0))</f>
        <v>#REF!</v>
      </c>
      <c r="N66" s="2308" t="s">
        <v>1385</v>
      </c>
      <c r="Z66" s="1600"/>
      <c r="AI66" s="1539"/>
    </row>
    <row r="67" spans="1:35" ht="14.25" customHeight="1">
      <c r="A67" s="159" t="s">
        <v>328</v>
      </c>
      <c r="B67" s="160" t="s">
        <v>1386</v>
      </c>
      <c r="C67" s="2331" t="e">
        <f ca="1">C63-C66</f>
        <v>#REF!</v>
      </c>
      <c r="D67" s="156" t="s">
        <v>26</v>
      </c>
      <c r="E67" s="158"/>
      <c r="F67" s="1647"/>
      <c r="G67" s="1647"/>
      <c r="H67" s="145"/>
      <c r="I67" s="115"/>
      <c r="J67" s="3332"/>
      <c r="K67" s="1223" t="s">
        <v>1387</v>
      </c>
      <c r="L67" s="1223" t="e">
        <f ca="1">IF(M49&gt;=10000,(8.25+(M49-10000)*0.01%),IF(AND(M49&gt;=8000,M49&lt;10000),(7.85+(M49-8000)*0.02%),IF(AND(M49&gt;=5000,M49&lt;8000),(6.65+(M49-5000)*0.04%),IF(AND(M49&gt;=2000,M49&lt;5000),(4.25+(PM49-2000)*0.08%),IF(AND(M49&gt;=1000,M49&lt;2000),(2.75+(M49-1000)*0.15%),IF(AND(M49&gt;=100,M49&lt;1000),(0.5+(M49-100)*0.25%),IF(AND(M49&gt;0,M49&lt;100),M49*0.5%)))))))</f>
        <v>#REF!</v>
      </c>
      <c r="M67" s="288" t="e">
        <f ca="1">ROUND(L67*0.9,1)</f>
        <v>#REF!</v>
      </c>
      <c r="N67" s="2307"/>
      <c r="Z67" s="1600"/>
      <c r="AI67" s="1539"/>
    </row>
    <row r="68" spans="1:35" ht="14.25" customHeight="1" thickBot="1">
      <c r="A68" s="162" t="s">
        <v>329</v>
      </c>
      <c r="B68" s="163" t="s">
        <v>1388</v>
      </c>
      <c r="C68" s="2332" t="e">
        <f ca="1">IF(C67&lt;=0,0,ROUND(C67*D68,0))</f>
        <v>#REF!</v>
      </c>
      <c r="D68" s="2333">
        <f>'数据-取费表'!B41</f>
        <v>5.6000000000000001E-2</v>
      </c>
      <c r="E68" s="164"/>
      <c r="F68" s="1647"/>
      <c r="G68" s="1647"/>
      <c r="H68" s="145"/>
      <c r="I68" s="115"/>
      <c r="J68" s="3332"/>
      <c r="K68" s="1223" t="s">
        <v>1389</v>
      </c>
      <c r="L68" s="1223" t="e">
        <f ca="1">IF(M49&gt;10000,M49*0.5%,IF(AND(M49&gt;5000,M49&lt;=10000),M49*1%,IF(AND(M49&gt;1000,M49&lt;=5000),M49*2%,IF(AND(M49&gt;200,M49&lt;=1000),M49*3%,M49*5%))))</f>
        <v>#REF!</v>
      </c>
      <c r="M68" s="288" t="e">
        <f ca="1">ROUND(L68,1)</f>
        <v>#REF!</v>
      </c>
      <c r="N68" s="2307"/>
      <c r="Z68" s="1600"/>
      <c r="AI68" s="1539"/>
    </row>
    <row r="69" spans="1:35" ht="16.5" customHeight="1">
      <c r="A69" s="1649"/>
      <c r="B69" s="1650"/>
      <c r="C69" s="1651"/>
      <c r="D69" s="1652"/>
      <c r="E69" s="1653"/>
      <c r="F69" s="1444"/>
      <c r="G69" s="1444"/>
      <c r="H69" s="1445"/>
      <c r="I69" s="636"/>
      <c r="J69" s="3332"/>
      <c r="K69" s="1223" t="s">
        <v>1390</v>
      </c>
      <c r="L69" s="1223"/>
      <c r="M69" s="288" t="e">
        <f ca="1">ROUND(SUM(M63:M68),0)</f>
        <v>#REF!</v>
      </c>
      <c r="N69" s="2309" t="e">
        <f ca="1">M69/M49</f>
        <v>#REF!</v>
      </c>
      <c r="Z69" s="1600"/>
      <c r="AI69" s="1539"/>
    </row>
    <row r="70" spans="1:35" s="632" customFormat="1" ht="15" thickBot="1">
      <c r="A70" s="3294" t="s">
        <v>1391</v>
      </c>
      <c r="B70" s="3295"/>
      <c r="C70" s="3295"/>
      <c r="D70" s="3295"/>
      <c r="E70" s="3295"/>
      <c r="F70" s="3295"/>
      <c r="G70" s="3295"/>
      <c r="H70" s="3295"/>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3" t="s">
        <v>1372</v>
      </c>
      <c r="B71" s="3274"/>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t="e">
        <f ca="1">ROUND(D45/(1+'数据-取费表'!C42),0)</f>
        <v>#REF!</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t="e">
        <f ca="1">C74+C78</f>
        <v>#REF!</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268" t="s">
        <v>1399</v>
      </c>
      <c r="F76" s="3242"/>
      <c r="G76" s="3242"/>
      <c r="H76" s="3293"/>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t="e">
        <f ca="1">ROUND(D45*D78/(1+'数据-取费表'!C42),0)</f>
        <v>#REF!</v>
      </c>
      <c r="D78" s="2340">
        <f>'数据-取费表'!B43</f>
        <v>6.000000000000001E-3</v>
      </c>
      <c r="E78" s="3252" t="s">
        <v>1403</v>
      </c>
      <c r="F78" s="3253"/>
      <c r="G78" s="3253"/>
      <c r="H78" s="3262"/>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1404</v>
      </c>
      <c r="C79" s="2331" t="e">
        <f ca="1">C72-C73</f>
        <v>#REF!</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t="e">
        <f ca="1">IF(C79&lt;=0,0,C79/C73)</f>
        <v>#REF!</v>
      </c>
      <c r="D80" s="156" t="s">
        <v>26</v>
      </c>
      <c r="E80" s="12" t="e">
        <f ca="1">IF(C80&gt;=200%,"增值额超过扣除项目金额200%",IF(C80&gt;=100%,"增值额超过扣除项目金额100%，未超过200%",IF(C80&gt;=50%,"增值额超过扣除项目金额50%，未超过100%",IF(C80&lt;50%,"增值额未超过扣除项目金额50%"))))</f>
        <v>#REF!</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t="e">
        <f ca="1">ROUND(IF(C79&lt;=0,0,IF(C80&gt;=200%,C79*60%-C73*35%,IF(C80&gt;=100%,C79*50%-C73*15%,IF(C80&gt;=50%,C79*40%-C73*5%,IF(C80&lt;50%,C79*30%,0))))),0)</f>
        <v>#REF!</v>
      </c>
      <c r="D81" s="2343"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94" t="s">
        <v>1407</v>
      </c>
      <c r="B83" s="3295"/>
      <c r="C83" s="3295"/>
      <c r="D83" s="3295"/>
      <c r="E83" s="3295"/>
      <c r="F83" s="3295"/>
      <c r="G83" s="3295"/>
      <c r="H83" s="3295"/>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3" t="s">
        <v>1372</v>
      </c>
      <c r="B84" s="3274"/>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t="e">
        <f ca="1">ROUND(D45/(1+'数据-取费表'!C42),0)</f>
        <v>#REF!</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t="e">
        <f ca="1">IF(H88="仅含出让金",C87+C90+C91+C92+C93+C94,C87+C91+C92+C93+C94)</f>
        <v>#REF!</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c r="D88" s="2340"/>
      <c r="E88" s="179" t="s">
        <v>1410</v>
      </c>
      <c r="F88" s="2125"/>
      <c r="G88" s="180" t="s">
        <v>1411</v>
      </c>
      <c r="H88" s="1661"/>
      <c r="I88" s="1658"/>
      <c r="J88" s="2285" t="s">
        <v>2276</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0</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334" t="s">
        <v>2126</v>
      </c>
      <c r="H90" s="3335"/>
      <c r="I90" s="1658"/>
      <c r="J90" s="2285" t="s">
        <v>2277</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IF(H91="——",成本法!C33,I91)</f>
        <v>0</v>
      </c>
      <c r="D91" s="2340"/>
      <c r="E91" s="3252" t="s">
        <v>1416</v>
      </c>
      <c r="F91" s="3253"/>
      <c r="G91" s="3253"/>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ROUND((C87+C90+C91)*D92,0)</f>
        <v>0</v>
      </c>
      <c r="D92" s="2346"/>
      <c r="E92" s="3252" t="s">
        <v>1419</v>
      </c>
      <c r="F92" s="3253"/>
      <c r="G92" s="3253"/>
      <c r="H92" s="3262"/>
      <c r="I92" s="1658"/>
      <c r="J92" s="2286" t="s">
        <v>2278</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t="e">
        <f ca="1">ROUND(D45*D93/(1+'数据-取费表'!C42),0)</f>
        <v>#REF!</v>
      </c>
      <c r="D93" s="2340">
        <f>'数据-取费表'!B43</f>
        <v>6.000000000000001E-3</v>
      </c>
      <c r="E93" s="3252" t="s">
        <v>1403</v>
      </c>
      <c r="F93" s="3253"/>
      <c r="G93" s="3253"/>
      <c r="H93" s="3262"/>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ROUND((C87+C90+C91)*D94,0)</f>
        <v>0</v>
      </c>
      <c r="D94" s="2340">
        <v>0.2</v>
      </c>
      <c r="E94" s="3263" t="s">
        <v>1423</v>
      </c>
      <c r="F94" s="3264"/>
      <c r="G94" s="3264"/>
      <c r="H94" s="3265"/>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1404</v>
      </c>
      <c r="C95" s="2331" t="e">
        <f ca="1">ROUND(C85-C86,0)</f>
        <v>#REF!</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t="e">
        <f ca="1">IF(C95&lt;=0,0,C95/C86)</f>
        <v>#REF!</v>
      </c>
      <c r="D96" s="156" t="s">
        <v>26</v>
      </c>
      <c r="E96" s="12" t="e">
        <f ca="1">IF(C96&gt;=200%,"增值额超过扣除项目金额200%",IF(C96&gt;=100%,"增值额超过扣除项目金额100%，未超过200%",IF(C96&gt;=50%,"增值额超过扣除项目金额50%，未超过100%",IF(C96&lt;50%,"增值额未超过扣除项目金额50%"))))</f>
        <v>#REF!</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t="e">
        <f ca="1">ROUND(IF(C95&lt;=0,0,IF(C96&gt;=200%,C95*60%-C86*35%,IF(C96&gt;=100%,C95*50%-C86*15%,IF(C96&gt;=50%,C95*40%-C86*5%,IF(C96&lt;50%,C95*30%,0))))),0)</f>
        <v>#REF!</v>
      </c>
      <c r="D97" s="2343"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236" t="s">
        <v>1425</v>
      </c>
      <c r="B100" s="3237"/>
      <c r="C100" s="3237"/>
      <c r="D100" s="3254"/>
      <c r="E100" s="3237" t="s">
        <v>1426</v>
      </c>
      <c r="F100" s="3237"/>
      <c r="G100" s="3237"/>
      <c r="H100" s="3254"/>
      <c r="I100" s="115"/>
    </row>
    <row r="101" spans="1:35" ht="18.75" customHeight="1">
      <c r="A101" s="3315" t="s">
        <v>1427</v>
      </c>
      <c r="B101" s="3316"/>
      <c r="C101" s="2348" t="str">
        <f>C4</f>
        <v>比较法-商业</v>
      </c>
      <c r="D101" s="2349" t="str">
        <f>D4</f>
        <v>收益法-商业</v>
      </c>
      <c r="E101" s="3329" t="s">
        <v>1428</v>
      </c>
      <c r="F101" s="3286"/>
      <c r="G101" s="1664" t="s">
        <v>1429</v>
      </c>
      <c r="H101" s="2358" t="e">
        <f ca="1">H118</f>
        <v>#REF!</v>
      </c>
      <c r="I101" s="115"/>
    </row>
    <row r="102" spans="1:35" ht="18.75" customHeight="1">
      <c r="A102" s="3288" t="s">
        <v>1430</v>
      </c>
      <c r="B102" s="2347" t="s">
        <v>1429</v>
      </c>
      <c r="C102" s="2348">
        <f ca="1">IF(D32="楼面单价",ROUND(C19,0),C19)</f>
        <v>2053.4153999999999</v>
      </c>
      <c r="D102" s="2349">
        <f ca="1">IF(D32="楼面单价",ROUND(D19,0),D19)</f>
        <v>1143.9078999999999</v>
      </c>
      <c r="E102" s="3329"/>
      <c r="F102" s="3286"/>
      <c r="G102" s="1664" t="s">
        <v>1431</v>
      </c>
      <c r="H102" s="2318" t="e">
        <f ca="1">I118</f>
        <v>#REF!</v>
      </c>
      <c r="I102" s="115"/>
    </row>
    <row r="103" spans="1:35" ht="42.75" customHeight="1">
      <c r="A103" s="3288"/>
      <c r="B103" s="2347" t="s">
        <v>1431</v>
      </c>
      <c r="C103" s="2350">
        <f ca="1">C20</f>
        <v>36487</v>
      </c>
      <c r="D103" s="2351">
        <f ca="1">D20</f>
        <v>20326</v>
      </c>
      <c r="E103" s="3323" t="s">
        <v>1432</v>
      </c>
      <c r="F103" s="3324"/>
      <c r="G103" s="1665" t="s">
        <v>1433</v>
      </c>
      <c r="H103" s="2358">
        <f>IF(D36="正常操作",H104+H105+H106,H105+H106)</f>
        <v>0</v>
      </c>
      <c r="I103" s="115"/>
    </row>
    <row r="104" spans="1:35" ht="18.75" customHeight="1">
      <c r="A104" s="3288" t="s">
        <v>1434</v>
      </c>
      <c r="B104" s="2352" t="s">
        <v>1429</v>
      </c>
      <c r="C104" s="2353" t="e">
        <f ca="1">H118</f>
        <v>#REF!</v>
      </c>
      <c r="D104" s="2354"/>
      <c r="E104" s="1533" t="s">
        <v>1435</v>
      </c>
      <c r="F104" s="1526"/>
      <c r="G104" s="1665" t="s">
        <v>1433</v>
      </c>
      <c r="H104" s="2359">
        <f>IF(D36="同一抵押权人同一抵押物续贷",C36&amp;"（续贷，未扣减，详见特别提示）",C36)</f>
        <v>0</v>
      </c>
      <c r="I104" s="115"/>
    </row>
    <row r="105" spans="1:35" ht="18.75" customHeight="1" thickBot="1">
      <c r="A105" s="3289"/>
      <c r="B105" s="2355" t="s">
        <v>1431</v>
      </c>
      <c r="C105" s="2356" t="e">
        <f ca="1">I118</f>
        <v>#REF!</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285" t="str">
        <f>IF(项目基本情况!E8="已注销","——","3.房地产抵押价值")</f>
        <v>3.房地产抵押价值</v>
      </c>
      <c r="F107" s="3286"/>
      <c r="G107" s="1664" t="s">
        <v>1429</v>
      </c>
      <c r="H107" s="2358" t="e">
        <f ca="1">IF(E107="——","——",H101-H103)</f>
        <v>#REF!</v>
      </c>
      <c r="I107" s="115"/>
    </row>
    <row r="108" spans="1:35" ht="18.75" customHeight="1">
      <c r="A108" s="115"/>
      <c r="B108" s="115"/>
      <c r="C108" s="115"/>
      <c r="D108" s="115"/>
      <c r="E108" s="3285"/>
      <c r="F108" s="3286"/>
      <c r="G108" s="1664" t="s">
        <v>1431</v>
      </c>
      <c r="H108" s="2318" t="e">
        <f ca="1">IF(H107=H101,H102,ROUND(H107*10000/'数据-汇总表'!E3,0))</f>
        <v>#REF!</v>
      </c>
      <c r="I108" s="115"/>
    </row>
    <row r="109" spans="1:35" ht="18.75" customHeight="1">
      <c r="A109" s="115"/>
      <c r="B109" s="115"/>
      <c r="C109" s="115"/>
      <c r="D109" s="115"/>
      <c r="E109" s="3285" t="str">
        <f>IF(项目基本情况!E8="已注销及未注销","4.抵押担保权已注销时的房地产抵押价值",IF(项目基本情况!E8="已注销","3.抵押担保权已注销时的房地产抵押价值","——"))</f>
        <v>——</v>
      </c>
      <c r="F109" s="3286"/>
      <c r="G109" s="1664" t="s">
        <v>1429</v>
      </c>
      <c r="H109" s="2361" t="str">
        <f>IF(E109="——","——",H101-H105-H106)</f>
        <v>——</v>
      </c>
      <c r="I109" s="115"/>
    </row>
    <row r="110" spans="1:35" ht="18.75" customHeight="1">
      <c r="A110" s="115"/>
      <c r="B110" s="115"/>
      <c r="C110" s="115"/>
      <c r="D110" s="115"/>
      <c r="E110" s="3285"/>
      <c r="F110" s="3286"/>
      <c r="G110" s="1664" t="s">
        <v>1431</v>
      </c>
      <c r="H110" s="2318" t="str">
        <f>IF(H109="——","——",ROUND(H109*10000/'数据-汇总表'!E3,0))</f>
        <v>——</v>
      </c>
      <c r="I110" s="115"/>
    </row>
    <row r="111" spans="1:35" ht="18.75" customHeight="1">
      <c r="A111" s="115"/>
      <c r="B111" s="115"/>
      <c r="C111" s="115"/>
      <c r="D111" s="115"/>
      <c r="E111" s="3317" t="str">
        <f>IF(项目基本情况!E9="抵押净值",IF(OR(项目基本情况!E8="已注销",项目基本情况!E8="房地产抵押价值"),"4.抵押净值","5.抵押净值"),"——")</f>
        <v>——</v>
      </c>
      <c r="F111" s="3287"/>
      <c r="G111" s="1664" t="s">
        <v>1429</v>
      </c>
      <c r="H111" s="2358" t="str">
        <f>IF(E111="——","——",N59)</f>
        <v>——</v>
      </c>
      <c r="I111" s="115"/>
    </row>
    <row r="112" spans="1:35" ht="18.75" customHeight="1" thickBot="1">
      <c r="A112" s="115"/>
      <c r="B112" s="115"/>
      <c r="C112" s="115"/>
      <c r="D112" s="115"/>
      <c r="E112" s="3318"/>
      <c r="F112" s="3319"/>
      <c r="G112" s="1667" t="s">
        <v>1431</v>
      </c>
      <c r="H112" s="2362" t="str">
        <f>IF(E111="——","——",N61)</f>
        <v>——</v>
      </c>
      <c r="I112" s="115"/>
    </row>
    <row r="113" spans="1:27" ht="18.75" customHeight="1">
      <c r="A113" s="115"/>
      <c r="B113" s="115"/>
      <c r="C113" s="115"/>
      <c r="D113" s="115"/>
      <c r="E113" s="3290" t="s">
        <v>1437</v>
      </c>
      <c r="F113" s="3290"/>
      <c r="G113" s="3290"/>
      <c r="H113" s="3290"/>
      <c r="I113" s="115"/>
    </row>
    <row r="114" spans="1:27" ht="3.75" customHeight="1">
      <c r="A114" s="636"/>
      <c r="B114" s="636"/>
      <c r="C114" s="636"/>
      <c r="D114" s="636"/>
      <c r="E114" s="1648"/>
      <c r="F114" s="1648"/>
      <c r="G114" s="1648"/>
      <c r="H114" s="1648"/>
      <c r="I114" s="636"/>
    </row>
    <row r="115" spans="1:27" ht="18.75" customHeight="1">
      <c r="A115" s="3300" t="s">
        <v>1439</v>
      </c>
      <c r="B115" s="3301"/>
      <c r="C115" s="3301"/>
      <c r="D115" s="3301"/>
      <c r="E115" s="3301"/>
      <c r="F115" s="3301"/>
      <c r="G115" s="3301"/>
      <c r="H115" s="3301"/>
      <c r="I115" s="3302"/>
    </row>
    <row r="116" spans="1:27" ht="27" customHeight="1">
      <c r="A116" s="3256" t="s">
        <v>1440</v>
      </c>
      <c r="B116" s="3291" t="s">
        <v>1441</v>
      </c>
      <c r="C116" s="3291" t="s">
        <v>1442</v>
      </c>
      <c r="D116" s="3304" t="s">
        <v>1443</v>
      </c>
      <c r="E116" s="3305"/>
      <c r="F116" s="3299" t="s">
        <v>1444</v>
      </c>
      <c r="G116" s="3299"/>
      <c r="H116" s="3256" t="s">
        <v>1445</v>
      </c>
      <c r="I116" s="3256"/>
    </row>
    <row r="117" spans="1:27" ht="18.75" customHeight="1">
      <c r="A117" s="3256"/>
      <c r="B117" s="3292"/>
      <c r="C117" s="3292"/>
      <c r="D117" s="2127" t="s">
        <v>1446</v>
      </c>
      <c r="E117" s="2127" t="s">
        <v>1447</v>
      </c>
      <c r="F117" s="2127" t="s">
        <v>1446</v>
      </c>
      <c r="G117" s="2127" t="s">
        <v>1448</v>
      </c>
      <c r="H117" s="2127" t="s">
        <v>1446</v>
      </c>
      <c r="I117" s="2127" t="s">
        <v>1448</v>
      </c>
    </row>
    <row r="118" spans="1:27" ht="24.75" customHeight="1">
      <c r="A118" s="2363" t="str">
        <f>项目基本情况!S2</f>
        <v>房地产</v>
      </c>
      <c r="B118" s="2127">
        <f>M18</f>
        <v>562.78</v>
      </c>
      <c r="C118" s="2127">
        <f>M19</f>
        <v>0</v>
      </c>
      <c r="D118" s="2127" t="e">
        <f ca="1">ROUND(IF(D32="总价",C34,E118*B118/10000),0)</f>
        <v>#REF!</v>
      </c>
      <c r="E118" s="2127" t="e">
        <f ca="1">ROUND(IF(C33="自定义",IF(D32="楼面单价",C34,D118*10000/B118),I118-G118),0)</f>
        <v>#REF!</v>
      </c>
      <c r="F118" s="2127" t="e">
        <f ca="1">ROUND(IF(D32="总价",C35,G118*B118/10000),0)</f>
        <v>#REF!</v>
      </c>
      <c r="G118" s="2127" t="e">
        <f ca="1">ROUND(IF(D32="楼面单价",C35,F118*10000/B118),0)</f>
        <v>#REF!</v>
      </c>
      <c r="H118" s="2127" t="e">
        <f ca="1">ROUND(IF(D32="总价",C32,I118*B118/10000),0)</f>
        <v>#REF!</v>
      </c>
      <c r="I118" s="2127" t="e">
        <f ca="1">ROUND(IF(D32="楼面单价",C32,H118*10000/B118),0)</f>
        <v>#REF!</v>
      </c>
    </row>
    <row r="119" spans="1:27" ht="18.75" customHeight="1">
      <c r="A119" s="3256" t="s">
        <v>1449</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96" t="s">
        <v>1449</v>
      </c>
      <c r="B121" s="3297"/>
      <c r="C121" s="3298"/>
      <c r="D121" s="3296" t="str">
        <f>IF(D120=0,"零元整",NUMBERSTRING(INT(D120*10000),2)&amp;"元整")</f>
        <v>零元整</v>
      </c>
      <c r="E121" s="3297"/>
      <c r="F121" s="3297"/>
      <c r="G121" s="3297"/>
      <c r="H121" s="3297"/>
      <c r="I121" s="3298"/>
      <c r="AA121" s="67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74"/>
    </row>
    <row r="123" spans="1:27" ht="18.75" customHeight="1">
      <c r="A123" s="3256" t="s">
        <v>1449</v>
      </c>
      <c r="B123" s="3256"/>
      <c r="C123" s="3256"/>
      <c r="D123" s="3296" t="e">
        <f ca="1">NUMBERSTRING(INT(D122*10000),2)&amp;"元整"</f>
        <v>#REF!</v>
      </c>
      <c r="E123" s="3297"/>
      <c r="F123" s="3297"/>
      <c r="G123" s="3297"/>
      <c r="H123" s="3297"/>
      <c r="I123" s="3298"/>
      <c r="AA123" s="674"/>
    </row>
    <row r="124" spans="1:27" ht="18.75" customHeight="1">
      <c r="A124" s="3287" t="str">
        <f>IF(项目基本情况!B9="房地产市场价值","",MID(E109,3,LEN(E109)-2))</f>
        <v/>
      </c>
      <c r="B124" s="3287"/>
      <c r="C124" s="3287"/>
      <c r="D124" s="3320" t="str">
        <f>H109</f>
        <v>——</v>
      </c>
      <c r="E124" s="3321"/>
      <c r="F124" s="3321"/>
      <c r="G124" s="3321"/>
      <c r="H124" s="3321"/>
      <c r="I124" s="3322"/>
      <c r="AA124" s="674"/>
    </row>
    <row r="125" spans="1:27" ht="18.75" customHeight="1">
      <c r="A125" s="3256" t="s">
        <v>1449</v>
      </c>
      <c r="B125" s="3256"/>
      <c r="C125" s="3256"/>
      <c r="D125" s="3296" t="e">
        <f>NUMBERSTRING(INT(D124*10000),2)&amp;"元整"</f>
        <v>#VALUE!</v>
      </c>
      <c r="E125" s="3297"/>
      <c r="F125" s="3297"/>
      <c r="G125" s="3297"/>
      <c r="H125" s="3297"/>
      <c r="I125" s="3298"/>
      <c r="AA125" s="674"/>
    </row>
    <row r="126" spans="1:27" ht="18.75" customHeight="1">
      <c r="A126" s="3287" t="str">
        <f>IF(项目基本情况!B9="房地产市场价值","",MID(E111,3,LEN(E111)-2))</f>
        <v/>
      </c>
      <c r="B126" s="3287"/>
      <c r="C126" s="3287"/>
      <c r="D126" s="3320" t="str">
        <f>H111</f>
        <v>——</v>
      </c>
      <c r="E126" s="3321"/>
      <c r="F126" s="3321"/>
      <c r="G126" s="3321"/>
      <c r="H126" s="3321"/>
      <c r="I126" s="3322"/>
      <c r="AA126" s="674"/>
    </row>
    <row r="127" spans="1:27" ht="18.75" customHeight="1">
      <c r="A127" s="3256" t="s">
        <v>1449</v>
      </c>
      <c r="B127" s="3256"/>
      <c r="C127" s="3256"/>
      <c r="D127" s="3296" t="e">
        <f>NUMBERSTRING(INT(D126*10000),2)&amp;"元整"</f>
        <v>#VALUE!</v>
      </c>
      <c r="E127" s="3297"/>
      <c r="F127" s="3297"/>
      <c r="G127" s="3297"/>
      <c r="H127" s="3297"/>
      <c r="I127" s="3298"/>
      <c r="AA127" s="674"/>
    </row>
    <row r="128" spans="1:27" ht="21.75" customHeight="1">
      <c r="A128" s="3303" t="s">
        <v>1450</v>
      </c>
      <c r="B128" s="3303"/>
      <c r="C128" s="3303"/>
      <c r="D128" s="3303"/>
      <c r="E128" s="3303"/>
      <c r="F128" s="3303"/>
      <c r="G128" s="3303"/>
      <c r="H128" s="3303"/>
      <c r="I128" s="3303"/>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54" t="str">
        <f>项目基本情况!B1</f>
        <v>房地产抵押价值预评估</v>
      </c>
      <c r="C37" s="3154"/>
      <c r="D37" s="3154"/>
      <c r="E37" s="3154"/>
      <c r="F37" s="3154"/>
      <c r="G37" s="3154"/>
      <c r="H37" s="3154"/>
      <c r="I37" s="3154"/>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1458</v>
      </c>
      <c r="B1" s="1352"/>
      <c r="C1" s="184"/>
      <c r="D1" s="184"/>
      <c r="E1" s="184"/>
      <c r="F1" s="184"/>
      <c r="G1" s="1040">
        <f>MATCH(B1,'数据-取费表'!A6:A16,0)+5</f>
        <v>9</v>
      </c>
    </row>
    <row r="2" spans="1:9" s="186" customFormat="1" ht="18" customHeight="1">
      <c r="A2" s="187" t="s">
        <v>1459</v>
      </c>
      <c r="B2" s="188">
        <f ca="1">IF(D2="——",C52,C52-E2)</f>
        <v>2338</v>
      </c>
      <c r="C2" s="185" t="s">
        <v>1460</v>
      </c>
      <c r="D2" s="1688" t="s">
        <v>43</v>
      </c>
      <c r="E2" s="1067" t="e">
        <f ca="1">SUMIF(INDIRECT("'"&amp;G2&amp;"'"&amp;"!A:A"),"承租人权益价值",INDIRECT("'"&amp;G2&amp;"'"&amp;"!c:c"))</f>
        <v>#REF!</v>
      </c>
      <c r="F2" s="1689" t="s">
        <v>1460</v>
      </c>
      <c r="G2" s="1690"/>
    </row>
    <row r="3" spans="1:9" s="186" customFormat="1" ht="18" customHeight="1" thickBot="1">
      <c r="A3" s="189" t="s">
        <v>1461</v>
      </c>
      <c r="B3" s="190">
        <f ca="1">ROUND(B2*10000/(IF(B1="",'数据-汇总表'!E3,INDIRECT("'数据-取费表'!k"&amp;$G$1))),0)</f>
        <v>6619</v>
      </c>
      <c r="C3" s="185" t="s">
        <v>1462</v>
      </c>
      <c r="D3" s="185"/>
      <c r="E3" s="185"/>
      <c r="F3" s="185"/>
      <c r="G3" s="185"/>
    </row>
    <row r="4" spans="1:9" s="194" customFormat="1" ht="15.75">
      <c r="A4" s="191" t="s">
        <v>1463</v>
      </c>
      <c r="B4" s="192"/>
      <c r="C4" s="192"/>
      <c r="D4" s="192"/>
      <c r="E4" s="192"/>
      <c r="F4" s="192"/>
      <c r="G4" s="193"/>
    </row>
    <row r="5" spans="1:9" s="200" customFormat="1" ht="13.5" customHeight="1">
      <c r="A5" s="241" t="s">
        <v>1464</v>
      </c>
      <c r="B5" s="196" t="s">
        <v>1465</v>
      </c>
      <c r="C5" s="197">
        <f>C6+C7+C8</f>
        <v>0</v>
      </c>
      <c r="D5" s="197" t="s">
        <v>1466</v>
      </c>
      <c r="E5" s="198" t="s">
        <v>1467</v>
      </c>
      <c r="F5" s="198" t="s">
        <v>1468</v>
      </c>
      <c r="G5" s="199"/>
    </row>
    <row r="6" spans="1:9" s="200" customFormat="1" ht="13.5" customHeight="1">
      <c r="A6" s="714" t="s">
        <v>1469</v>
      </c>
      <c r="B6" s="201" t="s">
        <v>1470</v>
      </c>
      <c r="C6" s="202"/>
      <c r="D6" s="203"/>
      <c r="E6" s="204"/>
      <c r="F6" s="204"/>
      <c r="G6" s="205"/>
    </row>
    <row r="7" spans="1:9" s="200" customFormat="1" ht="13.5" customHeight="1">
      <c r="A7" s="714" t="s">
        <v>1471</v>
      </c>
      <c r="B7" s="201" t="s">
        <v>1472</v>
      </c>
      <c r="C7" s="206">
        <f>ROUND(C6*F7,0)</f>
        <v>0</v>
      </c>
      <c r="D7" s="206"/>
      <c r="E7" s="204"/>
      <c r="F7" s="207">
        <f>IF(项目基本情况!B8="出让",0,'数据-取费表'!B48+'数据-取费表'!B49)</f>
        <v>3.0499999999999999E-2</v>
      </c>
      <c r="G7" s="205"/>
    </row>
    <row r="8" spans="1:9" s="209" customFormat="1">
      <c r="A8" s="714" t="s">
        <v>1473</v>
      </c>
      <c r="B8" s="201" t="s">
        <v>1474</v>
      </c>
      <c r="C8" s="206">
        <f>IF(G8="已包含在土地购买价格中","0",IF(B1="",'数据-取费表'!B29,IF(G9="全部缴纳",C9+C10,H9)))</f>
        <v>0</v>
      </c>
      <c r="D8" s="208"/>
      <c r="E8" s="206"/>
      <c r="F8" s="207"/>
      <c r="G8" s="1691"/>
    </row>
    <row r="9" spans="1:9" s="200" customFormat="1" ht="13.5" customHeight="1">
      <c r="A9" s="715" t="s">
        <v>355</v>
      </c>
      <c r="B9" s="210" t="s">
        <v>1475</v>
      </c>
      <c r="C9" s="211">
        <f ca="1">ROUND(D9*E9/10000,0)</f>
        <v>0</v>
      </c>
      <c r="D9" s="777">
        <f ca="1">IF(B1="",'数据-汇总表'!E5,IF(INDIRECT("'数据-取费表'!c"&amp;$G$1)="住宅",INDIRECT("'数据-取费表'!k"&amp;$G$1),0))</f>
        <v>0</v>
      </c>
      <c r="E9" s="211">
        <f>'数据-取费表'!B27</f>
        <v>150</v>
      </c>
      <c r="F9" s="207"/>
      <c r="G9" s="1692"/>
      <c r="H9" s="1048"/>
      <c r="I9" s="1693" t="s">
        <v>1476</v>
      </c>
    </row>
    <row r="10" spans="1:9" s="200" customFormat="1" ht="13.5" customHeight="1">
      <c r="A10" s="715" t="s">
        <v>356</v>
      </c>
      <c r="B10" s="210" t="s">
        <v>1477</v>
      </c>
      <c r="C10" s="211">
        <f ca="1">ROUND(D10*E10/10000,0)</f>
        <v>67</v>
      </c>
      <c r="D10" s="777">
        <f ca="1">IF(B1="",'数据-汇总表'!E6,IF(INDIRECT("'数据-取费表'!c"&amp;$G$1)="住宅",INDIRECT("'数据-取费表'!s"&amp;$G$1),INDIRECT("'数据-取费表'!k"&amp;$G$1)+INDIRECT("'数据-取费表'!s"&amp;$G$1)))</f>
        <v>3532.0600000000004</v>
      </c>
      <c r="E10" s="211">
        <f>'数据-取费表'!B28</f>
        <v>190</v>
      </c>
      <c r="F10" s="207"/>
      <c r="G10" s="212"/>
    </row>
    <row r="11" spans="1:9" s="200" customFormat="1" ht="13.5" hidden="1" customHeight="1">
      <c r="A11" s="213" t="s">
        <v>4</v>
      </c>
      <c r="B11" s="201" t="s">
        <v>1478</v>
      </c>
      <c r="C11" s="197"/>
      <c r="D11" s="204"/>
      <c r="E11" s="204"/>
      <c r="F11" s="204"/>
      <c r="G11" s="205"/>
    </row>
    <row r="12" spans="1:9" s="200" customFormat="1" ht="13.5" hidden="1" customHeight="1">
      <c r="A12" s="213" t="s">
        <v>5</v>
      </c>
      <c r="B12" s="201" t="s">
        <v>1479</v>
      </c>
      <c r="C12" s="197">
        <v>0</v>
      </c>
      <c r="D12" s="204"/>
      <c r="E12" s="214"/>
      <c r="F12" s="207">
        <v>3.0499999999999999E-2</v>
      </c>
      <c r="G12" s="205"/>
    </row>
    <row r="13" spans="1:9" s="200" customFormat="1" ht="13.5" hidden="1" customHeight="1">
      <c r="A13" s="213" t="s">
        <v>6</v>
      </c>
      <c r="B13" s="201" t="s">
        <v>1480</v>
      </c>
      <c r="C13" s="197"/>
      <c r="D13" s="204"/>
      <c r="E13" s="204"/>
      <c r="F13" s="204"/>
      <c r="G13" s="205"/>
    </row>
    <row r="14" spans="1:9" s="200" customFormat="1" ht="13.5" hidden="1" customHeight="1">
      <c r="A14" s="213" t="s">
        <v>7</v>
      </c>
      <c r="B14" s="201" t="s">
        <v>1481</v>
      </c>
      <c r="C14" s="197"/>
      <c r="D14" s="204"/>
      <c r="E14" s="204"/>
      <c r="F14" s="204"/>
      <c r="G14" s="205" t="s">
        <v>1482</v>
      </c>
    </row>
    <row r="15" spans="1:9" s="200" customFormat="1" ht="13.5" hidden="1" customHeight="1">
      <c r="A15" s="213" t="s">
        <v>8</v>
      </c>
      <c r="B15" s="201" t="s">
        <v>1483</v>
      </c>
      <c r="C15" s="206"/>
      <c r="D15" s="204"/>
      <c r="E15" s="204"/>
      <c r="F15" s="204"/>
      <c r="G15" s="205" t="s">
        <v>1484</v>
      </c>
    </row>
    <row r="16" spans="1:9" s="200" customFormat="1" ht="13.5" hidden="1" customHeight="1">
      <c r="A16" s="213" t="s">
        <v>9</v>
      </c>
      <c r="B16" s="201" t="s">
        <v>1481</v>
      </c>
      <c r="C16" s="206"/>
      <c r="D16" s="204"/>
      <c r="E16" s="204"/>
      <c r="F16" s="204"/>
      <c r="G16" s="205"/>
    </row>
    <row r="17" spans="1:7" s="200" customFormat="1" ht="13.5" hidden="1" customHeight="1">
      <c r="A17" s="213" t="s">
        <v>10</v>
      </c>
      <c r="B17" s="201" t="s">
        <v>1485</v>
      </c>
      <c r="C17" s="215"/>
      <c r="D17" s="215"/>
      <c r="E17" s="215"/>
      <c r="F17" s="215"/>
      <c r="G17" s="205" t="s">
        <v>1484</v>
      </c>
    </row>
    <row r="18" spans="1:7" s="200" customFormat="1" ht="13.5" hidden="1" customHeight="1">
      <c r="A18" s="213" t="s">
        <v>11</v>
      </c>
      <c r="B18" s="201" t="s">
        <v>1486</v>
      </c>
      <c r="C18" s="206">
        <v>0</v>
      </c>
      <c r="D18" s="204"/>
      <c r="E18" s="204"/>
      <c r="F18" s="207">
        <v>3.0499999999999999E-2</v>
      </c>
      <c r="G18" s="205" t="s">
        <v>1487</v>
      </c>
    </row>
    <row r="19" spans="1:7" s="209" customFormat="1" ht="13.5" customHeight="1">
      <c r="A19" s="241" t="s">
        <v>1488</v>
      </c>
      <c r="B19" s="196" t="s">
        <v>1489</v>
      </c>
      <c r="C19" s="197">
        <f ca="1">IF(G19="已包含在土地取得成本中","0",ROUND(D19*E19/10000,0))</f>
        <v>71</v>
      </c>
      <c r="D19" s="198">
        <f ca="1">D9+D10</f>
        <v>3532.0600000000004</v>
      </c>
      <c r="E19" s="197">
        <f>'数据-取费表'!B31</f>
        <v>200</v>
      </c>
      <c r="F19" s="217"/>
      <c r="G19" s="1691"/>
    </row>
    <row r="20" spans="1:7" s="200" customFormat="1" ht="13.5" customHeight="1">
      <c r="A20" s="241" t="s">
        <v>1490</v>
      </c>
      <c r="B20" s="196" t="s">
        <v>1491</v>
      </c>
      <c r="C20" s="218">
        <f ca="1">ROUND((C5+C19)*F20,0)</f>
        <v>1</v>
      </c>
      <c r="D20" s="218"/>
      <c r="E20" s="218"/>
      <c r="F20" s="219">
        <f>'数据-取费表'!B37</f>
        <v>0.02</v>
      </c>
      <c r="G20" s="220" t="s">
        <v>1492</v>
      </c>
    </row>
    <row r="21" spans="1:7" s="200" customFormat="1" ht="13.5" customHeight="1">
      <c r="A21" s="241" t="s">
        <v>1493</v>
      </c>
      <c r="B21" s="196" t="s">
        <v>1494</v>
      </c>
      <c r="C21" s="221">
        <f>F21</f>
        <v>0.02</v>
      </c>
      <c r="D21" s="222" t="s">
        <v>1495</v>
      </c>
      <c r="E21" s="218"/>
      <c r="F21" s="219">
        <f>'数据-取费表'!B38</f>
        <v>0.02</v>
      </c>
      <c r="G21" s="220" t="s">
        <v>1496</v>
      </c>
    </row>
    <row r="22" spans="1:7" s="200" customFormat="1" ht="13.5" customHeight="1">
      <c r="A22" s="241" t="s">
        <v>1497</v>
      </c>
      <c r="B22" s="196" t="s">
        <v>1498</v>
      </c>
      <c r="C22" s="1019">
        <f ca="1">ROUND(SUM(C23:C25),0)</f>
        <v>4</v>
      </c>
      <c r="D22" s="221">
        <f ca="1">C26</f>
        <v>5.9999999999999995E-4</v>
      </c>
      <c r="E22" s="222" t="s">
        <v>1495</v>
      </c>
      <c r="F22" s="223">
        <f ca="1">'数据-取费表'!B40</f>
        <v>3.1E-2</v>
      </c>
      <c r="G22" s="220" t="str">
        <f>IF('数据-取费表'!B22&lt;=1,"单利计息","复利计息")</f>
        <v>复利计息</v>
      </c>
    </row>
    <row r="23" spans="1:7" s="200" customFormat="1" ht="13.5" customHeight="1">
      <c r="A23" s="716" t="s">
        <v>1499</v>
      </c>
      <c r="B23" s="201" t="s">
        <v>1500</v>
      </c>
      <c r="C23" s="1020">
        <f ca="1">ROUND(IF('数据-取费表'!B22&lt;=1,C5*F22*'数据-取费表'!B23,C5*(POWER((1+F22),'数据-取费表'!B23)-1)),0)</f>
        <v>0</v>
      </c>
      <c r="D23" s="224"/>
      <c r="E23" s="224"/>
      <c r="F23" s="225"/>
      <c r="G23" s="226" t="s">
        <v>1501</v>
      </c>
    </row>
    <row r="24" spans="1:7" s="200" customFormat="1" ht="13.5" customHeight="1">
      <c r="A24" s="716" t="s">
        <v>1502</v>
      </c>
      <c r="B24" s="201" t="s">
        <v>1503</v>
      </c>
      <c r="C24" s="1020">
        <f ca="1">ROUND(IF('数据-取费表'!B22&lt;=1,C19*F22*('数据-取费表'!B19/2+'数据-取费表'!B21),C19*(POWER((1+F22),('数据-取费表'!B19/2+'数据-取费表'!B21))-1)),0)</f>
        <v>4</v>
      </c>
      <c r="D24" s="224"/>
      <c r="E24" s="224"/>
      <c r="F24" s="225"/>
      <c r="G24" s="226" t="s">
        <v>1504</v>
      </c>
    </row>
    <row r="25" spans="1:7" s="200" customFormat="1" ht="24">
      <c r="A25" s="716" t="s">
        <v>1505</v>
      </c>
      <c r="B25" s="201" t="s">
        <v>1506</v>
      </c>
      <c r="C25" s="1020">
        <f ca="1">ROUND(IF('数据-取费表'!B22&lt;=1,C20*F22*'数据-取费表'!B23/2,C20*(POWER((1+F22),'数据-取费表'!B23/2)-1)),0)</f>
        <v>0</v>
      </c>
      <c r="D25" s="224"/>
      <c r="E25" s="227"/>
      <c r="F25" s="225"/>
      <c r="G25" s="228" t="s">
        <v>1507</v>
      </c>
    </row>
    <row r="26" spans="1:7" s="200" customFormat="1">
      <c r="A26" s="716" t="s">
        <v>350</v>
      </c>
      <c r="B26" s="201" t="s">
        <v>1508</v>
      </c>
      <c r="C26" s="224">
        <f ca="1">ROUND(IF('数据-取费表'!B22&lt;=1,F21*F22*'数据-取费表'!B23/2,F21*(POWER((1+F22),'数据-取费表'!B23/2)-1)),4)</f>
        <v>5.9999999999999995E-4</v>
      </c>
      <c r="D26" s="224"/>
      <c r="E26" s="227"/>
      <c r="F26" s="225"/>
      <c r="G26" s="229"/>
    </row>
    <row r="27" spans="1:7" s="200" customFormat="1" ht="24.75">
      <c r="A27" s="241" t="s">
        <v>1509</v>
      </c>
      <c r="B27" s="230" t="s">
        <v>1510</v>
      </c>
      <c r="C27" s="231">
        <f ca="1">C28</f>
        <v>11</v>
      </c>
      <c r="D27" s="221">
        <f ca="1">C29</f>
        <v>3.0000000000000001E-3</v>
      </c>
      <c r="E27" s="222" t="s">
        <v>1511</v>
      </c>
      <c r="F27" s="232">
        <f ca="1">IF(B1="",'数据-取费表'!Q16,INDIRECT("'数据-取费表'!q"&amp;$G$1))</f>
        <v>0.15</v>
      </c>
      <c r="G27" s="233" t="s">
        <v>1512</v>
      </c>
    </row>
    <row r="28" spans="1:7" s="200" customFormat="1" ht="13.5" customHeight="1">
      <c r="A28" s="716" t="s">
        <v>346</v>
      </c>
      <c r="B28" s="234" t="s">
        <v>1513</v>
      </c>
      <c r="C28" s="235">
        <f ca="1">ROUND((C5+C19+C20)*F27*'数据-取费表'!B21/'数据-取费表'!B20,0)</f>
        <v>11</v>
      </c>
      <c r="D28" s="221"/>
      <c r="E28" s="222"/>
      <c r="F28" s="232"/>
      <c r="G28" s="233"/>
    </row>
    <row r="29" spans="1:7" s="200" customFormat="1" ht="13.5" customHeight="1">
      <c r="A29" s="716" t="s">
        <v>347</v>
      </c>
      <c r="B29" s="234" t="s">
        <v>1514</v>
      </c>
      <c r="C29" s="224">
        <f ca="1">ROUND(C21*F27*'数据-取费表'!B21/'数据-取费表'!B20,4)</f>
        <v>3.0000000000000001E-3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94</v>
      </c>
      <c r="D31" s="216"/>
      <c r="E31" s="197"/>
      <c r="F31" s="236"/>
      <c r="G31" s="220" t="s">
        <v>1519</v>
      </c>
    </row>
    <row r="32" spans="1:7" s="194" customFormat="1" ht="15.75">
      <c r="A32" s="238" t="s">
        <v>1520</v>
      </c>
      <c r="B32" s="239"/>
      <c r="C32" s="239"/>
      <c r="D32" s="239"/>
      <c r="E32" s="239"/>
      <c r="F32" s="239"/>
      <c r="G32" s="240"/>
    </row>
    <row r="33" spans="1:7" s="200" customFormat="1" ht="13.5" customHeight="1">
      <c r="A33" s="241" t="s">
        <v>337</v>
      </c>
      <c r="B33" s="196" t="s">
        <v>1521</v>
      </c>
      <c r="C33" s="242">
        <f ca="1">SUM(C34:C38)</f>
        <v>1773</v>
      </c>
      <c r="D33" s="218"/>
      <c r="E33" s="198"/>
      <c r="F33" s="227"/>
      <c r="G33" s="220"/>
    </row>
    <row r="34" spans="1:7" s="244" customFormat="1" ht="13.5" customHeight="1">
      <c r="A34" s="716" t="s">
        <v>346</v>
      </c>
      <c r="B34" s="201" t="s">
        <v>1522</v>
      </c>
      <c r="C34" s="206">
        <f ca="1">IF(B1="",IF(F34=100%,'数据-取费表'!M16,'数据-取费表'!O16),IF(F34=100%,INDIRECT("'数据-取费表'!m"&amp;$G$1)+INDIRECT("'数据-取费表'!t"&amp;$G$1),INDIRECT("'数据-取费表'!o"&amp;$G$1)+INDIRECT("'数据-取费表'!aq"&amp;$G$1)))</f>
        <v>1590</v>
      </c>
      <c r="D34" s="203"/>
      <c r="E34" s="206"/>
      <c r="F34" s="243">
        <f ca="1">IF('数据-取费表'!B24=0,1,IF(B1="",'数据-取费表'!N16,INDIRECT("'数据-取费表'!n"&amp;$G$1)))</f>
        <v>1</v>
      </c>
      <c r="G34" s="205" t="s">
        <v>1523</v>
      </c>
    </row>
    <row r="35" spans="1:7" ht="13.5" customHeight="1">
      <c r="A35" s="716" t="s">
        <v>351</v>
      </c>
      <c r="B35" s="201" t="s">
        <v>1524</v>
      </c>
      <c r="C35" s="206">
        <f ca="1">ROUND(C34*F35,0)</f>
        <v>80</v>
      </c>
      <c r="D35" s="206"/>
      <c r="E35" s="206"/>
      <c r="F35" s="245">
        <f>'数据-取费表'!B33</f>
        <v>0.05</v>
      </c>
      <c r="G35" s="205" t="s">
        <v>1525</v>
      </c>
    </row>
    <row r="36" spans="1:7" ht="24">
      <c r="A36" s="716" t="s">
        <v>352</v>
      </c>
      <c r="B36" s="201" t="s">
        <v>1526</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1527</v>
      </c>
    </row>
    <row r="37" spans="1:7" s="244" customFormat="1" ht="13.5" customHeight="1">
      <c r="A37" s="716" t="s">
        <v>353</v>
      </c>
      <c r="B37" s="201" t="s">
        <v>1528</v>
      </c>
      <c r="C37" s="235">
        <f ca="1">ROUND(E37*D37*F34/10000,0)</f>
        <v>71</v>
      </c>
      <c r="D37" s="203">
        <f ca="1">D19</f>
        <v>3532.0600000000004</v>
      </c>
      <c r="E37" s="235">
        <f>'数据-取费表'!B35</f>
        <v>200</v>
      </c>
      <c r="F37" s="245"/>
      <c r="G37" s="247" t="s">
        <v>1529</v>
      </c>
    </row>
    <row r="38" spans="1:7" ht="13.5" customHeight="1">
      <c r="A38" s="716" t="s">
        <v>354</v>
      </c>
      <c r="B38" s="201" t="s">
        <v>1530</v>
      </c>
      <c r="C38" s="206">
        <f ca="1">ROUND(C34*F38,0)</f>
        <v>32</v>
      </c>
      <c r="D38" s="206"/>
      <c r="E38" s="206"/>
      <c r="F38" s="245">
        <f>'数据-取费表'!B36</f>
        <v>0.02</v>
      </c>
      <c r="G38" s="205" t="s">
        <v>1525</v>
      </c>
    </row>
    <row r="39" spans="1:7" s="200" customFormat="1" ht="13.5" customHeight="1">
      <c r="A39" s="241" t="s">
        <v>1531</v>
      </c>
      <c r="B39" s="196" t="s">
        <v>1532</v>
      </c>
      <c r="C39" s="218">
        <f ca="1">ROUND(C33*F20,0)</f>
        <v>35</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56</v>
      </c>
      <c r="D41" s="221">
        <f ca="1">C44</f>
        <v>5.9999999999999995E-4</v>
      </c>
      <c r="E41" s="222" t="s">
        <v>1536</v>
      </c>
      <c r="F41" s="223">
        <f ca="1">F22</f>
        <v>3.1E-2</v>
      </c>
      <c r="G41" s="220" t="str">
        <f>IF('数据-取费表'!B22&lt;=1,"单利计息","复利计息")</f>
        <v>复利计息</v>
      </c>
    </row>
    <row r="42" spans="1:7" ht="13.5" customHeight="1">
      <c r="A42" s="716" t="s">
        <v>346</v>
      </c>
      <c r="B42" s="201" t="s">
        <v>1540</v>
      </c>
      <c r="C42" s="224">
        <f ca="1">ROUND(IF('数据-取费表'!B22&lt;=1,C33*F22*'数据-取费表'!B21/2,C33*(POWER((1+F22),'数据-取费表'!B21/2)-1)),0)</f>
        <v>55</v>
      </c>
      <c r="D42" s="224"/>
      <c r="E42" s="224"/>
      <c r="F42" s="225"/>
      <c r="G42" s="3336" t="s">
        <v>1541</v>
      </c>
    </row>
    <row r="43" spans="1:7" ht="13.5" customHeight="1">
      <c r="A43" s="716" t="s">
        <v>347</v>
      </c>
      <c r="B43" s="201" t="s">
        <v>1542</v>
      </c>
      <c r="C43" s="224">
        <f ca="1">ROUND(IF('数据-取费表'!B22&lt;=1,C39*F22*'数据-取费表'!B21/2,C39*(POWER((1+F22),'数据-取费表'!B21/2)-1)),0)</f>
        <v>1</v>
      </c>
      <c r="D43" s="224"/>
      <c r="E43" s="224"/>
      <c r="F43" s="225"/>
      <c r="G43" s="3337"/>
    </row>
    <row r="44" spans="1:7" ht="13.5" customHeight="1">
      <c r="A44" s="716" t="s">
        <v>348</v>
      </c>
      <c r="B44" s="201" t="s">
        <v>1543</v>
      </c>
      <c r="C44" s="224">
        <f ca="1">ROUND(IF('数据-取费表'!B22&lt;=1,C40*F22*'数据-取费表'!B21/2,C40*(POWER((1+F22),'数据-取费表'!B21/2)-1)),4)</f>
        <v>5.9999999999999995E-4</v>
      </c>
      <c r="D44" s="224"/>
      <c r="E44" s="224"/>
      <c r="F44" s="225"/>
      <c r="G44" s="3338"/>
    </row>
    <row r="45" spans="1:7" s="200" customFormat="1" ht="13.5" customHeight="1">
      <c r="A45" s="241" t="s">
        <v>1544</v>
      </c>
      <c r="B45" s="230" t="s">
        <v>1510</v>
      </c>
      <c r="C45" s="231">
        <f ca="1">C46</f>
        <v>271</v>
      </c>
      <c r="D45" s="221">
        <f ca="1">C47</f>
        <v>3.0000000000000001E-3</v>
      </c>
      <c r="E45" s="222" t="s">
        <v>1536</v>
      </c>
      <c r="F45" s="232">
        <f ca="1">F27</f>
        <v>0.15</v>
      </c>
      <c r="G45" s="233" t="s">
        <v>1545</v>
      </c>
    </row>
    <row r="46" spans="1:7" s="200" customFormat="1" ht="13.5" customHeight="1">
      <c r="A46" s="716" t="s">
        <v>346</v>
      </c>
      <c r="B46" s="234" t="s">
        <v>1546</v>
      </c>
      <c r="C46" s="235">
        <f ca="1">ROUND((C33+C39)*F27,0)</f>
        <v>271</v>
      </c>
      <c r="D46" s="249"/>
      <c r="E46" s="222"/>
      <c r="F46" s="232"/>
      <c r="G46" s="233"/>
    </row>
    <row r="47" spans="1:7" s="200" customFormat="1" ht="13.5" customHeight="1">
      <c r="A47" s="716" t="s">
        <v>347</v>
      </c>
      <c r="B47" s="234" t="s">
        <v>1547</v>
      </c>
      <c r="C47" s="224">
        <f ca="1">ROUND(C40*F27,4)</f>
        <v>3.0000000000000001E-3</v>
      </c>
      <c r="D47" s="249"/>
      <c r="E47" s="222"/>
      <c r="F47" s="232"/>
      <c r="G47" s="233"/>
    </row>
    <row r="48" spans="1:7" s="200" customFormat="1" ht="13.5" customHeight="1">
      <c r="A48" s="241" t="s">
        <v>1509</v>
      </c>
      <c r="B48" s="196" t="s">
        <v>1548</v>
      </c>
      <c r="C48" s="221">
        <f>ROUND(F30/(1+'数据-取费表'!C42),4)</f>
        <v>5.33E-2</v>
      </c>
      <c r="D48" s="222" t="s">
        <v>1536</v>
      </c>
      <c r="E48" s="218"/>
      <c r="F48" s="223">
        <f>F30</f>
        <v>5.6000000000000001E-2</v>
      </c>
      <c r="G48" s="220" t="s">
        <v>1549</v>
      </c>
    </row>
    <row r="49" spans="1:7" ht="16.5" customHeight="1">
      <c r="A49" s="241" t="s">
        <v>1515</v>
      </c>
      <c r="B49" s="196" t="s">
        <v>1550</v>
      </c>
      <c r="C49" s="218">
        <f ca="1">ROUND((C33+C39+C41+C45)/(1-C40-D41-D45-C48),0)</f>
        <v>2313</v>
      </c>
      <c r="D49" s="218"/>
      <c r="E49" s="218"/>
      <c r="F49" s="250"/>
      <c r="G49" s="220" t="s">
        <v>1551</v>
      </c>
    </row>
    <row r="50" spans="1:7" s="244" customFormat="1" ht="24">
      <c r="A50" s="241" t="s">
        <v>1552</v>
      </c>
      <c r="B50" s="196" t="s">
        <v>1553</v>
      </c>
      <c r="C50" s="218"/>
      <c r="D50" s="218"/>
      <c r="E50" s="218"/>
      <c r="F50" s="250">
        <f>IF('数据-取费表'!B24=0,'数据-取费表'!N16,1)</f>
        <v>0.97</v>
      </c>
      <c r="G50" s="233" t="s">
        <v>1554</v>
      </c>
    </row>
    <row r="51" spans="1:7" ht="16.5" customHeight="1">
      <c r="A51" s="241" t="s">
        <v>1555</v>
      </c>
      <c r="B51" s="196" t="s">
        <v>1556</v>
      </c>
      <c r="C51" s="218">
        <f ca="1">ROUND(C49*F50,0)</f>
        <v>2244</v>
      </c>
      <c r="D51" s="218"/>
      <c r="E51" s="218"/>
      <c r="F51" s="250"/>
      <c r="G51" s="220" t="s">
        <v>1557</v>
      </c>
    </row>
    <row r="52" spans="1:7" s="194" customFormat="1" ht="16.5" thickBot="1">
      <c r="A52" s="251" t="s">
        <v>1558</v>
      </c>
      <c r="B52" s="252"/>
      <c r="C52" s="253">
        <f ca="1">C31+C51</f>
        <v>2338</v>
      </c>
      <c r="D52" s="252"/>
      <c r="E52" s="252"/>
      <c r="F52" s="252"/>
      <c r="G52" s="254"/>
    </row>
    <row r="55" spans="1:7" ht="15">
      <c r="B55" s="256" t="s">
        <v>1559</v>
      </c>
      <c r="C55" s="257"/>
    </row>
    <row r="56" spans="1:7">
      <c r="B56" s="259" t="s">
        <v>799</v>
      </c>
      <c r="C56" s="261">
        <f ca="1">1-C57</f>
        <v>4.0000000000000036E-2</v>
      </c>
    </row>
    <row r="57" spans="1:7">
      <c r="B57" s="259" t="s">
        <v>800</v>
      </c>
      <c r="C57" s="260">
        <f ca="1">ROUND(C51/C52,3)</f>
        <v>0.96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1458</v>
      </c>
      <c r="B1" s="1352"/>
      <c r="C1" s="1694" t="s">
        <v>1560</v>
      </c>
      <c r="D1" s="184"/>
      <c r="E1" s="184"/>
      <c r="F1" s="184"/>
      <c r="G1" s="1040">
        <f>MATCH(B1,'数据-取费表'!A6:A16,0)+5</f>
        <v>9</v>
      </c>
      <c r="H1" s="977" t="str">
        <f>IF(ISERROR(FIND("住宅",B1)),"非住宅","住宅")</f>
        <v>非住宅</v>
      </c>
    </row>
    <row r="2" spans="1:8" s="186" customFormat="1" ht="18" customHeight="1">
      <c r="A2" s="187" t="s">
        <v>1459</v>
      </c>
      <c r="B2" s="3095">
        <f ca="1">ROUND(IF(D2="——",C52/10000,C52/10000-E2),4)</f>
        <v>2426.7179999999998</v>
      </c>
      <c r="C2" s="185" t="s">
        <v>1460</v>
      </c>
      <c r="D2" s="1688" t="s">
        <v>43</v>
      </c>
      <c r="E2" s="1067" t="e">
        <f ca="1">SUMIF(INDIRECT("'"&amp;G2&amp;"'"&amp;"!A:A"),"承租人权益价值",INDIRECT("'"&amp;G2&amp;"'"&amp;"!c:c"))</f>
        <v>#REF!</v>
      </c>
      <c r="F2" s="1689" t="s">
        <v>1460</v>
      </c>
      <c r="G2" s="1690"/>
    </row>
    <row r="3" spans="1:8" s="186" customFormat="1" ht="18" customHeight="1" thickBot="1">
      <c r="A3" s="189" t="s">
        <v>1461</v>
      </c>
      <c r="B3" s="190">
        <f ca="1">ROUND(B2*10000/(IF(B1="",'数据-汇总表'!E3,INDIRECT("'数据-取费表'!k"&amp;$G$1))),0)</f>
        <v>6871</v>
      </c>
      <c r="C3" s="185" t="s">
        <v>1462</v>
      </c>
      <c r="D3" s="185"/>
      <c r="E3" s="185"/>
      <c r="F3" s="185"/>
      <c r="G3" s="185"/>
    </row>
    <row r="4" spans="1:8" s="194" customFormat="1" ht="15.75">
      <c r="A4" s="191" t="s">
        <v>1463</v>
      </c>
      <c r="B4" s="192"/>
      <c r="C4" s="192"/>
      <c r="D4" s="192"/>
      <c r="E4" s="192"/>
      <c r="F4" s="192"/>
      <c r="G4" s="193"/>
    </row>
    <row r="5" spans="1:8" s="200" customFormat="1" ht="13.5" customHeight="1">
      <c r="A5" s="241" t="s">
        <v>1464</v>
      </c>
      <c r="B5" s="196" t="s">
        <v>1465</v>
      </c>
      <c r="C5" s="197">
        <f ca="1">C6+C7+C8</f>
        <v>671091</v>
      </c>
      <c r="D5" s="197" t="s">
        <v>1466</v>
      </c>
      <c r="E5" s="198" t="s">
        <v>1467</v>
      </c>
      <c r="F5" s="198" t="s">
        <v>1468</v>
      </c>
      <c r="G5" s="199"/>
    </row>
    <row r="6" spans="1:8" s="200" customFormat="1" ht="13.5" customHeight="1">
      <c r="A6" s="714" t="s">
        <v>1469</v>
      </c>
      <c r="B6" s="201" t="s">
        <v>1470</v>
      </c>
      <c r="C6" s="202"/>
      <c r="D6" s="203"/>
      <c r="E6" s="204"/>
      <c r="F6" s="204"/>
      <c r="G6" s="205"/>
    </row>
    <row r="7" spans="1:8" s="200" customFormat="1" ht="13.5" customHeight="1">
      <c r="A7" s="714" t="s">
        <v>1471</v>
      </c>
      <c r="B7" s="201" t="s">
        <v>1472</v>
      </c>
      <c r="C7" s="206">
        <f>ROUND(C6*F7,0)</f>
        <v>0</v>
      </c>
      <c r="D7" s="206"/>
      <c r="E7" s="204"/>
      <c r="F7" s="207">
        <f>IF(项目基本情况!B8="出让",0,'数据-取费表'!B48+'数据-取费表'!B49)</f>
        <v>3.0499999999999999E-2</v>
      </c>
      <c r="G7" s="205"/>
    </row>
    <row r="8" spans="1:8" s="209" customFormat="1">
      <c r="A8" s="714" t="s">
        <v>1473</v>
      </c>
      <c r="B8" s="201" t="s">
        <v>1474</v>
      </c>
      <c r="C8" s="206">
        <f ca="1">IF(G8="已包含在土地购买价格中",0,C9+C10)</f>
        <v>671091</v>
      </c>
      <c r="D8" s="208"/>
      <c r="E8" s="206"/>
      <c r="F8" s="207"/>
      <c r="G8" s="1691"/>
    </row>
    <row r="9" spans="1:8" s="200" customFormat="1" ht="13.5" customHeight="1">
      <c r="A9" s="715" t="s">
        <v>355</v>
      </c>
      <c r="B9" s="210" t="s">
        <v>1475</v>
      </c>
      <c r="C9" s="211">
        <f ca="1">ROUND(D9*E9,0)</f>
        <v>0</v>
      </c>
      <c r="D9" s="777">
        <f ca="1">IF(B1="",'数据-汇总表'!E5,IF(INDIRECT("'数据-取费表'!c"&amp;$G$1)="住宅",INDIRECT("'数据-取费表'!k"&amp;$G$1),0))</f>
        <v>0</v>
      </c>
      <c r="E9" s="211">
        <f>'数据-取费表'!B27</f>
        <v>150</v>
      </c>
      <c r="F9" s="207"/>
      <c r="G9" s="212"/>
    </row>
    <row r="10" spans="1:8" s="200" customFormat="1" ht="13.5" customHeight="1">
      <c r="A10" s="715" t="s">
        <v>356</v>
      </c>
      <c r="B10" s="210" t="s">
        <v>1477</v>
      </c>
      <c r="C10" s="211">
        <f ca="1">ROUND(D10*E10,0)</f>
        <v>671091</v>
      </c>
      <c r="D10" s="777">
        <f ca="1">IF(B1="",'数据-汇总表'!E6,IF(INDIRECT("'数据-取费表'!c"&amp;$G$1)="住宅",INDIRECT("'数据-取费表'!s"&amp;$G$1),INDIRECT("'数据-取费表'!k"&amp;$G$1)+INDIRECT("'数据-取费表'!s"&amp;$G$1)))</f>
        <v>3532.0600000000004</v>
      </c>
      <c r="E10" s="211">
        <f>'数据-取费表'!B28</f>
        <v>190</v>
      </c>
      <c r="F10" s="207"/>
      <c r="G10" s="212"/>
    </row>
    <row r="11" spans="1:8" s="200" customFormat="1" ht="13.5" hidden="1" customHeight="1">
      <c r="A11" s="213" t="s">
        <v>4</v>
      </c>
      <c r="B11" s="201" t="s">
        <v>1478</v>
      </c>
      <c r="C11" s="197"/>
      <c r="D11" s="204"/>
      <c r="E11" s="204"/>
      <c r="F11" s="204"/>
      <c r="G11" s="205"/>
    </row>
    <row r="12" spans="1:8" s="200" customFormat="1" ht="13.5" hidden="1" customHeight="1">
      <c r="A12" s="213" t="s">
        <v>5</v>
      </c>
      <c r="B12" s="201" t="s">
        <v>1561</v>
      </c>
      <c r="C12" s="197">
        <v>0</v>
      </c>
      <c r="D12" s="204"/>
      <c r="E12" s="214"/>
      <c r="F12" s="207">
        <v>3.0499999999999999E-2</v>
      </c>
      <c r="G12" s="205"/>
    </row>
    <row r="13" spans="1:8" s="200" customFormat="1" ht="13.5" hidden="1" customHeight="1">
      <c r="A13" s="213" t="s">
        <v>6</v>
      </c>
      <c r="B13" s="201" t="s">
        <v>1562</v>
      </c>
      <c r="C13" s="197"/>
      <c r="D13" s="204"/>
      <c r="E13" s="204"/>
      <c r="F13" s="204"/>
      <c r="G13" s="205"/>
    </row>
    <row r="14" spans="1:8" s="200" customFormat="1" ht="13.5" hidden="1" customHeight="1">
      <c r="A14" s="213" t="s">
        <v>7</v>
      </c>
      <c r="B14" s="201" t="s">
        <v>1474</v>
      </c>
      <c r="C14" s="197"/>
      <c r="D14" s="204"/>
      <c r="E14" s="204"/>
      <c r="F14" s="204"/>
      <c r="G14" s="205" t="s">
        <v>1563</v>
      </c>
    </row>
    <row r="15" spans="1:8" s="200" customFormat="1" ht="13.5" hidden="1" customHeight="1">
      <c r="A15" s="213" t="s">
        <v>8</v>
      </c>
      <c r="B15" s="201" t="s">
        <v>1564</v>
      </c>
      <c r="C15" s="206"/>
      <c r="D15" s="204"/>
      <c r="E15" s="204"/>
      <c r="F15" s="204"/>
      <c r="G15" s="205" t="s">
        <v>1565</v>
      </c>
    </row>
    <row r="16" spans="1:8" s="200" customFormat="1" ht="13.5" hidden="1" customHeight="1">
      <c r="A16" s="213" t="s">
        <v>9</v>
      </c>
      <c r="B16" s="201" t="s">
        <v>1474</v>
      </c>
      <c r="C16" s="206"/>
      <c r="D16" s="204"/>
      <c r="E16" s="204"/>
      <c r="F16" s="204"/>
      <c r="G16" s="205"/>
    </row>
    <row r="17" spans="1:7" s="200" customFormat="1" ht="13.5" hidden="1" customHeight="1">
      <c r="A17" s="213" t="s">
        <v>10</v>
      </c>
      <c r="B17" s="201" t="s">
        <v>1566</v>
      </c>
      <c r="C17" s="215"/>
      <c r="D17" s="215"/>
      <c r="E17" s="215"/>
      <c r="F17" s="215"/>
      <c r="G17" s="205" t="s">
        <v>1565</v>
      </c>
    </row>
    <row r="18" spans="1:7" s="200" customFormat="1" ht="13.5" hidden="1" customHeight="1">
      <c r="A18" s="213" t="s">
        <v>11</v>
      </c>
      <c r="B18" s="201" t="s">
        <v>1567</v>
      </c>
      <c r="C18" s="206">
        <v>0</v>
      </c>
      <c r="D18" s="204"/>
      <c r="E18" s="204"/>
      <c r="F18" s="207">
        <v>3.0499999999999999E-2</v>
      </c>
      <c r="G18" s="205" t="s">
        <v>1568</v>
      </c>
    </row>
    <row r="19" spans="1:7" s="209" customFormat="1" ht="13.5" customHeight="1">
      <c r="A19" s="241" t="s">
        <v>1569</v>
      </c>
      <c r="B19" s="196" t="s">
        <v>1570</v>
      </c>
      <c r="C19" s="197">
        <f ca="1">IF(G19="已包含在土地取得成本中","0",ROUND(D19*E19,0))</f>
        <v>706412</v>
      </c>
      <c r="D19" s="198">
        <f ca="1">D9+D10</f>
        <v>3532.0600000000004</v>
      </c>
      <c r="E19" s="197">
        <f>'数据-取费表'!B31</f>
        <v>200</v>
      </c>
      <c r="F19" s="217"/>
      <c r="G19" s="1691"/>
    </row>
    <row r="20" spans="1:7" s="200" customFormat="1" ht="13.5" customHeight="1">
      <c r="A20" s="241" t="s">
        <v>1571</v>
      </c>
      <c r="B20" s="196" t="s">
        <v>1572</v>
      </c>
      <c r="C20" s="218">
        <f ca="1">ROUND((C5+C19)*F20,0)</f>
        <v>27550</v>
      </c>
      <c r="D20" s="218"/>
      <c r="E20" s="218"/>
      <c r="F20" s="219">
        <f>'数据-取费表'!B37</f>
        <v>0.02</v>
      </c>
      <c r="G20" s="220" t="s">
        <v>1573</v>
      </c>
    </row>
    <row r="21" spans="1:7" s="200" customFormat="1" ht="13.5" customHeight="1">
      <c r="A21" s="241" t="s">
        <v>1574</v>
      </c>
      <c r="B21" s="196" t="s">
        <v>1575</v>
      </c>
      <c r="C21" s="221">
        <f>F21</f>
        <v>0.02</v>
      </c>
      <c r="D21" s="222" t="s">
        <v>1576</v>
      </c>
      <c r="E21" s="218"/>
      <c r="F21" s="219">
        <f>'数据-取费表'!B38</f>
        <v>0.02</v>
      </c>
      <c r="G21" s="220" t="s">
        <v>1577</v>
      </c>
    </row>
    <row r="22" spans="1:7" s="200" customFormat="1" ht="13.5" customHeight="1">
      <c r="A22" s="241" t="s">
        <v>1578</v>
      </c>
      <c r="B22" s="196" t="s">
        <v>1579</v>
      </c>
      <c r="C22" s="218">
        <f ca="1">ROUND(SUM(C23:C25),0)</f>
        <v>87583</v>
      </c>
      <c r="D22" s="221">
        <f ca="1">C26</f>
        <v>5.9999999999999995E-4</v>
      </c>
      <c r="E22" s="222" t="s">
        <v>1576</v>
      </c>
      <c r="F22" s="223">
        <f ca="1">'数据-取费表'!B40</f>
        <v>3.1E-2</v>
      </c>
      <c r="G22" s="220" t="str">
        <f>IF('数据-取费表'!B22&lt;=1,"单利计息","复利计息")</f>
        <v>复利计息</v>
      </c>
    </row>
    <row r="23" spans="1:7" s="200" customFormat="1" ht="13.5" customHeight="1">
      <c r="A23" s="716" t="s">
        <v>1469</v>
      </c>
      <c r="B23" s="201" t="s">
        <v>1580</v>
      </c>
      <c r="C23" s="224">
        <f ca="1">ROUND(IF('数据-取费表'!B22&lt;=1,C5*F22*'数据-取费表'!B22,C5*(POWER((1+F22),'数据-取费表'!B22)-1)),0)</f>
        <v>42253</v>
      </c>
      <c r="D23" s="224"/>
      <c r="E23" s="224"/>
      <c r="F23" s="225"/>
      <c r="G23" s="226" t="s">
        <v>1581</v>
      </c>
    </row>
    <row r="24" spans="1:7" s="200" customFormat="1" ht="13.5" customHeight="1">
      <c r="A24" s="716" t="s">
        <v>1471</v>
      </c>
      <c r="B24" s="201" t="s">
        <v>1582</v>
      </c>
      <c r="C24" s="224">
        <f ca="1">ROUND(IF('数据-取费表'!B22&lt;=1,C19*F22*('数据-取费表'!B19/2+'数据-取费表'!B20),C19*(POWER((1+F22),('数据-取费表'!B19/2+'数据-取费表'!B20))-1)),0)</f>
        <v>44476</v>
      </c>
      <c r="D24" s="224"/>
      <c r="E24" s="224"/>
      <c r="F24" s="225"/>
      <c r="G24" s="226" t="s">
        <v>1583</v>
      </c>
    </row>
    <row r="25" spans="1:7" s="200" customFormat="1" ht="24">
      <c r="A25" s="716" t="s">
        <v>1473</v>
      </c>
      <c r="B25" s="201" t="s">
        <v>1584</v>
      </c>
      <c r="C25" s="224">
        <f ca="1">ROUND(IF('数据-取费表'!B22&lt;=1,C20*F22*'数据-取费表'!B22/2,C20*(POWER((1+F22),'数据-取费表'!B22/2)-1)),0)</f>
        <v>854</v>
      </c>
      <c r="D25" s="224"/>
      <c r="E25" s="227"/>
      <c r="F25" s="225"/>
      <c r="G25" s="228" t="s">
        <v>1585</v>
      </c>
    </row>
    <row r="26" spans="1:7" s="200" customFormat="1">
      <c r="A26" s="716" t="s">
        <v>350</v>
      </c>
      <c r="B26" s="201" t="s">
        <v>1508</v>
      </c>
      <c r="C26" s="224">
        <f ca="1">ROUND(IF('数据-取费表'!B22&lt;=1,F21*F22*'数据-取费表'!B22/2,F21*(POWER((1+F22),'数据-取费表'!B22/2)-1)),4)</f>
        <v>5.9999999999999995E-4</v>
      </c>
      <c r="D26" s="224"/>
      <c r="E26" s="227"/>
      <c r="F26" s="225"/>
      <c r="G26" s="229"/>
    </row>
    <row r="27" spans="1:7" s="200" customFormat="1" ht="24.75">
      <c r="A27" s="241" t="s">
        <v>1509</v>
      </c>
      <c r="B27" s="230" t="s">
        <v>1510</v>
      </c>
      <c r="C27" s="231">
        <f ca="1">C28</f>
        <v>210758</v>
      </c>
      <c r="D27" s="221">
        <f ca="1">C29</f>
        <v>3.0000000000000001E-3</v>
      </c>
      <c r="E27" s="222" t="s">
        <v>1511</v>
      </c>
      <c r="F27" s="232">
        <f ca="1">IF(B1="",'数据-取费表'!Q16,INDIRECT("'数据-取费表'!q"&amp;$G$1))</f>
        <v>0.15</v>
      </c>
      <c r="G27" s="233" t="s">
        <v>1512</v>
      </c>
    </row>
    <row r="28" spans="1:7" s="200" customFormat="1" ht="13.5" customHeight="1">
      <c r="A28" s="716" t="s">
        <v>346</v>
      </c>
      <c r="B28" s="234" t="s">
        <v>1513</v>
      </c>
      <c r="C28" s="235">
        <f ca="1">ROUND((C5+C19+C20)*F27,0)</f>
        <v>210758</v>
      </c>
      <c r="D28" s="221"/>
      <c r="E28" s="222"/>
      <c r="F28" s="232"/>
      <c r="G28" s="233"/>
    </row>
    <row r="29" spans="1:7" s="200" customFormat="1" ht="13.5" customHeight="1">
      <c r="A29" s="716" t="s">
        <v>347</v>
      </c>
      <c r="B29" s="234" t="s">
        <v>1514</v>
      </c>
      <c r="C29" s="224">
        <f ca="1">ROUND(C21*F27,4)</f>
        <v>3.0000000000000001E-3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1845297</v>
      </c>
      <c r="D31" s="216"/>
      <c r="E31" s="197"/>
      <c r="F31" s="236"/>
      <c r="G31" s="220" t="s">
        <v>1519</v>
      </c>
    </row>
    <row r="32" spans="1:7" s="194" customFormat="1" ht="15.75">
      <c r="A32" s="238" t="s">
        <v>1586</v>
      </c>
      <c r="B32" s="239"/>
      <c r="C32" s="239"/>
      <c r="D32" s="239"/>
      <c r="E32" s="239"/>
      <c r="F32" s="239"/>
      <c r="G32" s="240"/>
    </row>
    <row r="33" spans="1:7" s="200" customFormat="1" ht="13.5" customHeight="1">
      <c r="A33" s="241" t="s">
        <v>337</v>
      </c>
      <c r="B33" s="196" t="s">
        <v>1587</v>
      </c>
      <c r="C33" s="242">
        <f ca="1">SUM(C34:C38)</f>
        <v>17713281</v>
      </c>
      <c r="D33" s="218"/>
      <c r="E33" s="198"/>
      <c r="F33" s="227"/>
      <c r="G33" s="220"/>
    </row>
    <row r="34" spans="1:7" s="244" customFormat="1" ht="13.5" customHeight="1">
      <c r="A34" s="716" t="s">
        <v>346</v>
      </c>
      <c r="B34" s="201" t="s">
        <v>1522</v>
      </c>
      <c r="C34" s="206">
        <f ca="1">ROUND(IF(B1="",SUMPRODUCT('数据-取费表'!K6:K14,'数据-取费表'!L6:L14),INDIRECT("'数据-取费表'!l"&amp;$G$1)*INDIRECT("'数据-取费表'!k"&amp;$G$1)+'数据-取费表'!L14*INDIRECT("'数据-取费表'!S"&amp;$G$1)),0)</f>
        <v>15894270</v>
      </c>
      <c r="D34" s="203"/>
      <c r="E34" s="206"/>
      <c r="F34" s="243"/>
      <c r="G34" s="205"/>
    </row>
    <row r="35" spans="1:7" ht="13.5" customHeight="1">
      <c r="A35" s="716" t="s">
        <v>351</v>
      </c>
      <c r="B35" s="201" t="s">
        <v>1524</v>
      </c>
      <c r="C35" s="206">
        <f ca="1">ROUND(C34*F35,0)</f>
        <v>794714</v>
      </c>
      <c r="D35" s="206"/>
      <c r="E35" s="206"/>
      <c r="F35" s="245">
        <f>'数据-取费表'!B33</f>
        <v>0.05</v>
      </c>
      <c r="G35" s="205" t="s">
        <v>1525</v>
      </c>
    </row>
    <row r="36" spans="1:7" ht="24">
      <c r="A36" s="716" t="s">
        <v>352</v>
      </c>
      <c r="B36" s="201" t="s">
        <v>1526</v>
      </c>
      <c r="C36" s="206">
        <f ca="1">ROUND(IF(B1="",SUM('数据-取费表'!AP6:AP13)*F36,IF(INDIRECT("'数据-取费表'!c"&amp;$G$1)="住宅",INDIRECT("'数据-取费表'!k"&amp;$G$1)*INDIRECT("'数据-取费表'!l"&amp;$G$1)*F36,0)),0)</f>
        <v>0</v>
      </c>
      <c r="D36" s="206"/>
      <c r="E36" s="206"/>
      <c r="F36" s="245">
        <f>'数据-取费表'!B34</f>
        <v>0</v>
      </c>
      <c r="G36" s="246" t="s">
        <v>1527</v>
      </c>
    </row>
    <row r="37" spans="1:7" s="244" customFormat="1" ht="13.5" customHeight="1">
      <c r="A37" s="716" t="s">
        <v>353</v>
      </c>
      <c r="B37" s="201" t="s">
        <v>1528</v>
      </c>
      <c r="C37" s="235">
        <f ca="1">ROUND(E37*D37,0)</f>
        <v>706412</v>
      </c>
      <c r="D37" s="203">
        <f ca="1">D19</f>
        <v>3532.0600000000004</v>
      </c>
      <c r="E37" s="235">
        <f>'数据-取费表'!B35</f>
        <v>200</v>
      </c>
      <c r="F37" s="245"/>
      <c r="G37" s="247"/>
    </row>
    <row r="38" spans="1:7" ht="13.5" customHeight="1">
      <c r="A38" s="716" t="s">
        <v>354</v>
      </c>
      <c r="B38" s="201" t="s">
        <v>1530</v>
      </c>
      <c r="C38" s="206">
        <f ca="1">ROUND(C34*F38,0)</f>
        <v>317885</v>
      </c>
      <c r="D38" s="206"/>
      <c r="E38" s="206"/>
      <c r="F38" s="245">
        <f>'数据-取费表'!B36</f>
        <v>0.02</v>
      </c>
      <c r="G38" s="205" t="s">
        <v>1525</v>
      </c>
    </row>
    <row r="39" spans="1:7" s="200" customFormat="1" ht="13.5" customHeight="1">
      <c r="A39" s="241" t="s">
        <v>1531</v>
      </c>
      <c r="B39" s="196" t="s">
        <v>1532</v>
      </c>
      <c r="C39" s="218">
        <f ca="1">ROUND(C33*F20,0)</f>
        <v>354266</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560094</v>
      </c>
      <c r="D41" s="221">
        <f ca="1">C44</f>
        <v>5.9999999999999995E-4</v>
      </c>
      <c r="E41" s="222" t="s">
        <v>1536</v>
      </c>
      <c r="F41" s="223">
        <f ca="1">F22</f>
        <v>3.1E-2</v>
      </c>
      <c r="G41" s="220" t="str">
        <f>IF('数据-取费表'!B22&lt;=1,"单利计息","复利计息")</f>
        <v>复利计息</v>
      </c>
    </row>
    <row r="42" spans="1:7" ht="13.5" customHeight="1">
      <c r="A42" s="716" t="s">
        <v>346</v>
      </c>
      <c r="B42" s="201" t="s">
        <v>1540</v>
      </c>
      <c r="C42" s="224">
        <f ca="1">ROUND(IF('数据-取费表'!B22&lt;=1,C33*F22*'数据-取费表'!B20/2,C33*(POWER((1+F22),'数据-取费表'!B20/2)-1)),0)</f>
        <v>549112</v>
      </c>
      <c r="D42" s="224"/>
      <c r="E42" s="224"/>
      <c r="F42" s="225"/>
      <c r="G42" s="3336" t="s">
        <v>1588</v>
      </c>
    </row>
    <row r="43" spans="1:7" ht="13.5" customHeight="1">
      <c r="A43" s="716" t="s">
        <v>347</v>
      </c>
      <c r="B43" s="201" t="s">
        <v>1542</v>
      </c>
      <c r="C43" s="224">
        <f ca="1">ROUND(IF('数据-取费表'!B22&lt;=1,C39*F22*'数据-取费表'!B20/2,C39*(POWER((1+F22),'数据-取费表'!B20/2)-1)),0)</f>
        <v>10982</v>
      </c>
      <c r="D43" s="224"/>
      <c r="E43" s="224"/>
      <c r="F43" s="225"/>
      <c r="G43" s="3337"/>
    </row>
    <row r="44" spans="1:7" ht="13.5" customHeight="1">
      <c r="A44" s="716" t="s">
        <v>348</v>
      </c>
      <c r="B44" s="201" t="s">
        <v>1543</v>
      </c>
      <c r="C44" s="224">
        <f ca="1">ROUND(IF('数据-取费表'!B22&lt;=1,C40*F22*'数据-取费表'!B20/2,C40*(POWER((1+F22),'数据-取费表'!B20/2)-1)),4)</f>
        <v>5.9999999999999995E-4</v>
      </c>
      <c r="D44" s="224"/>
      <c r="E44" s="224"/>
      <c r="F44" s="225"/>
      <c r="G44" s="3338"/>
    </row>
    <row r="45" spans="1:7" s="200" customFormat="1" ht="13.5" customHeight="1">
      <c r="A45" s="241" t="s">
        <v>1544</v>
      </c>
      <c r="B45" s="230" t="s">
        <v>1510</v>
      </c>
      <c r="C45" s="231">
        <f ca="1">C46</f>
        <v>2710132</v>
      </c>
      <c r="D45" s="221">
        <f ca="1">C47</f>
        <v>3.0000000000000001E-3</v>
      </c>
      <c r="E45" s="222" t="s">
        <v>1536</v>
      </c>
      <c r="F45" s="232">
        <f ca="1">F27</f>
        <v>0.15</v>
      </c>
      <c r="G45" s="233" t="s">
        <v>1545</v>
      </c>
    </row>
    <row r="46" spans="1:7" s="200" customFormat="1" ht="13.5" customHeight="1">
      <c r="A46" s="716" t="s">
        <v>346</v>
      </c>
      <c r="B46" s="234" t="s">
        <v>1546</v>
      </c>
      <c r="C46" s="235">
        <f ca="1">ROUND((C33+C39)*F27,0)</f>
        <v>2710132</v>
      </c>
      <c r="D46" s="249"/>
      <c r="E46" s="222"/>
      <c r="F46" s="232"/>
      <c r="G46" s="233"/>
    </row>
    <row r="47" spans="1:7" s="200" customFormat="1" ht="13.5" customHeight="1">
      <c r="A47" s="716" t="s">
        <v>347</v>
      </c>
      <c r="B47" s="234" t="s">
        <v>1547</v>
      </c>
      <c r="C47" s="224">
        <f ca="1">ROUND(C40*F27,4)</f>
        <v>3.0000000000000001E-3</v>
      </c>
      <c r="D47" s="249"/>
      <c r="E47" s="222"/>
      <c r="F47" s="232"/>
      <c r="G47" s="233"/>
    </row>
    <row r="48" spans="1:7" s="200" customFormat="1" ht="13.5" customHeight="1">
      <c r="A48" s="241" t="s">
        <v>1509</v>
      </c>
      <c r="B48" s="196" t="s">
        <v>1548</v>
      </c>
      <c r="C48" s="248">
        <f>ROUND(F30/(1+'数据-取费表'!C42),4)</f>
        <v>5.33E-2</v>
      </c>
      <c r="D48" s="222" t="s">
        <v>1536</v>
      </c>
      <c r="E48" s="218"/>
      <c r="F48" s="223">
        <f>F30</f>
        <v>5.6000000000000001E-2</v>
      </c>
      <c r="G48" s="220" t="s">
        <v>1549</v>
      </c>
    </row>
    <row r="49" spans="1:7" ht="16.5" customHeight="1">
      <c r="A49" s="241" t="s">
        <v>1515</v>
      </c>
      <c r="B49" s="196" t="s">
        <v>1589</v>
      </c>
      <c r="C49" s="218">
        <f ca="1">ROUND((C33+C39+C41+C45)/(1-C40-D41-D45-C48),0)</f>
        <v>23115343</v>
      </c>
      <c r="D49" s="218"/>
      <c r="E49" s="218"/>
      <c r="F49" s="250"/>
      <c r="G49" s="220" t="s">
        <v>1551</v>
      </c>
    </row>
    <row r="50" spans="1:7" s="244" customFormat="1">
      <c r="A50" s="241" t="s">
        <v>1552</v>
      </c>
      <c r="B50" s="196" t="s">
        <v>1553</v>
      </c>
      <c r="C50" s="218"/>
      <c r="D50" s="218"/>
      <c r="E50" s="218"/>
      <c r="F50" s="250">
        <f>IF('数据-取费表'!B24=0,'数据-取费表'!N16,1)</f>
        <v>0.97</v>
      </c>
      <c r="G50" s="233"/>
    </row>
    <row r="51" spans="1:7" ht="16.5" customHeight="1">
      <c r="A51" s="241" t="s">
        <v>1555</v>
      </c>
      <c r="B51" s="196" t="s">
        <v>1590</v>
      </c>
      <c r="C51" s="218">
        <f ca="1">ROUND(C49*F50,0)</f>
        <v>22421883</v>
      </c>
      <c r="D51" s="218"/>
      <c r="E51" s="218"/>
      <c r="F51" s="250"/>
      <c r="G51" s="220" t="s">
        <v>1557</v>
      </c>
    </row>
    <row r="52" spans="1:7" s="194" customFormat="1" ht="16.5" thickBot="1">
      <c r="A52" s="251" t="s">
        <v>1558</v>
      </c>
      <c r="B52" s="252"/>
      <c r="C52" s="253">
        <f ca="1">C31+C51</f>
        <v>24267180</v>
      </c>
      <c r="D52" s="252"/>
      <c r="E52" s="252"/>
      <c r="F52" s="252"/>
      <c r="G52" s="254"/>
    </row>
    <row r="55" spans="1:7" ht="15">
      <c r="B55" s="256" t="s">
        <v>1559</v>
      </c>
      <c r="C55" s="257"/>
    </row>
    <row r="56" spans="1:7">
      <c r="B56" s="259" t="s">
        <v>799</v>
      </c>
      <c r="C56" s="261">
        <f ca="1">1-C57</f>
        <v>7.5999999999999956E-2</v>
      </c>
    </row>
    <row r="57" spans="1:7">
      <c r="B57" s="259" t="s">
        <v>800</v>
      </c>
      <c r="C57" s="260">
        <f ca="1">ROUND(C51/C52,3)</f>
        <v>0.92400000000000004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1591</v>
      </c>
      <c r="B1" s="115"/>
      <c r="C1" s="1088"/>
      <c r="D1" s="1087"/>
      <c r="E1" s="2541"/>
      <c r="F1" s="2541"/>
      <c r="G1" s="2425"/>
      <c r="H1" s="2541"/>
      <c r="I1" s="2541"/>
      <c r="J1" s="2541"/>
      <c r="K1" s="2542">
        <f>MATCH(C1,'数据-取费表'!A6:A16,0)+5</f>
        <v>9</v>
      </c>
    </row>
    <row r="2" spans="1:33" ht="18" customHeight="1">
      <c r="A2" s="187" t="s">
        <v>1459</v>
      </c>
      <c r="B2" s="190">
        <f ca="1">C32</f>
        <v>-76</v>
      </c>
      <c r="C2" s="262" t="s">
        <v>1592</v>
      </c>
      <c r="D2" s="262"/>
      <c r="E2" s="2541"/>
      <c r="F2" s="2541"/>
      <c r="G2" s="2541"/>
      <c r="H2" s="2541"/>
      <c r="I2" s="2541"/>
      <c r="J2" s="2541"/>
      <c r="K2" s="2541"/>
    </row>
    <row r="3" spans="1:33" ht="18" customHeight="1" thickBot="1">
      <c r="A3" s="189" t="s">
        <v>1461</v>
      </c>
      <c r="B3" s="190">
        <f ca="1">ROUND(B2*10000/IF(C1="",'数据-汇总表'!E3,INDIRECT("'数据-取费表'!K"&amp;$K$1)),0)</f>
        <v>-215</v>
      </c>
      <c r="C3" s="262" t="s">
        <v>1593</v>
      </c>
      <c r="D3" s="262"/>
      <c r="E3" s="2541"/>
      <c r="F3" s="2541"/>
      <c r="G3" s="2541"/>
      <c r="H3" s="2541"/>
      <c r="I3" s="2541"/>
      <c r="J3" s="2541"/>
      <c r="K3" s="2541"/>
    </row>
    <row r="4" spans="1:33" s="721" customFormat="1" ht="16.5" customHeight="1">
      <c r="A4" s="718" t="s">
        <v>1594</v>
      </c>
      <c r="B4" s="719"/>
      <c r="C4" s="757">
        <f>SUM(C8:K8)</f>
        <v>0</v>
      </c>
      <c r="D4" s="719"/>
      <c r="E4" s="719"/>
      <c r="F4" s="719"/>
      <c r="G4" s="719"/>
      <c r="H4" s="719"/>
      <c r="I4" s="719"/>
      <c r="J4" s="719"/>
      <c r="K4" s="720"/>
    </row>
    <row r="5" spans="1:33" s="725" customFormat="1" ht="15">
      <c r="A5" s="722" t="s">
        <v>1595</v>
      </c>
      <c r="B5" s="723" t="s">
        <v>1596</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1597</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1598</v>
      </c>
      <c r="B7" s="117" t="s">
        <v>1599</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1600</v>
      </c>
      <c r="B8" s="150" t="s">
        <v>1601</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1602</v>
      </c>
      <c r="B9" s="719"/>
      <c r="C9" s="719"/>
      <c r="D9" s="719"/>
      <c r="E9" s="719"/>
      <c r="F9" s="719"/>
      <c r="G9" s="719"/>
      <c r="H9" s="719"/>
      <c r="I9" s="719"/>
      <c r="J9" s="719"/>
      <c r="K9" s="720"/>
    </row>
    <row r="10" spans="1:33" s="733" customFormat="1" ht="13.5" customHeight="1">
      <c r="A10" s="722" t="s">
        <v>1603</v>
      </c>
      <c r="B10" s="5" t="s">
        <v>1604</v>
      </c>
      <c r="C10" s="729" t="s">
        <v>1605</v>
      </c>
      <c r="D10" s="730" t="s">
        <v>1606</v>
      </c>
      <c r="E10" s="730" t="s">
        <v>1607</v>
      </c>
      <c r="F10" s="730" t="s">
        <v>1608</v>
      </c>
      <c r="G10" s="5"/>
      <c r="H10" s="731"/>
      <c r="I10" s="731"/>
      <c r="J10" s="731"/>
      <c r="K10" s="732"/>
    </row>
    <row r="11" spans="1:33" s="737" customFormat="1" ht="13.5" customHeight="1">
      <c r="A11" s="734" t="s">
        <v>635</v>
      </c>
      <c r="B11" s="735" t="s">
        <v>1609</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1610</v>
      </c>
      <c r="C12" s="21">
        <f ca="1">ROUND(C11*F12,0)</f>
        <v>0</v>
      </c>
      <c r="D12" s="736"/>
      <c r="E12" s="132"/>
      <c r="F12" s="746">
        <f>'数据-取费表'!B33</f>
        <v>0.05</v>
      </c>
      <c r="G12" s="5" t="s">
        <v>1611</v>
      </c>
      <c r="H12" s="731"/>
      <c r="I12" s="731"/>
      <c r="J12" s="731"/>
      <c r="K12" s="732"/>
    </row>
    <row r="13" spans="1:33" s="737" customFormat="1" ht="13.5" customHeight="1">
      <c r="A13" s="734" t="s">
        <v>637</v>
      </c>
      <c r="B13" s="735" t="s">
        <v>1612</v>
      </c>
      <c r="C13" s="21">
        <f ca="1">ROUND(IF(C1="",SUMIF('数据-取费表'!C:C,"住宅",'数据-取费表'!P:P)*F13,IF(INDIRECT("'数据-取费表'!c"&amp;$K$1)="住宅",INDIRECT("'数据-取费表'!P"&amp;$K$1)*F13,0)),0)</f>
        <v>0</v>
      </c>
      <c r="D13" s="778"/>
      <c r="E13" s="132"/>
      <c r="F13" s="746">
        <f>'数据-取费表'!B34</f>
        <v>0</v>
      </c>
      <c r="G13" s="5" t="s">
        <v>1613</v>
      </c>
      <c r="H13" s="731"/>
      <c r="I13" s="731"/>
      <c r="J13" s="731"/>
      <c r="K13" s="732"/>
    </row>
    <row r="14" spans="1:33" s="739" customFormat="1" ht="13.5" customHeight="1">
      <c r="A14" s="734" t="s">
        <v>638</v>
      </c>
      <c r="B14" s="735" t="s">
        <v>1614</v>
      </c>
      <c r="C14" s="21">
        <f ca="1">ROUND(D14*E14*F11/10000,0)</f>
        <v>0</v>
      </c>
      <c r="D14" s="778">
        <f ca="1">IF(C1="",'数据-汇总表'!E3,INDIRECT("'数据-取费表'!K"&amp;$K$1)+INDIRECT("'数据-取费表'!S"&amp;$K$1))</f>
        <v>3532.0600000000004</v>
      </c>
      <c r="E14" s="21">
        <f>'数据-取费表'!B35</f>
        <v>200</v>
      </c>
      <c r="F14" s="738"/>
      <c r="G14" s="5" t="s">
        <v>1615</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1616</v>
      </c>
      <c r="C15" s="745">
        <f ca="1">ROUND(C11*F15,0)</f>
        <v>0</v>
      </c>
      <c r="D15" s="740"/>
      <c r="E15" s="745"/>
      <c r="F15" s="746">
        <f>'数据-取费表'!B36</f>
        <v>0.02</v>
      </c>
      <c r="G15" s="117" t="s">
        <v>1617</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1618</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1619</v>
      </c>
      <c r="C17" s="21">
        <f ca="1">ROUND(D17*E17/10000,0)</f>
        <v>0</v>
      </c>
      <c r="D17" s="778">
        <f ca="1">D14</f>
        <v>3532.0600000000004</v>
      </c>
      <c r="E17" s="21">
        <f>'数据-取费表'!B32</f>
        <v>0</v>
      </c>
      <c r="F17" s="740"/>
      <c r="G17" s="117" t="s">
        <v>1620</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1621</v>
      </c>
      <c r="C18" s="21">
        <f ca="1">C19+C20-IF(C1="",'数据-取费表'!B29,IF(G18="已全部缴纳",C19+C20,H18))</f>
        <v>67</v>
      </c>
      <c r="D18" s="778"/>
      <c r="E18" s="21"/>
      <c r="F18" s="738"/>
      <c r="G18" s="1697"/>
      <c r="H18" s="1084"/>
      <c r="I18" s="1698" t="s">
        <v>1622</v>
      </c>
      <c r="J18" s="741"/>
      <c r="K18" s="742"/>
    </row>
    <row r="19" spans="1:33" s="737" customFormat="1" ht="13.5" customHeight="1">
      <c r="A19" s="734" t="s">
        <v>360</v>
      </c>
      <c r="B19" s="735" t="s">
        <v>1623</v>
      </c>
      <c r="C19" s="21">
        <f ca="1">ROUND(D19*E19/10000,0)</f>
        <v>0</v>
      </c>
      <c r="D19" s="778">
        <f ca="1">IF(C1="",'数据-汇总表'!E5,IF(INDIRECT("'数据-取费表'!c"&amp;$K$1)="住宅",INDIRECT("'数据-取费表'!k"&amp;$K$1),0))</f>
        <v>0</v>
      </c>
      <c r="E19" s="21">
        <f>'数据-取费表'!B27</f>
        <v>150</v>
      </c>
      <c r="F19" s="738"/>
      <c r="G19" s="12"/>
      <c r="H19" s="1086"/>
      <c r="I19" s="743"/>
      <c r="J19" s="743"/>
      <c r="K19" s="744"/>
    </row>
    <row r="20" spans="1:33" s="737" customFormat="1" ht="13.5" customHeight="1">
      <c r="A20" s="734" t="s">
        <v>361</v>
      </c>
      <c r="B20" s="735" t="s">
        <v>1624</v>
      </c>
      <c r="C20" s="21">
        <f ca="1">ROUND(D20*E20/10000,0)</f>
        <v>67</v>
      </c>
      <c r="D20" s="778">
        <f ca="1">IF(C1="",'数据-汇总表'!E6,IF(INDIRECT("'数据-取费表'!c"&amp;$K$1)="住宅",INDIRECT("'数据-取费表'!s"&amp;$K$1),INDIRECT("'数据-取费表'!k"&amp;$K$1)+INDIRECT("'数据-取费表'!s"&amp;$K$1)))</f>
        <v>3532.0600000000004</v>
      </c>
      <c r="E20" s="21">
        <f>'数据-取费表'!B28</f>
        <v>190</v>
      </c>
      <c r="F20" s="738"/>
      <c r="G20" s="12"/>
      <c r="H20" s="743"/>
      <c r="I20" s="743"/>
      <c r="J20" s="743"/>
      <c r="K20" s="744"/>
    </row>
    <row r="21" spans="1:33" s="737" customFormat="1" ht="13.5" customHeight="1">
      <c r="A21" s="726" t="s">
        <v>357</v>
      </c>
      <c r="B21" s="747" t="s">
        <v>1625</v>
      </c>
      <c r="C21" s="748">
        <f ca="1">C16+C17+C18</f>
        <v>67</v>
      </c>
      <c r="D21" s="749"/>
      <c r="E21" s="267"/>
      <c r="F21" s="267"/>
      <c r="G21" s="117" t="s">
        <v>1626</v>
      </c>
      <c r="H21" s="741"/>
      <c r="I21" s="741"/>
      <c r="J21" s="741"/>
      <c r="K21" s="742"/>
    </row>
    <row r="22" spans="1:33" s="737" customFormat="1" ht="13.5" customHeight="1">
      <c r="A22" s="726" t="s">
        <v>1598</v>
      </c>
      <c r="B22" s="747" t="s">
        <v>1627</v>
      </c>
      <c r="C22" s="748">
        <f ca="1">ROUND(C21*F22,0)</f>
        <v>1</v>
      </c>
      <c r="D22" s="267"/>
      <c r="E22" s="267"/>
      <c r="F22" s="750">
        <f>'数据-取费表'!B37</f>
        <v>0.02</v>
      </c>
      <c r="G22" s="5" t="s">
        <v>1628</v>
      </c>
      <c r="H22" s="731"/>
      <c r="I22" s="731"/>
      <c r="J22" s="731"/>
      <c r="K22" s="732"/>
    </row>
    <row r="23" spans="1:33" s="737" customFormat="1" ht="13.5" customHeight="1">
      <c r="A23" s="726" t="s">
        <v>1600</v>
      </c>
      <c r="B23" s="747" t="s">
        <v>1629</v>
      </c>
      <c r="C23" s="748">
        <f ca="1">ROUND(C4*F23*F11,0)</f>
        <v>0</v>
      </c>
      <c r="D23" s="267"/>
      <c r="E23" s="267"/>
      <c r="F23" s="750">
        <f>'数据-取费表'!B38</f>
        <v>0.02</v>
      </c>
      <c r="G23" s="5" t="s">
        <v>1630</v>
      </c>
      <c r="H23" s="731"/>
      <c r="I23" s="731"/>
      <c r="J23" s="731"/>
      <c r="K23" s="732"/>
    </row>
    <row r="24" spans="1:33" s="737" customFormat="1" ht="13.5" customHeight="1">
      <c r="A24" s="726" t="s">
        <v>1631</v>
      </c>
      <c r="B24" s="747" t="s">
        <v>1632</v>
      </c>
      <c r="C24" s="266">
        <f>ROUND(F24/(1+'数据-取费表'!C42),4)</f>
        <v>2.9000000000000001E-2</v>
      </c>
      <c r="D24" s="267" t="s">
        <v>12</v>
      </c>
      <c r="E24" s="267"/>
      <c r="F24" s="750">
        <f>IF(项目基本情况!B8="出让",0,'数据-取费表'!B48+'数据-取费表'!B49)</f>
        <v>3.0499999999999999E-2</v>
      </c>
      <c r="G24" s="5" t="s">
        <v>1633</v>
      </c>
      <c r="H24" s="752"/>
      <c r="I24" s="752"/>
      <c r="J24" s="752"/>
      <c r="K24" s="55"/>
    </row>
    <row r="25" spans="1:33" s="737" customFormat="1" ht="13.5" customHeight="1">
      <c r="A25" s="726" t="s">
        <v>1634</v>
      </c>
      <c r="B25" s="749" t="s">
        <v>1635</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1636</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1637</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1638</v>
      </c>
      <c r="B28" s="1700" t="s">
        <v>1639</v>
      </c>
      <c r="C28" s="273">
        <f ca="1">C30</f>
        <v>10</v>
      </c>
      <c r="D28" s="266">
        <f ca="1">C29</f>
        <v>0</v>
      </c>
      <c r="E28" s="268" t="s">
        <v>12</v>
      </c>
      <c r="F28" s="274">
        <f ca="1">IF(C1="",'数据-取费表'!Q16,INDIRECT("'数据-取费表'!q"&amp;$K$1))</f>
        <v>0.15</v>
      </c>
      <c r="G28" s="751"/>
      <c r="H28" s="752"/>
      <c r="I28" s="752"/>
      <c r="J28" s="752"/>
      <c r="K28" s="55"/>
    </row>
    <row r="29" spans="1:33" s="277" customFormat="1" ht="13.5" customHeight="1">
      <c r="A29" s="734" t="s">
        <v>358</v>
      </c>
      <c r="B29" s="755" t="s">
        <v>1640</v>
      </c>
      <c r="C29" s="270">
        <f ca="1">ROUND((1+C24)*F28*'数据-取费表'!B24/'数据-取费表'!B20,4)</f>
        <v>0</v>
      </c>
      <c r="D29" s="270"/>
      <c r="E29" s="271"/>
      <c r="F29" s="276"/>
      <c r="G29" s="117" t="s">
        <v>1641</v>
      </c>
      <c r="H29" s="741"/>
      <c r="I29" s="741"/>
      <c r="J29" s="741"/>
      <c r="K29" s="742"/>
    </row>
    <row r="30" spans="1:33" s="277" customFormat="1" ht="13.5" customHeight="1">
      <c r="A30" s="734" t="s">
        <v>359</v>
      </c>
      <c r="B30" s="755" t="s">
        <v>1642</v>
      </c>
      <c r="C30" s="278">
        <f ca="1">ROUND((C21+C22+C23)*F28,0)</f>
        <v>10</v>
      </c>
      <c r="D30" s="270"/>
      <c r="E30" s="271"/>
      <c r="F30" s="276"/>
      <c r="G30" s="117"/>
      <c r="H30" s="741"/>
      <c r="I30" s="741"/>
      <c r="J30" s="741"/>
      <c r="K30" s="742"/>
    </row>
    <row r="31" spans="1:33" s="737" customFormat="1" ht="13.5" customHeight="1" thickBot="1">
      <c r="A31" s="1701" t="s">
        <v>1643</v>
      </c>
      <c r="B31" s="765" t="s">
        <v>1644</v>
      </c>
      <c r="C31" s="766">
        <f>ROUND(C4*F31/(1+'数据-取费表'!C42),0)</f>
        <v>0</v>
      </c>
      <c r="D31" s="767"/>
      <c r="E31" s="768"/>
      <c r="F31" s="769">
        <f>'数据-取费表'!B41</f>
        <v>5.6000000000000001E-2</v>
      </c>
      <c r="G31" s="770" t="s">
        <v>1645</v>
      </c>
      <c r="H31" s="771"/>
      <c r="I31" s="771"/>
      <c r="J31" s="771"/>
      <c r="K31" s="772"/>
    </row>
    <row r="32" spans="1:33" s="733" customFormat="1" ht="13.5" customHeight="1" thickBot="1">
      <c r="A32" s="442" t="s">
        <v>1646</v>
      </c>
      <c r="B32" s="761"/>
      <c r="C32" s="762">
        <f ca="1">ROUND((C4-C21-C22-C23-C25-C28-C31)/(1+C24+D25+D28),0)</f>
        <v>-76</v>
      </c>
      <c r="D32" s="761"/>
      <c r="E32" s="761"/>
      <c r="F32" s="761"/>
      <c r="G32" s="763" t="s">
        <v>1647</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c r="D1" s="1249" t="s">
        <v>43</v>
      </c>
      <c r="E1" s="1250" t="s">
        <v>675</v>
      </c>
      <c r="F1" s="978">
        <f ca="1">J53</f>
        <v>0</v>
      </c>
      <c r="G1" s="1264">
        <f>MATCH(C1,'数据-取费表'!A6:A16,0)+5</f>
        <v>9</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1272" t="e">
        <f ca="1">C40+J29+L46</f>
        <v>#DIV/0!</v>
      </c>
      <c r="C2" s="1267" t="s">
        <v>802</v>
      </c>
      <c r="D2" s="1267"/>
      <c r="E2" s="1273"/>
      <c r="F2" s="1274"/>
      <c r="G2" s="2453"/>
      <c r="H2" s="2443"/>
      <c r="I2" s="2443"/>
      <c r="J2" s="2443"/>
      <c r="K2" s="2444"/>
      <c r="L2" s="2443"/>
      <c r="M2" s="2443"/>
    </row>
    <row r="3" spans="1:37" ht="18" customHeight="1" thickBot="1">
      <c r="A3" s="1275" t="s">
        <v>803</v>
      </c>
      <c r="B3" s="1276">
        <f ca="1">IF(ISERROR(B2*10000/F43),0,ROUND(B2*10000/F43,0))</f>
        <v>0</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f ca="1">C6+C10+C12</f>
        <v>0</v>
      </c>
      <c r="D5" s="1251" t="s">
        <v>690</v>
      </c>
      <c r="E5" s="987"/>
      <c r="F5" s="988"/>
      <c r="G5" s="1270"/>
      <c r="H5" s="285">
        <v>1</v>
      </c>
      <c r="I5" s="286" t="s">
        <v>689</v>
      </c>
      <c r="J5" s="986">
        <f ca="1">J6+J10+J12</f>
        <v>0</v>
      </c>
      <c r="K5" s="1251" t="s">
        <v>690</v>
      </c>
      <c r="L5" s="987"/>
      <c r="M5" s="988"/>
    </row>
    <row r="6" spans="1:37" ht="18" customHeight="1">
      <c r="A6" s="985" t="s">
        <v>398</v>
      </c>
      <c r="B6" s="3341" t="s">
        <v>691</v>
      </c>
      <c r="C6" s="990">
        <f ca="1">ROUND(F6*F8*F7*(1-F9)/10000,0)</f>
        <v>0</v>
      </c>
      <c r="D6" s="141" t="s">
        <v>2106</v>
      </c>
      <c r="E6" s="288" t="s">
        <v>693</v>
      </c>
      <c r="F6" s="289">
        <f ca="1">INDIRECT("'数据-取费表'!u"&amp;$G$1)</f>
        <v>0</v>
      </c>
      <c r="G6" s="1270"/>
      <c r="H6" s="985" t="s">
        <v>398</v>
      </c>
      <c r="I6" s="3341" t="s">
        <v>691</v>
      </c>
      <c r="J6" s="287">
        <f ca="1">ROUND(M6*M8*M7*(1-M9)/10000,0)</f>
        <v>0</v>
      </c>
      <c r="K6" s="141" t="s">
        <v>2105</v>
      </c>
      <c r="L6" s="288" t="s">
        <v>693</v>
      </c>
      <c r="M6" s="289">
        <f ca="1">INDIRECT("'数据-取费表'!z"&amp;$G$1)</f>
        <v>0</v>
      </c>
    </row>
    <row r="7" spans="1:37" ht="18" customHeight="1">
      <c r="A7" s="989"/>
      <c r="B7" s="3342"/>
      <c r="C7" s="991"/>
      <c r="D7" s="293"/>
      <c r="E7" s="992" t="s">
        <v>694</v>
      </c>
      <c r="F7" s="289">
        <f ca="1">IF(INDIRECT("'数据-取费表'!ah"&amp;$G$1)="",INDIRECT("'数据-取费表'!k"&amp;$G$1),INDIRECT("'数据-取费表'!ah"&amp;$G$1))</f>
        <v>0</v>
      </c>
      <c r="G7" s="1270"/>
      <c r="H7" s="290"/>
      <c r="I7" s="3342"/>
      <c r="J7" s="292"/>
      <c r="K7" s="293"/>
      <c r="L7" s="288" t="s">
        <v>694</v>
      </c>
      <c r="M7" s="289">
        <f ca="1">F7</f>
        <v>0</v>
      </c>
    </row>
    <row r="8" spans="1:37" ht="18" customHeight="1">
      <c r="A8" s="290"/>
      <c r="B8" s="3342"/>
      <c r="C8" s="292"/>
      <c r="D8" s="293"/>
      <c r="E8" s="288" t="s">
        <v>695</v>
      </c>
      <c r="F8" s="289">
        <f ca="1">INDIRECT("'数据-取费表'!ai"&amp;$G$1)</f>
        <v>0</v>
      </c>
      <c r="G8" s="1270"/>
      <c r="H8" s="290"/>
      <c r="I8" s="3342"/>
      <c r="J8" s="292"/>
      <c r="K8" s="293"/>
      <c r="L8" s="288" t="s">
        <v>695</v>
      </c>
      <c r="M8" s="289">
        <f ca="1">INDIRECT("'数据-取费表'!ai"&amp;$G$1)</f>
        <v>0</v>
      </c>
    </row>
    <row r="9" spans="1:37" ht="18" customHeight="1">
      <c r="A9" s="290"/>
      <c r="B9" s="3343"/>
      <c r="C9" s="292"/>
      <c r="D9" s="293"/>
      <c r="E9" s="288" t="s">
        <v>696</v>
      </c>
      <c r="F9" s="298">
        <f ca="1">INDIRECT("'数据-取费表'!w"&amp;$G$1)</f>
        <v>0</v>
      </c>
      <c r="G9" s="1270"/>
      <c r="H9" s="290"/>
      <c r="I9" s="3343"/>
      <c r="J9" s="292"/>
      <c r="K9" s="293"/>
      <c r="L9" s="299" t="s">
        <v>696</v>
      </c>
      <c r="M9" s="300">
        <f ca="1">INDIRECT("'数据-取费表'!ab"&amp;$G$1)</f>
        <v>0</v>
      </c>
    </row>
    <row r="10" spans="1:37" ht="18" customHeight="1">
      <c r="A10" s="985" t="s">
        <v>402</v>
      </c>
      <c r="B10" s="1252" t="s">
        <v>697</v>
      </c>
      <c r="C10" s="302">
        <f ca="1">ROUND(IF(F10="押一",C6/12*F11,IF(F10="押二",C6/12*2*F11,IF(F10="押三",C6/12*3*F11,C11*F11))),0)</f>
        <v>0</v>
      </c>
      <c r="D10" s="144" t="s">
        <v>2114</v>
      </c>
      <c r="E10" s="299" t="s">
        <v>698</v>
      </c>
      <c r="F10" s="1031"/>
      <c r="G10" s="1270"/>
      <c r="H10" s="985" t="s">
        <v>402</v>
      </c>
      <c r="I10" s="1252" t="s">
        <v>697</v>
      </c>
      <c r="J10" s="287">
        <f ca="1">ROUND(IF(M10="押一",J6/12*M11,IF(M10="押二",J6/12*2*M11,IF(M10="押三",J6/12*3*M11,J11*M11))),0)</f>
        <v>0</v>
      </c>
      <c r="K10" s="144" t="s">
        <v>2113</v>
      </c>
      <c r="L10" s="299" t="s">
        <v>698</v>
      </c>
      <c r="M10" s="1031"/>
    </row>
    <row r="11" spans="1:37" ht="18" customHeight="1">
      <c r="A11" s="294"/>
      <c r="B11" s="1253" t="s">
        <v>676</v>
      </c>
      <c r="C11" s="885"/>
      <c r="D11" s="1254"/>
      <c r="E11" s="299" t="s">
        <v>699</v>
      </c>
      <c r="F11" s="300">
        <f ca="1">'数据-取费表'!B39</f>
        <v>1.4999999999999999E-2</v>
      </c>
      <c r="G11" s="1270"/>
      <c r="H11" s="993"/>
      <c r="I11" s="1253" t="s">
        <v>676</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0</v>
      </c>
      <c r="D13" s="996" t="s">
        <v>702</v>
      </c>
      <c r="E13" s="996" t="s">
        <v>703</v>
      </c>
      <c r="F13" s="997">
        <f ca="1">INDIRECT("'数据-取费表'!y"&amp;$G$1)</f>
        <v>0</v>
      </c>
      <c r="G13" s="1270"/>
      <c r="H13" s="994">
        <v>2</v>
      </c>
      <c r="I13" s="995" t="s">
        <v>701</v>
      </c>
      <c r="J13" s="984">
        <f ca="1">ROUND(J14*J15,0)</f>
        <v>0</v>
      </c>
      <c r="K13" s="1002" t="s">
        <v>702</v>
      </c>
      <c r="L13" s="1277"/>
      <c r="M13" s="1278"/>
    </row>
    <row r="14" spans="1:37" ht="18" customHeight="1">
      <c r="A14" s="908" t="s">
        <v>397</v>
      </c>
      <c r="B14" s="288" t="s">
        <v>704</v>
      </c>
      <c r="C14" s="303">
        <f ca="1">INDIRECT("'数据-取费表'!m"&amp;$G$1)+INDIRECT("'数据-取费表'!t"&amp;$G$1)</f>
        <v>0</v>
      </c>
      <c r="D14" s="1235" t="s">
        <v>705</v>
      </c>
      <c r="E14" s="1233"/>
      <c r="F14" s="304"/>
      <c r="G14" s="1270"/>
      <c r="H14" s="908" t="s">
        <v>398</v>
      </c>
      <c r="I14" s="288" t="s">
        <v>706</v>
      </c>
      <c r="J14" s="21">
        <f ca="1">C29</f>
        <v>0</v>
      </c>
      <c r="K14" s="12"/>
      <c r="L14" s="741"/>
      <c r="M14" s="742"/>
    </row>
    <row r="15" spans="1:37" s="1282" customFormat="1" ht="18" customHeight="1" thickBot="1">
      <c r="A15" s="908" t="s">
        <v>399</v>
      </c>
      <c r="B15" s="288" t="s">
        <v>707</v>
      </c>
      <c r="C15" s="21">
        <f ca="1">ROUND(C14*F15,0)</f>
        <v>0</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ROUND(INDIRECT("'数据-取费表'!m"&amp;$G$1)*F16,0)</f>
        <v>0</v>
      </c>
      <c r="D16" s="288" t="s">
        <v>708</v>
      </c>
      <c r="E16" s="288" t="s">
        <v>709</v>
      </c>
      <c r="F16" s="307">
        <f ca="1">IF(INDIRECT("'数据-取费表'!c"&amp;$G$1)="住宅",'数据-取费表'!B34,0)</f>
        <v>0</v>
      </c>
      <c r="G16" s="1270"/>
      <c r="H16" s="994" t="s">
        <v>393</v>
      </c>
      <c r="I16" s="995" t="s">
        <v>711</v>
      </c>
      <c r="J16" s="296">
        <f ca="1">ROUND(J17+J22+J23+J24,0)</f>
        <v>0</v>
      </c>
      <c r="K16" s="1002" t="s">
        <v>712</v>
      </c>
      <c r="L16" s="1003"/>
      <c r="M16" s="988"/>
    </row>
    <row r="17" spans="1:37" s="1282" customFormat="1" ht="18" customHeight="1">
      <c r="A17" s="908" t="s">
        <v>678</v>
      </c>
      <c r="B17" s="288" t="s">
        <v>713</v>
      </c>
      <c r="C17" s="21">
        <f ca="1">ROUND(F17*(F43+INDIRECT("'数据-取费表'!S"&amp;$G$1))/10000,0)</f>
        <v>0</v>
      </c>
      <c r="D17" s="288" t="s">
        <v>714</v>
      </c>
      <c r="E17" s="288" t="s">
        <v>715</v>
      </c>
      <c r="F17" s="23">
        <f>'数据-取费表'!B35</f>
        <v>200</v>
      </c>
      <c r="G17" s="1281"/>
      <c r="H17" s="908" t="s">
        <v>398</v>
      </c>
      <c r="I17" s="288" t="s">
        <v>716</v>
      </c>
      <c r="J17" s="2117">
        <f ca="1">ROUND(IF(AND(项目基本情况!B11="自然人",项目基本情况!B10="北京市"),J6*M17/(1+'数据-取费表'!C42),J18+J19+J20),2)</f>
        <v>0</v>
      </c>
      <c r="K17" s="1235" t="s">
        <v>717</v>
      </c>
      <c r="L17" s="1234" t="s">
        <v>718</v>
      </c>
      <c r="M17" s="2116">
        <f ca="1">IF(项目基本情况!B11="企业","",IF('数据-取费表'!B10="住宅",IF(M6*M7*M8/12/(1+'数据-取费表'!F30)&gt;100000,4%,2.5%),IF(M6*M7*M8/12/(1+'数据-取费表'!F30)&gt;100000,12%,7%)))</f>
        <v>7.0000000000000007E-2</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0</v>
      </c>
      <c r="D18" s="288" t="s">
        <v>708</v>
      </c>
      <c r="E18" s="288" t="s">
        <v>709</v>
      </c>
      <c r="F18" s="307">
        <f>'数据-取费表'!B36</f>
        <v>0.02</v>
      </c>
      <c r="G18" s="1281"/>
      <c r="H18" s="908" t="s">
        <v>397</v>
      </c>
      <c r="I18" s="288" t="s">
        <v>720</v>
      </c>
      <c r="J18" s="21">
        <f ca="1">ROUND(J6*M18/(1+'数据-取费表'!C42),2)</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0</v>
      </c>
      <c r="D19" s="117" t="s">
        <v>723</v>
      </c>
      <c r="E19" s="1247"/>
      <c r="F19" s="23"/>
      <c r="G19" s="1270"/>
      <c r="H19" s="908" t="s">
        <v>399</v>
      </c>
      <c r="I19" s="288" t="s">
        <v>724</v>
      </c>
      <c r="J19" s="21">
        <f ca="1">IF(K19="按租金收入计税",ROUND(J6*M19/(1+'数据-取费表'!C42),2),ROUND(C29*M19*0.7,2))</f>
        <v>0</v>
      </c>
      <c r="K19" s="1256" t="s">
        <v>3322</v>
      </c>
      <c r="L19" s="288" t="s">
        <v>709</v>
      </c>
      <c r="M19" s="307">
        <f>IF(K19="按租金收入计税",'数据-取费表'!B51,'数据-取费表'!B50)</f>
        <v>0.12</v>
      </c>
    </row>
    <row r="20" spans="1:37" s="1282" customFormat="1" ht="18" customHeight="1">
      <c r="A20" s="908" t="s">
        <v>402</v>
      </c>
      <c r="B20" s="288" t="s">
        <v>725</v>
      </c>
      <c r="C20" s="21">
        <f ca="1">ROUND(C19*F20,0)</f>
        <v>0</v>
      </c>
      <c r="D20" s="308" t="s">
        <v>726</v>
      </c>
      <c r="E20" s="288" t="s">
        <v>709</v>
      </c>
      <c r="F20" s="307">
        <f>'数据-取费表'!B37</f>
        <v>0.02</v>
      </c>
      <c r="G20" s="1281"/>
      <c r="H20" s="908" t="s">
        <v>677</v>
      </c>
      <c r="I20" s="141" t="s">
        <v>727</v>
      </c>
      <c r="J20" s="22">
        <f ca="1">ROUND(M20*M21/10000,2)</f>
        <v>0</v>
      </c>
      <c r="K20" s="309" t="s">
        <v>728</v>
      </c>
      <c r="L20" s="288" t="s">
        <v>729</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15</v>
      </c>
      <c r="D21" s="308" t="s">
        <v>731</v>
      </c>
      <c r="E21" s="288" t="s">
        <v>732</v>
      </c>
      <c r="F21" s="307">
        <f>'数据-取费表'!B38</f>
        <v>0.02</v>
      </c>
      <c r="G21" s="1281"/>
      <c r="H21" s="311"/>
      <c r="I21" s="297"/>
      <c r="J21" s="26"/>
      <c r="K21" s="312"/>
      <c r="L21" s="288" t="s">
        <v>733</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ROUND(J14*M22,2)</f>
        <v>0</v>
      </c>
      <c r="K22" s="1234" t="s">
        <v>736</v>
      </c>
      <c r="L22" s="288" t="s">
        <v>709</v>
      </c>
      <c r="M22" s="313">
        <f ca="1">INDIRECT("'数据-取费表'!Ak"&amp;$G$1)</f>
        <v>0</v>
      </c>
    </row>
    <row r="23" spans="1:37" s="1282" customFormat="1" ht="18" customHeight="1">
      <c r="A23" s="908"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ROUND(J13*M23,2)</f>
        <v>0</v>
      </c>
      <c r="K23" s="1234" t="s">
        <v>740</v>
      </c>
      <c r="L23" s="288" t="s">
        <v>741</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742</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3.1E-2</v>
      </c>
      <c r="G24" s="1281"/>
      <c r="H24" s="1004" t="s">
        <v>681</v>
      </c>
      <c r="I24" s="1005" t="s">
        <v>725</v>
      </c>
      <c r="J24" s="1006">
        <f ca="1">ROUND(J5*M24,2)</f>
        <v>0</v>
      </c>
      <c r="K24" s="1007" t="s">
        <v>745</v>
      </c>
      <c r="L24" s="1005" t="s">
        <v>741</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746</v>
      </c>
      <c r="B25" s="288" t="s">
        <v>747</v>
      </c>
      <c r="C25" s="21"/>
      <c r="D25" s="117" t="s">
        <v>748</v>
      </c>
      <c r="E25" s="1247"/>
      <c r="F25" s="23"/>
      <c r="G25" s="1270"/>
      <c r="H25" s="994" t="s">
        <v>394</v>
      </c>
      <c r="I25" s="1009" t="s">
        <v>749</v>
      </c>
      <c r="J25" s="296">
        <f ca="1">J5-J16</f>
        <v>0</v>
      </c>
      <c r="K25" s="1010" t="s">
        <v>750</v>
      </c>
      <c r="L25" s="1011"/>
      <c r="M25" s="1012"/>
    </row>
    <row r="26" spans="1:37">
      <c r="A26" s="908" t="s">
        <v>397</v>
      </c>
      <c r="B26" s="288" t="s">
        <v>751</v>
      </c>
      <c r="C26" s="21">
        <f ca="1">ROUND((C19+C20)*F26,0)</f>
        <v>0</v>
      </c>
      <c r="D26" s="308" t="s">
        <v>752</v>
      </c>
      <c r="E26" s="299" t="s">
        <v>753</v>
      </c>
      <c r="F26" s="298">
        <f ca="1">INDIRECT("'数据-取费表'!q"&amp;$G$1)</f>
        <v>0</v>
      </c>
      <c r="G26" s="1270"/>
      <c r="H26" s="285" t="s">
        <v>395</v>
      </c>
      <c r="I26" s="286" t="s">
        <v>754</v>
      </c>
      <c r="J26" s="287">
        <f ca="1">IF(J5&lt;&gt;0,ROUND(J25*(1-((1+M28)/(1+M26))^M27)/(M26-M28),0),0)</f>
        <v>0</v>
      </c>
      <c r="K26" s="309" t="s">
        <v>755</v>
      </c>
      <c r="L26" s="288" t="s">
        <v>756</v>
      </c>
      <c r="M26" s="298">
        <f ca="1">INDIRECT("'数据-取费表'!I"&amp;$G$1)</f>
        <v>0</v>
      </c>
    </row>
    <row r="27" spans="1:37" ht="18" customHeight="1">
      <c r="A27" s="908" t="s">
        <v>399</v>
      </c>
      <c r="B27" s="288" t="s">
        <v>757</v>
      </c>
      <c r="C27" s="21">
        <f ca="1">ROUND(F21*F26,4)</f>
        <v>0</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0</v>
      </c>
      <c r="D29" s="1007"/>
      <c r="E29" s="1005"/>
      <c r="F29" s="1008"/>
      <c r="G29" s="1281"/>
      <c r="H29" s="318" t="s">
        <v>396</v>
      </c>
      <c r="I29" s="319" t="s">
        <v>765</v>
      </c>
      <c r="J29" s="320">
        <f ca="1">ROUND(J26/(1+F40)^F41,0)</f>
        <v>0</v>
      </c>
      <c r="K29" s="321" t="s">
        <v>766</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0</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ROUND(IF(AND(项目基本情况!B11="自然人",项目基本情况!B10="北京市"),C6*F31/(1+'数据-取费表'!C42),C32+C33+C34),2)</f>
        <v>0</v>
      </c>
      <c r="D31" s="1235" t="s">
        <v>717</v>
      </c>
      <c r="E31" s="1234" t="s">
        <v>767</v>
      </c>
      <c r="F31" s="2116">
        <f ca="1">IF(项目基本情况!B11="企业","——",IF(M47="住宅",IF(F6*F7*F8/12/(1+'数据-取费表'!F30)&gt;100000,4%,2.5%),IF(F6*F7*F8/12/(1+'数据-取费表'!F30)&gt;100000,12%,7%)))</f>
        <v>7.0000000000000007E-2</v>
      </c>
      <c r="G31" s="1270"/>
      <c r="H31" s="2543" t="s">
        <v>2292</v>
      </c>
      <c r="I31" s="1283"/>
      <c r="J31" s="1284"/>
      <c r="K31" s="115"/>
      <c r="L31" s="2446"/>
      <c r="M31" s="2447"/>
    </row>
    <row r="32" spans="1:37" ht="18" customHeight="1">
      <c r="A32" s="908" t="s">
        <v>397</v>
      </c>
      <c r="B32" s="288" t="s">
        <v>720</v>
      </c>
      <c r="C32" s="21">
        <f ca="1">IF(项目基本情况!B11="自然人","——",ROUND(C6*F32/(1+'数据-取费表'!C42),2))</f>
        <v>0</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IF(项目基本情况!B11="自然人","——",IF(D33="按租金收入计税",ROUND(C6*F33/(1+'数据-取费表'!C42),2),IF(D33="按房产原值计税",ROUND(C29*F33*0.7,2),INDIRECT("'数据-取费表'!Aj"&amp;$G$1))))</f>
        <v>0</v>
      </c>
      <c r="D33" s="1256" t="s">
        <v>3322</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IF(项目基本情况!B11="自然人","——",ROUND(F34*F35/10000,2))</f>
        <v>0</v>
      </c>
      <c r="D34" s="309" t="s">
        <v>728</v>
      </c>
      <c r="E34" s="288" t="s">
        <v>729</v>
      </c>
      <c r="F34" s="310">
        <f>'数据-取费表'!B52</f>
        <v>1.5</v>
      </c>
      <c r="G34" s="1270"/>
      <c r="H34" s="2445"/>
      <c r="I34" s="1283"/>
      <c r="J34" s="1284"/>
      <c r="K34" s="2450"/>
      <c r="L34" s="2451"/>
      <c r="M34" s="2451"/>
    </row>
    <row r="35" spans="1:18" ht="18" customHeight="1">
      <c r="A35" s="1018"/>
      <c r="B35" s="1016"/>
      <c r="C35" s="26"/>
      <c r="D35" s="312"/>
      <c r="E35" s="288" t="s">
        <v>733</v>
      </c>
      <c r="F35" s="289">
        <f ca="1">INDIRECT("'数据-取费表'!r"&amp;$G$1)</f>
        <v>0</v>
      </c>
      <c r="G35" s="1270"/>
      <c r="H35" s="2445"/>
      <c r="I35" s="1283"/>
      <c r="J35" s="1284"/>
      <c r="K35" s="2449"/>
      <c r="L35" s="2448"/>
      <c r="M35" s="2448"/>
    </row>
    <row r="36" spans="1:18" ht="18" customHeight="1">
      <c r="A36" s="1017" t="s">
        <v>402</v>
      </c>
      <c r="B36" s="288" t="s">
        <v>735</v>
      </c>
      <c r="C36" s="21">
        <f ca="1">ROUND(C29*F36,2)</f>
        <v>0</v>
      </c>
      <c r="D36" s="1234" t="s">
        <v>768</v>
      </c>
      <c r="E36" s="288" t="s">
        <v>709</v>
      </c>
      <c r="F36" s="313">
        <f ca="1">INDIRECT("'数据-取费表'!Ak"&amp;$G$1)</f>
        <v>0</v>
      </c>
      <c r="G36" s="1270"/>
      <c r="H36" s="2448"/>
      <c r="I36" s="1283"/>
      <c r="J36" s="1284"/>
      <c r="K36" s="2308"/>
      <c r="L36" s="2448"/>
      <c r="M36" s="2448"/>
    </row>
    <row r="37" spans="1:18" ht="18" customHeight="1">
      <c r="A37" s="908" t="s">
        <v>437</v>
      </c>
      <c r="B37" s="288" t="s">
        <v>739</v>
      </c>
      <c r="C37" s="21">
        <f ca="1">ROUND(C13*F37,2)</f>
        <v>0</v>
      </c>
      <c r="D37" s="1234" t="s">
        <v>740</v>
      </c>
      <c r="E37" s="288" t="s">
        <v>741</v>
      </c>
      <c r="F37" s="314">
        <f ca="1">INDIRECT("'数据-取费表'!Al"&amp;$G$1)</f>
        <v>0</v>
      </c>
      <c r="G37" s="1270"/>
      <c r="H37" s="2448"/>
      <c r="I37" s="1283"/>
      <c r="J37" s="1284"/>
      <c r="K37" s="2308"/>
      <c r="L37" s="2448"/>
      <c r="M37" s="2448"/>
    </row>
    <row r="38" spans="1:18" ht="18" customHeight="1" thickBot="1">
      <c r="A38" s="1004" t="s">
        <v>681</v>
      </c>
      <c r="B38" s="1005" t="s">
        <v>725</v>
      </c>
      <c r="C38" s="1006">
        <f ca="1">ROUND(C5*F38,2)</f>
        <v>0</v>
      </c>
      <c r="D38" s="1007" t="s">
        <v>745</v>
      </c>
      <c r="E38" s="1005" t="s">
        <v>741</v>
      </c>
      <c r="F38" s="1001">
        <f ca="1">INDIRECT("'数据-取费表'!Am"&amp;$G$1)</f>
        <v>0</v>
      </c>
      <c r="G38" s="1270"/>
      <c r="H38" s="2448"/>
      <c r="I38" s="1283"/>
      <c r="J38" s="1284"/>
      <c r="K38" s="2446"/>
      <c r="L38" s="2448"/>
      <c r="M38" s="2448"/>
    </row>
    <row r="39" spans="1:18" ht="24.6" customHeight="1" thickTop="1">
      <c r="A39" s="994" t="s">
        <v>394</v>
      </c>
      <c r="B39" s="1009" t="s">
        <v>769</v>
      </c>
      <c r="C39" s="296">
        <f ca="1">C5-C30</f>
        <v>0</v>
      </c>
      <c r="D39" s="1010" t="s">
        <v>770</v>
      </c>
      <c r="E39" s="1011"/>
      <c r="F39" s="1012"/>
      <c r="G39" s="1270"/>
      <c r="H39" s="2448"/>
      <c r="I39" s="1283"/>
      <c r="J39" s="1284"/>
      <c r="K39" s="2446"/>
      <c r="L39" s="2448"/>
      <c r="M39" s="2448"/>
    </row>
    <row r="40" spans="1:18" ht="18" customHeight="1">
      <c r="A40" s="285" t="s">
        <v>395</v>
      </c>
      <c r="B40" s="286" t="s">
        <v>771</v>
      </c>
      <c r="C40" s="287" t="e">
        <f ca="1">ROUND(C39*(1-((1+F42)/(1+F40))^F41)/(F40-F42),0)</f>
        <v>#DIV/0!</v>
      </c>
      <c r="D40" s="309" t="s">
        <v>755</v>
      </c>
      <c r="E40" s="288" t="s">
        <v>756</v>
      </c>
      <c r="F40" s="298">
        <f ca="1">INDIRECT("'数据-取费表'!I"&amp;$G$1)</f>
        <v>0</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763</v>
      </c>
      <c r="F42" s="298">
        <f ca="1">INDIRECT("'数据-取费表'!v"&amp;$G$1)</f>
        <v>0</v>
      </c>
      <c r="G42" s="1270"/>
      <c r="H42" s="115"/>
      <c r="I42" s="1283"/>
      <c r="J42" s="1284"/>
      <c r="K42" s="2308"/>
      <c r="L42" s="115"/>
      <c r="M42" s="115"/>
    </row>
    <row r="43" spans="1:18" ht="18" customHeight="1" thickBot="1">
      <c r="A43" s="318" t="s">
        <v>396</v>
      </c>
      <c r="B43" s="319" t="s">
        <v>773</v>
      </c>
      <c r="C43" s="320" t="e">
        <f ca="1">ROUND(C40*10000/F43,0)</f>
        <v>#DIV/0!</v>
      </c>
      <c r="D43" s="321" t="s">
        <v>774</v>
      </c>
      <c r="E43" s="322" t="s">
        <v>775</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805</v>
      </c>
      <c r="P45" s="1344"/>
      <c r="Q45" s="1344"/>
      <c r="R45" s="1344"/>
    </row>
    <row r="46" spans="1:18" s="1270" customFormat="1" ht="13.5" thickBot="1">
      <c r="A46" s="1289" t="s">
        <v>806</v>
      </c>
      <c r="C46" s="1290" t="e">
        <f ca="1">C68-C40</f>
        <v>#DIV/0!</v>
      </c>
      <c r="D46" s="1291" t="str">
        <f>C2</f>
        <v>万元</v>
      </c>
      <c r="E46" s="1285"/>
      <c r="F46" s="1285"/>
      <c r="I46" s="1292" t="s">
        <v>807</v>
      </c>
      <c r="J46" s="1293"/>
      <c r="K46" s="1294"/>
      <c r="L46" s="1295" t="e">
        <f ca="1">IF(M47="住宅",0,IF(L48&gt;J51,L60,J60))</f>
        <v>#DIV/0!</v>
      </c>
      <c r="O46" s="1296" t="s">
        <v>808</v>
      </c>
      <c r="P46" s="1297" t="s">
        <v>809</v>
      </c>
      <c r="Q46" s="1298" t="s">
        <v>810</v>
      </c>
      <c r="R46" s="1298" t="s">
        <v>811</v>
      </c>
    </row>
    <row r="47" spans="1:18" s="1270" customFormat="1" ht="13.5" thickBot="1">
      <c r="A47" s="872" t="s">
        <v>684</v>
      </c>
      <c r="B47" s="904" t="s">
        <v>685</v>
      </c>
      <c r="C47" s="1032" t="s">
        <v>686</v>
      </c>
      <c r="D47" s="904" t="s">
        <v>687</v>
      </c>
      <c r="E47" s="974" t="s">
        <v>688</v>
      </c>
      <c r="F47" s="975"/>
      <c r="G47" s="671"/>
      <c r="I47" s="1299" t="s">
        <v>812</v>
      </c>
      <c r="J47" s="1300"/>
      <c r="K47" s="1301" t="s">
        <v>813</v>
      </c>
      <c r="L47" s="1302">
        <f ca="1">INDIRECT("'数据-取费表'!d"&amp;$G$1)</f>
        <v>0</v>
      </c>
      <c r="M47" s="1266" t="str">
        <f>IF(ISNUMBER(FIND("住宅",C1)),"住宅","非住宅")</f>
        <v>非住宅</v>
      </c>
      <c r="O47" s="1303" t="s">
        <v>403</v>
      </c>
      <c r="P47" s="1304" t="s">
        <v>814</v>
      </c>
      <c r="Q47" s="1305" t="e">
        <f ca="1">C40+J29</f>
        <v>#DIV/0!</v>
      </c>
      <c r="R47" s="1305" t="s">
        <v>815</v>
      </c>
    </row>
    <row r="48" spans="1:18" s="1270" customFormat="1" ht="28.5" thickBot="1">
      <c r="A48" s="1025" t="s">
        <v>438</v>
      </c>
      <c r="B48" s="286" t="s">
        <v>689</v>
      </c>
      <c r="C48" s="1246">
        <f ca="1">C49+C53+C55</f>
        <v>0</v>
      </c>
      <c r="D48" s="1027"/>
      <c r="E48" s="1028"/>
      <c r="F48" s="888"/>
      <c r="G48" s="671"/>
      <c r="H48" s="672"/>
      <c r="I48" s="1306" t="s">
        <v>816</v>
      </c>
      <c r="J48" s="1307"/>
      <c r="K48" s="1308" t="s">
        <v>817</v>
      </c>
      <c r="L48" s="1309">
        <f ca="1">INDIRECT("'数据-取费表'!f"&amp;$G$1)</f>
        <v>0</v>
      </c>
      <c r="O48" s="1303" t="s">
        <v>404</v>
      </c>
      <c r="P48" s="1304" t="s">
        <v>818</v>
      </c>
      <c r="Q48" s="1305" t="e">
        <f ca="1">J60</f>
        <v>#DIV/0!</v>
      </c>
      <c r="R48" s="1305" t="s">
        <v>819</v>
      </c>
    </row>
    <row r="49" spans="1:18" s="1270" customFormat="1" ht="13.5" thickBot="1">
      <c r="A49" s="901" t="s">
        <v>439</v>
      </c>
      <c r="B49" s="1257" t="s">
        <v>776</v>
      </c>
      <c r="C49" s="1029">
        <f ca="1">ROUND(F49*F51*F50*(1-F52)/10000,0)</f>
        <v>0</v>
      </c>
      <c r="D49" s="971" t="s">
        <v>2107</v>
      </c>
      <c r="E49" s="1258" t="s">
        <v>777</v>
      </c>
      <c r="F49" s="976"/>
      <c r="H49" s="672"/>
      <c r="I49" s="1306" t="s">
        <v>820</v>
      </c>
      <c r="J49" s="1310"/>
      <c r="K49" s="1308" t="s">
        <v>821</v>
      </c>
      <c r="L49" s="1311"/>
      <c r="O49" s="1312" t="s">
        <v>405</v>
      </c>
      <c r="P49" s="1304" t="s">
        <v>822</v>
      </c>
      <c r="Q49" s="1305">
        <f ca="1">C29</f>
        <v>0</v>
      </c>
      <c r="R49" s="1305" t="s">
        <v>815</v>
      </c>
    </row>
    <row r="50" spans="1:18" s="1270" customFormat="1" ht="13.5" thickBot="1">
      <c r="A50" s="902"/>
      <c r="B50" s="905"/>
      <c r="C50" s="1033"/>
      <c r="D50" s="879"/>
      <c r="E50" s="972" t="s">
        <v>694</v>
      </c>
      <c r="F50" s="973">
        <f ca="1">F7</f>
        <v>0</v>
      </c>
      <c r="H50" s="672"/>
      <c r="I50" s="1306" t="s">
        <v>823</v>
      </c>
      <c r="J50" s="1313">
        <f>SUMPRODUCT((I63:I65=J47)*(J62:L62=J48)*(J63:L65))</f>
        <v>0</v>
      </c>
      <c r="K50" s="1308" t="s">
        <v>824</v>
      </c>
      <c r="L50" s="1311"/>
      <c r="M50" s="1314"/>
      <c r="O50" s="1312" t="s">
        <v>406</v>
      </c>
      <c r="P50" s="1304" t="s">
        <v>825</v>
      </c>
      <c r="Q50" s="1315" t="e">
        <f ca="1">J58</f>
        <v>#DIV/0!</v>
      </c>
      <c r="R50" s="1305"/>
    </row>
    <row r="51" spans="1:18" s="1270" customFormat="1" ht="13.5" thickBot="1">
      <c r="A51" s="903"/>
      <c r="B51" s="905"/>
      <c r="C51" s="906"/>
      <c r="D51" s="879"/>
      <c r="E51" s="907" t="s">
        <v>695</v>
      </c>
      <c r="F51" s="289">
        <f ca="1">F8</f>
        <v>0</v>
      </c>
      <c r="I51" s="1316" t="s">
        <v>826</v>
      </c>
      <c r="J51" s="1309">
        <f>IF(J49="",J50,J49+J50-YEAR('数据-取费表'!B2))</f>
        <v>0</v>
      </c>
      <c r="K51" s="1317" t="s">
        <v>827</v>
      </c>
      <c r="L51" s="1318">
        <f ca="1">ROUND(-PV(INDIRECT("'数据-取费表'!h"&amp;$G$1),J51,(C39-C13*C76),0),0)</f>
        <v>0</v>
      </c>
      <c r="M51" s="1319"/>
      <c r="O51" s="1312" t="s">
        <v>407</v>
      </c>
      <c r="P51" s="1304" t="s">
        <v>828</v>
      </c>
      <c r="Q51" s="1315">
        <f>J52</f>
        <v>0</v>
      </c>
      <c r="R51" s="1305"/>
    </row>
    <row r="52" spans="1:18" s="1270" customFormat="1" ht="13.5" thickBot="1">
      <c r="A52" s="903"/>
      <c r="B52" s="905"/>
      <c r="C52" s="906"/>
      <c r="D52" s="879"/>
      <c r="E52" s="907" t="s">
        <v>696</v>
      </c>
      <c r="F52" s="970"/>
      <c r="I52" s="1320" t="s">
        <v>829</v>
      </c>
      <c r="J52" s="1321"/>
      <c r="K52" s="1320" t="s">
        <v>830</v>
      </c>
      <c r="L52" s="1321"/>
      <c r="O52" s="1312" t="s">
        <v>408</v>
      </c>
      <c r="P52" s="1304" t="s">
        <v>831</v>
      </c>
      <c r="Q52" s="1305">
        <f ca="1">J53</f>
        <v>0</v>
      </c>
      <c r="R52" s="1305" t="s">
        <v>832</v>
      </c>
    </row>
    <row r="53" spans="1:18" s="1270" customFormat="1" ht="24.75" thickBot="1">
      <c r="A53" s="1057" t="s">
        <v>440</v>
      </c>
      <c r="B53" s="1259" t="s">
        <v>697</v>
      </c>
      <c r="C53" s="302">
        <f ca="1">ROUND(IF(F53="押一",C49/12*F11,IF(F53="押二",C49/12*2*F11,IF(F53="押三",C49/12*3*F11,C54*F11))),0)</f>
        <v>0</v>
      </c>
      <c r="D53" s="144" t="s">
        <v>2113</v>
      </c>
      <c r="E53" s="299" t="s">
        <v>698</v>
      </c>
      <c r="F53" s="1031"/>
      <c r="I53" s="1322" t="s">
        <v>833</v>
      </c>
      <c r="J53" s="1983">
        <f ca="1">IF(M47="住宅",IF(D1="——",MAX(J51,L48),MAX(J51,L48-'数据-取费表'!B24)),IF(D1="——",MIN(J51,L48),MIN(J51,L48-'数据-取费表'!B24)))</f>
        <v>0</v>
      </c>
      <c r="K53" s="3339" t="s">
        <v>834</v>
      </c>
      <c r="L53" s="3340"/>
      <c r="O53" s="1303" t="s">
        <v>409</v>
      </c>
      <c r="P53" s="1304" t="s">
        <v>835</v>
      </c>
      <c r="Q53" s="1305" t="e">
        <f ca="1">Q47+Q48</f>
        <v>#DIV/0!</v>
      </c>
      <c r="R53" s="1305" t="s">
        <v>410</v>
      </c>
    </row>
    <row r="54" spans="1:18" s="1270" customFormat="1" ht="13.5" thickBot="1">
      <c r="A54" s="1058"/>
      <c r="B54" s="1253" t="s">
        <v>676</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t="e">
        <f ca="1">ROUND(IF(J47="钢混",J57/J50,1-(1-2%)*(J50-J57)/J50),3)</f>
        <v>#DIV/0!</v>
      </c>
      <c r="K55" s="1328" t="s">
        <v>838</v>
      </c>
      <c r="L55" s="1329"/>
      <c r="O55" s="1296" t="s">
        <v>808</v>
      </c>
      <c r="P55" s="1297" t="s">
        <v>809</v>
      </c>
      <c r="Q55" s="1298" t="s">
        <v>810</v>
      </c>
      <c r="R55" s="1298" t="s">
        <v>811</v>
      </c>
    </row>
    <row r="56" spans="1:18" s="1270" customFormat="1" ht="25.5" thickTop="1" thickBot="1">
      <c r="A56" s="883">
        <v>2</v>
      </c>
      <c r="B56" s="884" t="s">
        <v>701</v>
      </c>
      <c r="C56" s="218">
        <f ca="1">C13</f>
        <v>0</v>
      </c>
      <c r="D56" s="1330"/>
      <c r="E56" s="1331"/>
      <c r="F56" s="1323"/>
      <c r="I56" s="1332" t="s">
        <v>839</v>
      </c>
      <c r="J56" s="1333"/>
      <c r="K56" s="1306" t="s">
        <v>840</v>
      </c>
      <c r="L56" s="1309">
        <f ca="1">IF(L48&lt;J51,"——",L48-J53)</f>
        <v>0</v>
      </c>
      <c r="O56" s="1303" t="s">
        <v>403</v>
      </c>
      <c r="P56" s="1304" t="s">
        <v>814</v>
      </c>
      <c r="Q56" s="1305" t="e">
        <f ca="1">C40+J29</f>
        <v>#DIV/0!</v>
      </c>
      <c r="R56" s="1305" t="s">
        <v>815</v>
      </c>
    </row>
    <row r="57" spans="1:18" s="1270" customFormat="1" ht="24.75" thickBot="1">
      <c r="A57" s="1334"/>
      <c r="B57" s="876" t="s">
        <v>764</v>
      </c>
      <c r="C57" s="224">
        <f ca="1">C29</f>
        <v>0</v>
      </c>
      <c r="D57" s="1335"/>
      <c r="E57" s="1336"/>
      <c r="F57" s="1337"/>
      <c r="I57" s="1338" t="s">
        <v>841</v>
      </c>
      <c r="J57" s="1339">
        <f ca="1">IF(OR(M47="住宅",J51&lt;L48,J56="是"),"——",J51-L48)</f>
        <v>0</v>
      </c>
      <c r="K57" s="1306" t="s">
        <v>842</v>
      </c>
      <c r="L57" s="1309">
        <f ca="1">IF(L48&lt;J51,"——",IF(L55="比较法",L49,IF(L55="基准地价",L50,L51)))</f>
        <v>0</v>
      </c>
      <c r="O57" s="1303" t="s">
        <v>404</v>
      </c>
      <c r="P57" s="1304" t="s">
        <v>843</v>
      </c>
      <c r="Q57" s="1305" t="e">
        <f ca="1">L60</f>
        <v>#DIV/0!</v>
      </c>
      <c r="R57" s="1305" t="s">
        <v>844</v>
      </c>
    </row>
    <row r="58" spans="1:18" s="1270" customFormat="1" ht="24.75" thickBot="1">
      <c r="A58" s="301" t="s">
        <v>393</v>
      </c>
      <c r="B58" s="884" t="s">
        <v>711</v>
      </c>
      <c r="C58" s="302">
        <f ca="1">ROUND(C59+C64+C65+C66,0)</f>
        <v>0</v>
      </c>
      <c r="D58" s="886" t="s">
        <v>712</v>
      </c>
      <c r="E58" s="887"/>
      <c r="F58" s="888"/>
      <c r="I58" s="1338" t="s">
        <v>845</v>
      </c>
      <c r="J58" s="1340" t="e">
        <f ca="1">IF(J55&lt;0.4,0.4,J55)</f>
        <v>#DIV/0!</v>
      </c>
      <c r="K58" s="1317" t="s">
        <v>846</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0</v>
      </c>
      <c r="D59" s="889" t="s">
        <v>717</v>
      </c>
      <c r="E59" s="890" t="s">
        <v>718</v>
      </c>
      <c r="F59" s="2116">
        <f ca="1">IF(项目基本情况!B11="企业","——",IF('数据-取费表'!B10="住宅",IF(F49*F50*F51/12/(1+'数据-取费表'!F30)&gt;100000,4%,2.5%),IF(F49*F50*F51/12/(1+'数据-取费表'!F30)&gt;100000,12%,7%)))</f>
        <v>7.0000000000000007E-2</v>
      </c>
      <c r="I59" s="1338" t="s">
        <v>848</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1" t="s">
        <v>850</v>
      </c>
      <c r="J60" s="1342" t="e">
        <f ca="1">IF(OR(M47="住宅",J51&lt;L48,J56="是"),"0",ROUND(J59/(1+J52)^J53,0))</f>
        <v>#DIV/0!</v>
      </c>
      <c r="K60" s="1343" t="s">
        <v>851</v>
      </c>
      <c r="L60" s="1342" t="e">
        <f ca="1">IF(OR(M47="住宅",L48&lt;J51),0,ROUND(L57*(L58/L59-1),0))</f>
        <v>#DIV/0!</v>
      </c>
      <c r="O60" s="1312" t="s">
        <v>407</v>
      </c>
      <c r="P60" s="1304" t="s">
        <v>852</v>
      </c>
      <c r="Q60" s="1305" t="e">
        <f ca="1">L58</f>
        <v>#DIV/0!</v>
      </c>
      <c r="R60" s="1305" t="s">
        <v>853</v>
      </c>
    </row>
    <row r="61" spans="1:18" s="1270" customFormat="1" ht="13.5" thickBot="1">
      <c r="A61" s="908" t="s">
        <v>778</v>
      </c>
      <c r="B61" s="876" t="s">
        <v>779</v>
      </c>
      <c r="C61" s="21">
        <f ca="1">IF(项目基本情况!B11="自然人","——",IF(D61="按租金收入计税",ROUND(C49*F61/(1+'数据-取费表'!C42),2),IF(D61="按房产原值计税",ROUND(C57*F61*0.7,2),INDIRECT("'数据-取费表'!Aj"&amp;$G$1))))</f>
        <v>0</v>
      </c>
      <c r="D61" s="1256" t="s">
        <v>3322</v>
      </c>
      <c r="E61" s="876" t="s">
        <v>780</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782</v>
      </c>
      <c r="C62" s="22">
        <f ca="1">IF(项目基本情况!B11="自然人","——",ROUND(F62*F63/10000,2))</f>
        <v>0</v>
      </c>
      <c r="D62" s="891" t="s">
        <v>783</v>
      </c>
      <c r="E62" s="876" t="s">
        <v>784</v>
      </c>
      <c r="F62" s="310">
        <f t="shared" si="0"/>
        <v>1.5</v>
      </c>
      <c r="I62" s="1345" t="s">
        <v>855</v>
      </c>
      <c r="J62" s="603" t="s">
        <v>856</v>
      </c>
      <c r="K62" s="603" t="s">
        <v>857</v>
      </c>
      <c r="L62" s="603" t="s">
        <v>858</v>
      </c>
      <c r="M62" s="1346" t="s">
        <v>859</v>
      </c>
      <c r="O62" s="1303" t="s">
        <v>409</v>
      </c>
      <c r="P62" s="1304" t="s">
        <v>860</v>
      </c>
      <c r="Q62" s="1305" t="e">
        <f ca="1">Q56+Q57</f>
        <v>#DIV/0!</v>
      </c>
      <c r="R62" s="1305" t="s">
        <v>410</v>
      </c>
    </row>
    <row r="63" spans="1:18" s="1270" customFormat="1" ht="13.5" thickBot="1">
      <c r="A63" s="311"/>
      <c r="B63" s="882"/>
      <c r="C63" s="26"/>
      <c r="D63" s="892"/>
      <c r="E63" s="876" t="s">
        <v>785</v>
      </c>
      <c r="F63" s="289">
        <f t="shared" ca="1" si="0"/>
        <v>0</v>
      </c>
      <c r="I63" s="1345" t="s">
        <v>861</v>
      </c>
      <c r="J63" s="603">
        <v>70</v>
      </c>
      <c r="K63" s="603">
        <v>50</v>
      </c>
      <c r="L63" s="603">
        <v>80</v>
      </c>
      <c r="M63" s="1347">
        <v>0.02</v>
      </c>
      <c r="O63" s="1288" t="s">
        <v>862</v>
      </c>
      <c r="P63" s="1267"/>
      <c r="Q63" s="1267"/>
      <c r="R63" s="1267"/>
    </row>
    <row r="64" spans="1:18" s="1270" customFormat="1" ht="13.5" thickBot="1">
      <c r="A64" s="908" t="s">
        <v>786</v>
      </c>
      <c r="B64" s="876" t="s">
        <v>787</v>
      </c>
      <c r="C64" s="21">
        <f ca="1">ROUND(C57*F64,2)</f>
        <v>0</v>
      </c>
      <c r="D64" s="890" t="s">
        <v>788</v>
      </c>
      <c r="E64" s="876" t="s">
        <v>780</v>
      </c>
      <c r="F64" s="313">
        <f t="shared" ca="1" si="0"/>
        <v>0</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ROUND(C56*F65,2)</f>
        <v>0</v>
      </c>
      <c r="D65" s="890" t="s">
        <v>740</v>
      </c>
      <c r="E65" s="876" t="s">
        <v>741</v>
      </c>
      <c r="F65" s="314">
        <f t="shared" ca="1" si="0"/>
        <v>0</v>
      </c>
      <c r="I65" s="1345" t="s">
        <v>864</v>
      </c>
      <c r="J65" s="603">
        <v>40</v>
      </c>
      <c r="K65" s="603">
        <v>30</v>
      </c>
      <c r="L65" s="603">
        <v>50</v>
      </c>
      <c r="M65" s="1347">
        <v>0.02</v>
      </c>
      <c r="O65" s="1303" t="s">
        <v>403</v>
      </c>
      <c r="P65" s="1304" t="s">
        <v>865</v>
      </c>
      <c r="Q65" s="1305" t="e">
        <f ca="1">C40+J29</f>
        <v>#DIV/0!</v>
      </c>
      <c r="R65" s="1305" t="s">
        <v>815</v>
      </c>
    </row>
    <row r="66" spans="1:18" s="1270" customFormat="1" ht="16.5" thickBot="1">
      <c r="A66" s="908" t="s">
        <v>790</v>
      </c>
      <c r="B66" s="876" t="s">
        <v>725</v>
      </c>
      <c r="C66" s="21">
        <f ca="1">ROUND(C48*F66,2)</f>
        <v>0</v>
      </c>
      <c r="D66" s="890" t="s">
        <v>791</v>
      </c>
      <c r="E66" s="876" t="s">
        <v>709</v>
      </c>
      <c r="F66" s="298">
        <f t="shared" ca="1" si="0"/>
        <v>0</v>
      </c>
      <c r="O66" s="1303" t="s">
        <v>404</v>
      </c>
      <c r="P66" s="1304" t="s">
        <v>843</v>
      </c>
      <c r="Q66" s="1305" t="e">
        <f ca="1">L60</f>
        <v>#DIV/0!</v>
      </c>
      <c r="R66" s="1305" t="s">
        <v>866</v>
      </c>
    </row>
    <row r="67" spans="1:18" s="1270" customFormat="1" ht="16.5" thickBot="1">
      <c r="A67" s="883" t="s">
        <v>394</v>
      </c>
      <c r="B67" s="893" t="s">
        <v>749</v>
      </c>
      <c r="C67" s="302">
        <f ca="1">C48-C58</f>
        <v>0</v>
      </c>
      <c r="D67" s="889" t="s">
        <v>750</v>
      </c>
      <c r="E67" s="894"/>
      <c r="F67" s="895"/>
      <c r="O67" s="1312" t="s">
        <v>405</v>
      </c>
      <c r="P67" s="1304" t="s">
        <v>847</v>
      </c>
      <c r="Q67" s="1348">
        <f ca="1">L51</f>
        <v>0</v>
      </c>
      <c r="R67" s="1305" t="s">
        <v>867</v>
      </c>
    </row>
    <row r="68" spans="1:18" s="1270" customFormat="1" ht="16.5" thickBot="1">
      <c r="A68" s="873" t="s">
        <v>395</v>
      </c>
      <c r="B68" s="874" t="s">
        <v>771</v>
      </c>
      <c r="C68" s="287" t="e">
        <f ca="1">ROUND(C67*(1-((1+F70)/(1+F68))^F69)/(F68-F70),0)</f>
        <v>#DIV/0!</v>
      </c>
      <c r="D68" s="891" t="s">
        <v>755</v>
      </c>
      <c r="E68" s="876" t="s">
        <v>756</v>
      </c>
      <c r="F68" s="298">
        <f ca="1">F40</f>
        <v>0</v>
      </c>
      <c r="O68" s="1312" t="s">
        <v>406</v>
      </c>
      <c r="P68" s="1349" t="s">
        <v>868</v>
      </c>
      <c r="Q68" s="1305">
        <f ca="1">ROUND(Q69-Q70*Q71,0)</f>
        <v>0</v>
      </c>
      <c r="R68" s="1305" t="s">
        <v>414</v>
      </c>
    </row>
    <row r="69" spans="1:18" s="1270" customFormat="1" ht="13.5" thickBot="1">
      <c r="A69" s="877"/>
      <c r="B69" s="878"/>
      <c r="C69" s="292"/>
      <c r="D69" s="896" t="s">
        <v>759</v>
      </c>
      <c r="E69" s="876" t="s">
        <v>760</v>
      </c>
      <c r="F69" s="317">
        <f ca="1">F41</f>
        <v>0</v>
      </c>
      <c r="O69" s="1312" t="s">
        <v>411</v>
      </c>
      <c r="P69" s="1349" t="s">
        <v>869</v>
      </c>
      <c r="Q69" s="1305">
        <f ca="1">C39</f>
        <v>0</v>
      </c>
      <c r="R69" s="1305" t="s">
        <v>815</v>
      </c>
    </row>
    <row r="70" spans="1:18" s="1270" customFormat="1" ht="13.5" thickBot="1">
      <c r="A70" s="880"/>
      <c r="B70" s="881"/>
      <c r="C70" s="296"/>
      <c r="D70" s="892"/>
      <c r="E70" s="876" t="s">
        <v>763</v>
      </c>
      <c r="F70" s="970"/>
      <c r="O70" s="1312" t="s">
        <v>412</v>
      </c>
      <c r="P70" s="1349" t="s">
        <v>870</v>
      </c>
      <c r="Q70" s="1305">
        <f ca="1">C13</f>
        <v>0</v>
      </c>
      <c r="R70" s="1305" t="s">
        <v>815</v>
      </c>
    </row>
    <row r="71" spans="1:18" s="1270" customFormat="1" ht="13.5" thickBot="1">
      <c r="A71" s="897" t="s">
        <v>396</v>
      </c>
      <c r="B71" s="898" t="s">
        <v>773</v>
      </c>
      <c r="C71" s="320" t="e">
        <f ca="1">ROUND(C68*10000/F71,0)</f>
        <v>#DIV/0!</v>
      </c>
      <c r="D71" s="899" t="s">
        <v>774</v>
      </c>
      <c r="E71" s="900" t="s">
        <v>775</v>
      </c>
      <c r="F71" s="323">
        <f ca="1">F43</f>
        <v>0</v>
      </c>
      <c r="O71" s="1312" t="s">
        <v>413</v>
      </c>
      <c r="P71" s="1349" t="s">
        <v>871</v>
      </c>
      <c r="Q71" s="1315">
        <f ca="1">C76</f>
        <v>0</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0</v>
      </c>
      <c r="D75" s="1270"/>
      <c r="E75" s="1270"/>
      <c r="F75" s="1270"/>
      <c r="K75" s="1287"/>
      <c r="L75" s="1270"/>
      <c r="O75" s="1303" t="s">
        <v>409</v>
      </c>
      <c r="P75" s="1304" t="s">
        <v>835</v>
      </c>
      <c r="Q75" s="1305" t="e">
        <f ca="1">Q65+Q66</f>
        <v>#DIV/0!</v>
      </c>
      <c r="R75" s="1305" t="s">
        <v>410</v>
      </c>
    </row>
    <row r="76" spans="1:18">
      <c r="B76" s="326" t="s">
        <v>793</v>
      </c>
      <c r="C76" s="327">
        <f ca="1">INDIRECT("'数据-取费表'!j"&amp;$G$1)</f>
        <v>0</v>
      </c>
      <c r="I76" s="1270"/>
      <c r="J76" s="1270"/>
      <c r="K76" s="1287"/>
      <c r="L76" s="1270"/>
    </row>
    <row r="77" spans="1:18">
      <c r="B77" s="328" t="s">
        <v>794</v>
      </c>
      <c r="C77" s="329"/>
      <c r="I77" s="1270"/>
      <c r="J77" s="1270"/>
      <c r="K77" s="1287"/>
      <c r="L77" s="1270"/>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53" priority="3">
      <formula>$F$10="自定义"</formula>
    </cfRule>
  </conditionalFormatting>
  <conditionalFormatting sqref="C54">
    <cfRule type="expression" dxfId="152" priority="1">
      <formula>$F$53="自定义"</formula>
    </cfRule>
  </conditionalFormatting>
  <conditionalFormatting sqref="I55 I60">
    <cfRule type="expression" dxfId="151" priority="57">
      <formula>$J$51&gt;$L$48</formula>
    </cfRule>
  </conditionalFormatting>
  <conditionalFormatting sqref="J11">
    <cfRule type="expression" dxfId="150" priority="2">
      <formula>$M$10="自定义"</formula>
    </cfRule>
  </conditionalFormatting>
  <conditionalFormatting sqref="K55 K60">
    <cfRule type="expression" dxfId="14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2421</v>
      </c>
      <c r="B1" s="2556"/>
      <c r="C1" s="2568"/>
      <c r="D1" s="2568"/>
      <c r="E1" s="2557"/>
      <c r="F1" s="2558"/>
      <c r="G1" s="2559"/>
      <c r="J1" s="2562" t="s">
        <v>2300</v>
      </c>
      <c r="K1" s="2563"/>
      <c r="L1" s="2563"/>
      <c r="M1" s="2563"/>
      <c r="N1" s="2563"/>
      <c r="O1" s="2563"/>
      <c r="P1" s="2563"/>
      <c r="Q1" s="2563"/>
      <c r="R1" s="2564"/>
      <c r="S1" s="2565"/>
      <c r="T1" s="2565"/>
      <c r="U1" s="2565"/>
    </row>
    <row r="2" spans="1:22" s="2577" customFormat="1" ht="13.15" customHeight="1">
      <c r="A2" s="1271" t="s">
        <v>2301</v>
      </c>
      <c r="B2" s="2567" t="e">
        <f>IF(D2="——",C40,C40+E2)</f>
        <v>#DIV/0!</v>
      </c>
      <c r="C2" s="2568" t="s">
        <v>2302</v>
      </c>
      <c r="D2" s="3110" t="s">
        <v>3344</v>
      </c>
      <c r="E2" s="3111"/>
      <c r="F2" s="2570"/>
      <c r="G2" s="2571"/>
      <c r="H2" s="2572"/>
      <c r="I2" s="2573"/>
      <c r="J2" s="3350" t="s">
        <v>2303</v>
      </c>
      <c r="K2" s="3351"/>
      <c r="L2" s="2574" t="s">
        <v>2304</v>
      </c>
      <c r="M2" s="2574" t="s">
        <v>2305</v>
      </c>
      <c r="N2" s="2574" t="s">
        <v>2306</v>
      </c>
      <c r="O2" s="2574" t="s">
        <v>2307</v>
      </c>
      <c r="P2" s="2574" t="s">
        <v>2308</v>
      </c>
      <c r="Q2" s="2575" t="s">
        <v>2309</v>
      </c>
      <c r="R2" s="2576" t="s">
        <v>2310</v>
      </c>
      <c r="S2" s="2565"/>
      <c r="T2" s="2565"/>
      <c r="U2" s="2565"/>
      <c r="V2" s="2573"/>
    </row>
    <row r="3" spans="1:22" s="2577" customFormat="1" ht="13.15" customHeight="1">
      <c r="A3" s="2578" t="s">
        <v>2311</v>
      </c>
      <c r="B3" s="2579" t="e">
        <f>ROUND(B2*10000/B4,0)</f>
        <v>#DIV/0!</v>
      </c>
      <c r="C3" s="2568" t="s">
        <v>2312</v>
      </c>
      <c r="D3" s="2568"/>
      <c r="E3" s="2569"/>
      <c r="F3" s="2570"/>
      <c r="G3" s="2571"/>
      <c r="H3" s="2572"/>
      <c r="I3" s="2573"/>
      <c r="J3" s="3352" t="s">
        <v>2313</v>
      </c>
      <c r="K3" s="3353"/>
      <c r="L3" s="2580"/>
      <c r="M3" s="2580"/>
      <c r="N3" s="2580"/>
      <c r="O3" s="2580"/>
      <c r="P3" s="2580"/>
      <c r="Q3" s="2581"/>
      <c r="R3" s="2582">
        <f>SUM(L3:Q3)</f>
        <v>0</v>
      </c>
      <c r="S3" s="2565"/>
      <c r="T3" s="2565"/>
      <c r="U3" s="2565"/>
      <c r="V3" s="2573"/>
    </row>
    <row r="4" spans="1:22" s="2577" customFormat="1" ht="13.15" customHeight="1">
      <c r="A4" s="2583" t="s">
        <v>2314</v>
      </c>
      <c r="B4" s="2584"/>
      <c r="C4" s="2568"/>
      <c r="D4" s="2568"/>
      <c r="E4" s="2569"/>
      <c r="F4" s="2570"/>
      <c r="G4" s="2571"/>
      <c r="H4" s="2572"/>
      <c r="I4" s="2573"/>
      <c r="J4" s="3352" t="s">
        <v>2315</v>
      </c>
      <c r="K4" s="3353"/>
      <c r="L4" s="2585"/>
      <c r="M4" s="2585"/>
      <c r="N4" s="2585"/>
      <c r="O4" s="2585"/>
      <c r="P4" s="2585"/>
      <c r="Q4" s="2586"/>
      <c r="R4" s="2587">
        <f>SUM(L4:Q4)</f>
        <v>0</v>
      </c>
      <c r="S4" s="2565"/>
      <c r="T4" s="2565"/>
      <c r="U4" s="2565"/>
      <c r="V4" s="2573"/>
    </row>
    <row r="5" spans="1:22" s="2577" customFormat="1" ht="13.15" customHeight="1" thickBot="1">
      <c r="A5" s="2588" t="s">
        <v>2316</v>
      </c>
      <c r="B5" s="2589"/>
      <c r="C5" s="2568"/>
      <c r="D5" s="2590"/>
      <c r="E5" s="2570"/>
      <c r="F5" s="2570"/>
      <c r="G5" s="2571"/>
      <c r="H5" s="2572"/>
      <c r="I5" s="2573"/>
      <c r="J5" s="2591" t="s">
        <v>2317</v>
      </c>
      <c r="K5" s="2592"/>
      <c r="L5" s="2592"/>
      <c r="M5" s="2593"/>
      <c r="N5" s="2593"/>
      <c r="O5" s="2593"/>
      <c r="P5" s="2593"/>
      <c r="Q5" s="2593"/>
      <c r="R5" s="2576">
        <f>SUM(R14,R19,R24,R25,R27,R28)</f>
        <v>0</v>
      </c>
      <c r="S5" s="2565"/>
      <c r="T5" s="2565" t="s">
        <v>2318</v>
      </c>
      <c r="U5" s="2565" t="e">
        <f>ROUND(R5*10000/365/R3,1)</f>
        <v>#DIV/0!</v>
      </c>
      <c r="V5" s="2573"/>
    </row>
    <row r="6" spans="1:22" s="2577" customFormat="1" ht="13.15" customHeight="1" thickBot="1">
      <c r="A6" s="3358" t="s">
        <v>2319</v>
      </c>
      <c r="B6" s="3359"/>
      <c r="C6" s="3360"/>
      <c r="D6" s="2594"/>
      <c r="E6" s="2595"/>
      <c r="F6" s="2596"/>
      <c r="G6" s="2597"/>
      <c r="H6" s="2572"/>
      <c r="I6" s="2573"/>
      <c r="J6" s="3344">
        <v>1</v>
      </c>
      <c r="K6" s="3345" t="s">
        <v>2320</v>
      </c>
      <c r="L6" s="2598" t="s">
        <v>2321</v>
      </c>
      <c r="M6" s="2599" t="s">
        <v>2322</v>
      </c>
      <c r="N6" s="2599" t="s">
        <v>2323</v>
      </c>
      <c r="O6" s="2599" t="s">
        <v>2324</v>
      </c>
      <c r="P6" s="2599" t="s">
        <v>2325</v>
      </c>
      <c r="Q6" s="2599" t="s">
        <v>2326</v>
      </c>
      <c r="R6" s="2582" t="s">
        <v>2327</v>
      </c>
      <c r="S6" s="2565"/>
      <c r="T6" s="2565" t="s">
        <v>2328</v>
      </c>
      <c r="U6" s="2565"/>
      <c r="V6" s="2573"/>
    </row>
    <row r="7" spans="1:22" s="2577" customFormat="1" ht="13.15" customHeight="1">
      <c r="A7" s="2600" t="s">
        <v>2329</v>
      </c>
      <c r="B7" s="2601"/>
      <c r="C7" s="2602"/>
      <c r="D7" s="2603">
        <f>SUM(D9,D10,D11,D17,0)</f>
        <v>0</v>
      </c>
      <c r="E7" s="2604" t="e">
        <f>E9+E10+E11+E17</f>
        <v>#DIV/0!</v>
      </c>
      <c r="F7" s="2605"/>
      <c r="G7" s="2606"/>
      <c r="H7" s="2572"/>
      <c r="I7" s="2573"/>
      <c r="J7" s="3344"/>
      <c r="K7" s="3346"/>
      <c r="L7" s="2607" t="s">
        <v>2330</v>
      </c>
      <c r="M7" s="2608"/>
      <c r="N7" s="2584"/>
      <c r="O7" s="2609"/>
      <c r="P7" s="2609"/>
      <c r="Q7" s="2610">
        <v>365</v>
      </c>
      <c r="R7" s="2611">
        <f>ROUND(M7*N7*O7*P7*Q7/10000,0)</f>
        <v>0</v>
      </c>
      <c r="S7" s="2565"/>
      <c r="T7" s="2565" t="s">
        <v>2331</v>
      </c>
      <c r="U7" s="2565"/>
      <c r="V7" s="2573"/>
    </row>
    <row r="8" spans="1:22" s="2577" customFormat="1" ht="13.15" customHeight="1">
      <c r="A8" s="2612" t="s">
        <v>2332</v>
      </c>
      <c r="B8" s="3361" t="s">
        <v>2333</v>
      </c>
      <c r="C8" s="3362"/>
      <c r="D8" s="2613" t="s">
        <v>2334</v>
      </c>
      <c r="E8" s="2614" t="s">
        <v>2335</v>
      </c>
      <c r="F8" s="2615" t="s">
        <v>2336</v>
      </c>
      <c r="G8" s="2616"/>
      <c r="H8" s="2572"/>
      <c r="I8" s="2573"/>
      <c r="J8" s="3344"/>
      <c r="K8" s="3346"/>
      <c r="L8" s="2607" t="s">
        <v>2337</v>
      </c>
      <c r="M8" s="2608"/>
      <c r="N8" s="2584"/>
      <c r="O8" s="2609"/>
      <c r="P8" s="2609"/>
      <c r="Q8" s="2610">
        <v>365</v>
      </c>
      <c r="R8" s="2611">
        <f t="shared" ref="R8:R13" si="0">ROUND(M8*N8*O8*P8*Q8/10000,0)</f>
        <v>0</v>
      </c>
      <c r="S8" s="2565"/>
      <c r="T8" s="2565" t="s">
        <v>2338</v>
      </c>
      <c r="U8" s="2565"/>
      <c r="V8" s="2573"/>
    </row>
    <row r="9" spans="1:22" s="2577" customFormat="1" ht="13.15" customHeight="1">
      <c r="A9" s="2612">
        <v>1</v>
      </c>
      <c r="B9" s="3361" t="s">
        <v>2339</v>
      </c>
      <c r="C9" s="3362"/>
      <c r="D9" s="2613">
        <f>ROUND(D6*E9,0)</f>
        <v>0</v>
      </c>
      <c r="E9" s="2617"/>
      <c r="F9" s="2618" t="s">
        <v>2340</v>
      </c>
      <c r="G9" s="2597"/>
      <c r="H9" s="2572"/>
      <c r="I9" s="2573"/>
      <c r="J9" s="3344"/>
      <c r="K9" s="3346"/>
      <c r="L9" s="2607" t="s">
        <v>2341</v>
      </c>
      <c r="M9" s="2608"/>
      <c r="N9" s="2584"/>
      <c r="O9" s="2609"/>
      <c r="P9" s="2609"/>
      <c r="Q9" s="2610">
        <v>365</v>
      </c>
      <c r="R9" s="2611">
        <f t="shared" si="0"/>
        <v>0</v>
      </c>
      <c r="S9" s="2565"/>
      <c r="T9" s="2565"/>
      <c r="U9" s="2565"/>
      <c r="V9" s="2573"/>
    </row>
    <row r="10" spans="1:22" s="2577" customFormat="1" ht="13.15" customHeight="1">
      <c r="A10" s="2612">
        <v>2</v>
      </c>
      <c r="B10" s="3361" t="s">
        <v>2342</v>
      </c>
      <c r="C10" s="3362"/>
      <c r="D10" s="2613">
        <f>ROUND(D6*E10,0)</f>
        <v>0</v>
      </c>
      <c r="E10" s="2617"/>
      <c r="F10" s="2618" t="s">
        <v>2343</v>
      </c>
      <c r="G10" s="2597"/>
      <c r="H10" s="2572"/>
      <c r="I10" s="2573"/>
      <c r="J10" s="3344"/>
      <c r="K10" s="3346"/>
      <c r="L10" s="2607" t="s">
        <v>2344</v>
      </c>
      <c r="M10" s="2608"/>
      <c r="N10" s="2584"/>
      <c r="O10" s="2609"/>
      <c r="P10" s="2609"/>
      <c r="Q10" s="2610">
        <v>365</v>
      </c>
      <c r="R10" s="2611">
        <f t="shared" si="0"/>
        <v>0</v>
      </c>
      <c r="S10" s="2565"/>
      <c r="T10" s="2565"/>
      <c r="U10" s="2565"/>
      <c r="V10" s="2573"/>
    </row>
    <row r="11" spans="1:22" s="2577" customFormat="1" ht="13.15" customHeight="1">
      <c r="A11" s="2612">
        <v>3</v>
      </c>
      <c r="B11" s="3361" t="s">
        <v>2345</v>
      </c>
      <c r="C11" s="3362"/>
      <c r="D11" s="2613">
        <f>D12+D14+D15+D16</f>
        <v>0</v>
      </c>
      <c r="E11" s="2619" t="e">
        <f>D11/D6</f>
        <v>#DIV/0!</v>
      </c>
      <c r="F11" s="2615"/>
      <c r="G11" s="2616"/>
      <c r="H11" s="2572"/>
      <c r="I11" s="2573"/>
      <c r="J11" s="3344"/>
      <c r="K11" s="3346"/>
      <c r="L11" s="2607" t="s">
        <v>2346</v>
      </c>
      <c r="M11" s="2608"/>
      <c r="N11" s="2584"/>
      <c r="O11" s="2609"/>
      <c r="P11" s="2609"/>
      <c r="Q11" s="2610">
        <v>365</v>
      </c>
      <c r="R11" s="2611">
        <f t="shared" si="0"/>
        <v>0</v>
      </c>
      <c r="S11" s="2565"/>
      <c r="T11" s="2565"/>
      <c r="U11" s="2565"/>
      <c r="V11" s="2573"/>
    </row>
    <row r="12" spans="1:22" s="2577" customFormat="1" ht="13.15" customHeight="1">
      <c r="A12" s="2620" t="s">
        <v>2347</v>
      </c>
      <c r="B12" s="3354" t="s">
        <v>2348</v>
      </c>
      <c r="C12" s="3355"/>
      <c r="D12" s="2621">
        <f>ROUND(D13*1.2%*(1-30%),0)</f>
        <v>0</v>
      </c>
      <c r="E12" s="2622">
        <v>1.2E-2</v>
      </c>
      <c r="F12" s="2615" t="s">
        <v>2349</v>
      </c>
      <c r="G12" s="2616"/>
      <c r="H12" s="2572"/>
      <c r="I12" s="2573"/>
      <c r="J12" s="3344"/>
      <c r="K12" s="3346"/>
      <c r="L12" s="2607" t="s">
        <v>2350</v>
      </c>
      <c r="M12" s="2608"/>
      <c r="N12" s="2584"/>
      <c r="O12" s="2609"/>
      <c r="P12" s="2609"/>
      <c r="Q12" s="2610">
        <v>365</v>
      </c>
      <c r="R12" s="2611">
        <f t="shared" si="0"/>
        <v>0</v>
      </c>
      <c r="S12" s="2565"/>
      <c r="T12" s="2565"/>
      <c r="U12" s="2565"/>
      <c r="V12" s="2573"/>
    </row>
    <row r="13" spans="1:22" s="2577" customFormat="1" ht="13.15" customHeight="1">
      <c r="A13" s="2620"/>
      <c r="B13" s="2623"/>
      <c r="C13" s="2624" t="s">
        <v>2351</v>
      </c>
      <c r="D13" s="2625"/>
      <c r="E13" s="2626"/>
      <c r="F13" s="2615"/>
      <c r="G13" s="2616"/>
      <c r="H13" s="2572"/>
      <c r="I13" s="2573"/>
      <c r="J13" s="3344"/>
      <c r="K13" s="3346"/>
      <c r="L13" s="2607" t="s">
        <v>2352</v>
      </c>
      <c r="M13" s="2608"/>
      <c r="N13" s="2584"/>
      <c r="O13" s="2609"/>
      <c r="P13" s="2609"/>
      <c r="Q13" s="2610">
        <v>365</v>
      </c>
      <c r="R13" s="2611">
        <f t="shared" si="0"/>
        <v>0</v>
      </c>
      <c r="S13" s="2565"/>
      <c r="T13" s="2565"/>
      <c r="U13" s="2565"/>
      <c r="V13" s="2573"/>
    </row>
    <row r="14" spans="1:22" s="2577" customFormat="1" ht="13.15" customHeight="1">
      <c r="A14" s="2620" t="s">
        <v>2353</v>
      </c>
      <c r="B14" s="3354" t="s">
        <v>2354</v>
      </c>
      <c r="C14" s="3355"/>
      <c r="D14" s="2621">
        <f>ROUND(E14*B5/10000,0)</f>
        <v>0</v>
      </c>
      <c r="E14" s="2610"/>
      <c r="F14" s="2615" t="s">
        <v>2355</v>
      </c>
      <c r="G14" s="2616"/>
      <c r="H14" s="2572"/>
      <c r="I14" s="2573"/>
      <c r="J14" s="3344"/>
      <c r="K14" s="3347"/>
      <c r="L14" s="2627" t="s">
        <v>2356</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2357</v>
      </c>
      <c r="B15" s="3354" t="s">
        <v>2358</v>
      </c>
      <c r="C15" s="3355"/>
      <c r="D15" s="2621">
        <f>ROUND(D6*E15,0)</f>
        <v>0</v>
      </c>
      <c r="E15" s="2622">
        <v>5.5E-2</v>
      </c>
      <c r="F15" s="2615" t="s">
        <v>2359</v>
      </c>
      <c r="G15" s="2597"/>
      <c r="H15" s="2572"/>
      <c r="I15" s="2573"/>
      <c r="J15" s="3344">
        <v>2</v>
      </c>
      <c r="K15" s="3345" t="s">
        <v>2360</v>
      </c>
      <c r="L15" s="2607" t="s">
        <v>2361</v>
      </c>
      <c r="M15" s="2608" t="s">
        <v>2362</v>
      </c>
      <c r="N15" s="2608" t="s">
        <v>2363</v>
      </c>
      <c r="O15" s="2609" t="s">
        <v>2364</v>
      </c>
      <c r="P15" s="2609" t="s">
        <v>2326</v>
      </c>
      <c r="Q15" s="2584" t="s">
        <v>2365</v>
      </c>
      <c r="R15" s="2631" t="s">
        <v>2327</v>
      </c>
      <c r="S15" s="2565"/>
      <c r="T15" s="2565"/>
      <c r="U15" s="2565"/>
      <c r="V15" s="2573"/>
    </row>
    <row r="16" spans="1:22" s="2577" customFormat="1" ht="13.15" customHeight="1">
      <c r="A16" s="2620" t="s">
        <v>2366</v>
      </c>
      <c r="B16" s="3354" t="s">
        <v>2367</v>
      </c>
      <c r="C16" s="3355"/>
      <c r="D16" s="2632">
        <f>D6*E16</f>
        <v>0</v>
      </c>
      <c r="E16" s="2633"/>
      <c r="F16" s="2618" t="s">
        <v>2368</v>
      </c>
      <c r="G16" s="2597"/>
      <c r="H16" s="2572"/>
      <c r="I16" s="2573"/>
      <c r="J16" s="3344"/>
      <c r="K16" s="3346"/>
      <c r="L16" s="2607" t="s">
        <v>2369</v>
      </c>
      <c r="M16" s="2608"/>
      <c r="N16" s="2608"/>
      <c r="O16" s="2609"/>
      <c r="P16" s="2610">
        <v>365</v>
      </c>
      <c r="Q16" s="2584"/>
      <c r="R16" s="2631">
        <f>ROUND(M16*N16*O16*P16/10000,0)</f>
        <v>0</v>
      </c>
      <c r="S16" s="2565"/>
      <c r="T16" s="2565"/>
      <c r="U16" s="2565"/>
      <c r="V16" s="2573"/>
    </row>
    <row r="17" spans="1:22" s="2577" customFormat="1" ht="13.15" customHeight="1" thickBot="1">
      <c r="A17" s="2634">
        <v>4</v>
      </c>
      <c r="B17" s="3356" t="s">
        <v>2370</v>
      </c>
      <c r="C17" s="3357"/>
      <c r="D17" s="2635">
        <f>ROUND(D6*E17,0)</f>
        <v>0</v>
      </c>
      <c r="E17" s="2636"/>
      <c r="F17" s="2637" t="s">
        <v>2371</v>
      </c>
      <c r="G17" s="2597"/>
      <c r="H17" s="2572"/>
      <c r="I17" s="2573"/>
      <c r="J17" s="3344"/>
      <c r="K17" s="3346"/>
      <c r="L17" s="2607" t="s">
        <v>2372</v>
      </c>
      <c r="M17" s="2608"/>
      <c r="N17" s="2608"/>
      <c r="O17" s="2609"/>
      <c r="P17" s="2610">
        <v>365</v>
      </c>
      <c r="Q17" s="2584"/>
      <c r="R17" s="2631">
        <f>ROUND(M17*N17*O17*P17/10000,0)</f>
        <v>0</v>
      </c>
      <c r="S17" s="2565"/>
      <c r="T17" s="2565"/>
      <c r="U17" s="2565"/>
      <c r="V17" s="2573"/>
    </row>
    <row r="18" spans="1:22" s="2577" customFormat="1" ht="13.15" customHeight="1" thickBot="1">
      <c r="A18" s="2600" t="s">
        <v>2373</v>
      </c>
      <c r="B18" s="2601"/>
      <c r="C18" s="2601"/>
      <c r="D18" s="2638">
        <f>ROUND(D6*E18,0)</f>
        <v>0</v>
      </c>
      <c r="E18" s="2639"/>
      <c r="F18" s="2640" t="s">
        <v>2374</v>
      </c>
      <c r="G18" s="2597"/>
      <c r="H18" s="2572"/>
      <c r="I18" s="2573"/>
      <c r="J18" s="3344"/>
      <c r="K18" s="3346"/>
      <c r="L18" s="2607" t="s">
        <v>2375</v>
      </c>
      <c r="M18" s="2608"/>
      <c r="N18" s="2608"/>
      <c r="O18" s="2609"/>
      <c r="P18" s="2610">
        <v>365</v>
      </c>
      <c r="Q18" s="2584"/>
      <c r="R18" s="2631">
        <f>ROUND(M18*N18*O18*P18/10000,0)</f>
        <v>0</v>
      </c>
      <c r="S18" s="2565"/>
      <c r="T18" s="2565"/>
      <c r="U18" s="2565"/>
      <c r="V18" s="2573"/>
    </row>
    <row r="19" spans="1:22" s="2577" customFormat="1" ht="13.15" customHeight="1" thickBot="1">
      <c r="A19" s="2641" t="s">
        <v>2376</v>
      </c>
      <c r="B19" s="2595"/>
      <c r="C19" s="2595"/>
      <c r="D19" s="2595"/>
      <c r="E19" s="2595"/>
      <c r="F19" s="2596"/>
      <c r="G19" s="2616"/>
      <c r="H19" s="2572"/>
      <c r="I19" s="2573"/>
      <c r="J19" s="3344"/>
      <c r="K19" s="3347"/>
      <c r="L19" s="2627" t="s">
        <v>2356</v>
      </c>
      <c r="M19" s="2628"/>
      <c r="N19" s="2628">
        <f>SUM(N16:N18)</f>
        <v>0</v>
      </c>
      <c r="O19" s="2629"/>
      <c r="P19" s="2642" t="s">
        <v>2420</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44">
        <v>3</v>
      </c>
      <c r="K20" s="3345" t="s">
        <v>2377</v>
      </c>
      <c r="L20" s="2607" t="s">
        <v>2378</v>
      </c>
      <c r="M20" s="2608" t="s">
        <v>2379</v>
      </c>
      <c r="N20" s="2645" t="s">
        <v>2380</v>
      </c>
      <c r="O20" s="2609" t="s">
        <v>2381</v>
      </c>
      <c r="P20" s="2610" t="s">
        <v>2382</v>
      </c>
      <c r="Q20" s="2584" t="s">
        <v>2383</v>
      </c>
      <c r="R20" s="2631" t="s">
        <v>2384</v>
      </c>
      <c r="S20" s="2565"/>
      <c r="T20" s="2565"/>
      <c r="U20" s="2565"/>
      <c r="V20" s="2573"/>
    </row>
    <row r="21" spans="1:22" s="2577" customFormat="1" ht="13.15" customHeight="1">
      <c r="A21" s="2600"/>
      <c r="B21" s="2601"/>
      <c r="C21" s="2646" t="s">
        <v>2385</v>
      </c>
      <c r="D21" s="2647" t="s">
        <v>2386</v>
      </c>
      <c r="E21" s="2648" t="s">
        <v>2387</v>
      </c>
      <c r="F21" s="2644"/>
      <c r="G21" s="2616"/>
      <c r="H21" s="2572"/>
      <c r="I21" s="2573"/>
      <c r="J21" s="3344"/>
      <c r="K21" s="3346"/>
      <c r="L21" s="2607" t="s">
        <v>2388</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2389</v>
      </c>
      <c r="D22" s="2651" t="s">
        <v>2390</v>
      </c>
      <c r="E22" s="2652" t="s">
        <v>2391</v>
      </c>
      <c r="F22" s="2644"/>
      <c r="G22" s="2565"/>
      <c r="H22" s="2572"/>
      <c r="I22" s="2573"/>
      <c r="J22" s="3344"/>
      <c r="K22" s="3346"/>
      <c r="L22" s="2607" t="s">
        <v>2392</v>
      </c>
      <c r="M22" s="2608"/>
      <c r="N22" s="2608"/>
      <c r="O22" s="2609"/>
      <c r="P22" s="2610">
        <v>365</v>
      </c>
      <c r="Q22" s="2584"/>
      <c r="R22" s="2649">
        <f>ROUND(M22*N22*O22*P22/10000,0)</f>
        <v>0</v>
      </c>
      <c r="S22" s="2565"/>
      <c r="T22" s="2565"/>
      <c r="U22" s="2565"/>
      <c r="V22" s="2573"/>
    </row>
    <row r="23" spans="1:22" s="2577" customFormat="1" ht="13.15" customHeight="1">
      <c r="A23" s="2653">
        <v>1</v>
      </c>
      <c r="B23" s="2654" t="s">
        <v>2393</v>
      </c>
      <c r="C23" s="2655">
        <f>D6</f>
        <v>0</v>
      </c>
      <c r="D23" s="2656">
        <f>C23*(1+D24)</f>
        <v>0</v>
      </c>
      <c r="E23" s="2657">
        <f>D23*(1+E24)</f>
        <v>0</v>
      </c>
      <c r="F23" s="2658"/>
      <c r="G23" s="2659"/>
      <c r="H23" s="2572"/>
      <c r="I23" s="2573"/>
      <c r="J23" s="3344"/>
      <c r="K23" s="3346"/>
      <c r="L23" s="2607" t="s">
        <v>2394</v>
      </c>
      <c r="M23" s="2608"/>
      <c r="N23" s="2608"/>
      <c r="O23" s="2609"/>
      <c r="P23" s="2610">
        <v>365</v>
      </c>
      <c r="Q23" s="2584"/>
      <c r="R23" s="2649">
        <f>ROUND(M23*N23*O23*P23/10000,0)</f>
        <v>0</v>
      </c>
      <c r="S23" s="2565"/>
      <c r="T23" s="2565"/>
      <c r="U23" s="2565"/>
      <c r="V23" s="2573"/>
    </row>
    <row r="24" spans="1:22" s="2577" customFormat="1" ht="13.15" customHeight="1">
      <c r="A24" s="2660"/>
      <c r="B24" s="2661" t="s">
        <v>2395</v>
      </c>
      <c r="C24" s="2662"/>
      <c r="D24" s="2663"/>
      <c r="E24" s="2664"/>
      <c r="F24" s="2665"/>
      <c r="G24" s="2659"/>
      <c r="H24" s="2572"/>
      <c r="I24" s="2573"/>
      <c r="J24" s="3344"/>
      <c r="K24" s="3347"/>
      <c r="L24" s="2627" t="s">
        <v>2356</v>
      </c>
      <c r="M24" s="2628">
        <f>SUM(M21:M23)</f>
        <v>0</v>
      </c>
      <c r="N24" s="2628"/>
      <c r="O24" s="2629"/>
      <c r="P24" s="2642" t="s">
        <v>2420</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2396</v>
      </c>
      <c r="L25" s="2668"/>
      <c r="M25" s="2668"/>
      <c r="N25" s="2668"/>
      <c r="O25" s="2668"/>
      <c r="P25" s="2669"/>
      <c r="Q25" s="2670">
        <v>0</v>
      </c>
      <c r="R25" s="2643">
        <f>ROUND(R14*Q25,0)</f>
        <v>0</v>
      </c>
      <c r="S25" s="2565"/>
      <c r="T25" s="2565"/>
      <c r="U25" s="2565"/>
      <c r="V25" s="2671"/>
    </row>
    <row r="26" spans="1:22" s="2672" customFormat="1" ht="13.15" customHeight="1">
      <c r="A26" s="2653">
        <v>2</v>
      </c>
      <c r="B26" s="2654" t="s">
        <v>2397</v>
      </c>
      <c r="C26" s="2655">
        <f>D7</f>
        <v>0</v>
      </c>
      <c r="D26" s="2656">
        <f>D23*D27</f>
        <v>0</v>
      </c>
      <c r="E26" s="2657">
        <f>E23*E27</f>
        <v>0</v>
      </c>
      <c r="F26" s="2658"/>
      <c r="G26" s="2659"/>
      <c r="H26" s="2572"/>
      <c r="I26" s="2573"/>
      <c r="J26" s="3348">
        <v>5</v>
      </c>
      <c r="K26" s="2673" t="s">
        <v>2398</v>
      </c>
      <c r="L26" s="2674"/>
      <c r="M26" s="2675"/>
      <c r="N26" s="2676" t="s">
        <v>2399</v>
      </c>
      <c r="O26" s="2676" t="s">
        <v>2400</v>
      </c>
      <c r="P26" s="2677" t="s">
        <v>2401</v>
      </c>
      <c r="Q26" s="2677" t="s">
        <v>2402</v>
      </c>
      <c r="R26" s="2582" t="s">
        <v>2327</v>
      </c>
      <c r="S26" s="2616"/>
      <c r="T26" s="2616"/>
      <c r="U26" s="2616"/>
      <c r="V26" s="2671"/>
    </row>
    <row r="27" spans="1:22" s="2577" customFormat="1" ht="13.15" customHeight="1">
      <c r="A27" s="2660"/>
      <c r="B27" s="2661" t="s">
        <v>2403</v>
      </c>
      <c r="C27" s="2678" t="e">
        <f>E7</f>
        <v>#DIV/0!</v>
      </c>
      <c r="D27" s="2663"/>
      <c r="E27" s="2664"/>
      <c r="F27" s="2665"/>
      <c r="G27" s="2659"/>
      <c r="H27" s="2679"/>
      <c r="I27" s="2671"/>
      <c r="J27" s="3349"/>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2404</v>
      </c>
      <c r="F28" s="2665"/>
      <c r="G28" s="2565"/>
      <c r="H28" s="2679"/>
      <c r="I28" s="2671"/>
      <c r="J28" s="2685">
        <v>6</v>
      </c>
      <c r="K28" s="2686" t="s">
        <v>2405</v>
      </c>
      <c r="L28" s="2687" t="s">
        <v>2406</v>
      </c>
      <c r="M28" s="2688"/>
      <c r="N28" s="2687" t="s">
        <v>2407</v>
      </c>
      <c r="O28" s="2689"/>
      <c r="P28" s="2687" t="s">
        <v>2408</v>
      </c>
      <c r="Q28" s="2690">
        <v>1.4999999999999999E-2</v>
      </c>
      <c r="R28" s="2691"/>
      <c r="S28" s="2565"/>
      <c r="T28" s="2565"/>
      <c r="U28" s="2565"/>
      <c r="V28" s="2671"/>
    </row>
    <row r="29" spans="1:22" s="2672" customFormat="1" ht="13.15" customHeight="1">
      <c r="A29" s="2653">
        <v>3</v>
      </c>
      <c r="B29" s="2654" t="s">
        <v>2409</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2403</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2410</v>
      </c>
      <c r="K31" s="2563"/>
      <c r="L31" s="2563"/>
      <c r="M31" s="2563"/>
      <c r="N31" s="2563"/>
      <c r="O31" s="2563"/>
      <c r="P31" s="2563"/>
      <c r="Q31" s="2563"/>
      <c r="R31" s="2564"/>
      <c r="S31" s="2565"/>
      <c r="T31" s="2565"/>
      <c r="U31" s="2565"/>
      <c r="V31" s="2671"/>
    </row>
    <row r="32" spans="1:22" s="2672" customFormat="1" ht="13.15" customHeight="1">
      <c r="A32" s="2653">
        <v>4</v>
      </c>
      <c r="B32" s="2654" t="s">
        <v>2411</v>
      </c>
      <c r="C32" s="2655">
        <f>C23-C26-C29</f>
        <v>0</v>
      </c>
      <c r="D32" s="2656">
        <f>D23-D26-D29</f>
        <v>0</v>
      </c>
      <c r="E32" s="2657">
        <f>E23-E26-E29</f>
        <v>0</v>
      </c>
      <c r="F32" s="2658"/>
      <c r="G32" s="2565"/>
      <c r="H32" s="2572"/>
      <c r="I32" s="2573"/>
      <c r="J32" s="3350" t="s">
        <v>2303</v>
      </c>
      <c r="K32" s="3351"/>
      <c r="L32" s="2574" t="s">
        <v>2304</v>
      </c>
      <c r="M32" s="2574" t="s">
        <v>2305</v>
      </c>
      <c r="N32" s="2574" t="s">
        <v>2306</v>
      </c>
      <c r="O32" s="2574" t="s">
        <v>2307</v>
      </c>
      <c r="P32" s="2574" t="s">
        <v>2308</v>
      </c>
      <c r="Q32" s="2575" t="s">
        <v>2309</v>
      </c>
      <c r="R32" s="2694" t="s">
        <v>2310</v>
      </c>
      <c r="S32" s="2565"/>
      <c r="T32" s="2565"/>
      <c r="U32" s="2565"/>
      <c r="V32" s="2671"/>
    </row>
    <row r="33" spans="1:23" s="2577" customFormat="1" ht="13.15" customHeight="1">
      <c r="A33" s="2653"/>
      <c r="B33" s="2654"/>
      <c r="C33" s="2655"/>
      <c r="D33" s="2695"/>
      <c r="E33" s="2696"/>
      <c r="F33" s="2658"/>
      <c r="G33" s="2565"/>
      <c r="H33" s="2679"/>
      <c r="I33" s="2671"/>
      <c r="J33" s="3352" t="s">
        <v>2313</v>
      </c>
      <c r="K33" s="3353"/>
      <c r="L33" s="2580"/>
      <c r="M33" s="2580"/>
      <c r="N33" s="2580"/>
      <c r="O33" s="2580"/>
      <c r="P33" s="2580"/>
      <c r="Q33" s="2581"/>
      <c r="R33" s="2697">
        <f>SUM(L33:Q33)</f>
        <v>0</v>
      </c>
      <c r="S33" s="2565"/>
      <c r="T33" s="2565"/>
      <c r="U33" s="2565"/>
      <c r="V33" s="2573"/>
    </row>
    <row r="34" spans="1:23" s="2577" customFormat="1" ht="13.15" customHeight="1">
      <c r="A34" s="2653">
        <v>5</v>
      </c>
      <c r="B34" s="2654" t="s">
        <v>2412</v>
      </c>
      <c r="C34" s="2698"/>
      <c r="D34" s="2699"/>
      <c r="E34" s="2700"/>
      <c r="F34" s="2658"/>
      <c r="G34" s="2565"/>
      <c r="H34" s="2679"/>
      <c r="I34" s="2671"/>
      <c r="J34" s="3352" t="s">
        <v>2315</v>
      </c>
      <c r="K34" s="3353"/>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2413</v>
      </c>
      <c r="C35" s="2702"/>
      <c r="D35" s="2703"/>
      <c r="E35" s="2704"/>
      <c r="F35" s="2658"/>
      <c r="G35" s="2705"/>
      <c r="H35" s="2572"/>
      <c r="I35" s="2671"/>
      <c r="J35" s="2591" t="s">
        <v>2317</v>
      </c>
      <c r="K35" s="2592"/>
      <c r="L35" s="2592"/>
      <c r="M35" s="2593"/>
      <c r="N35" s="2593"/>
      <c r="O35" s="2593"/>
      <c r="P35" s="2593"/>
      <c r="Q35" s="2593"/>
      <c r="R35" s="2706">
        <f>R40+R41+R43</f>
        <v>0</v>
      </c>
      <c r="S35" s="2565"/>
      <c r="T35" s="2565" t="s">
        <v>2318</v>
      </c>
      <c r="U35" s="2565"/>
      <c r="V35" s="2573"/>
    </row>
    <row r="36" spans="1:23" s="2577" customFormat="1" ht="13.15" customHeight="1" thickBot="1">
      <c r="A36" s="2653">
        <v>7</v>
      </c>
      <c r="B36" s="2707" t="s">
        <v>2414</v>
      </c>
      <c r="C36" s="2708"/>
      <c r="D36" s="2709"/>
      <c r="E36" s="2710"/>
      <c r="F36" s="2711">
        <f>C36+D36+E36</f>
        <v>0</v>
      </c>
      <c r="G36" s="2565"/>
      <c r="H36" s="2572"/>
      <c r="I36" s="2573"/>
      <c r="J36" s="3344">
        <v>1</v>
      </c>
      <c r="K36" s="3345" t="s">
        <v>2415</v>
      </c>
      <c r="L36" s="2598"/>
      <c r="M36" s="2599"/>
      <c r="N36" s="2599"/>
      <c r="O36" s="2599"/>
      <c r="P36" s="2599"/>
      <c r="Q36" s="2599"/>
      <c r="R36" s="2582" t="s">
        <v>2327</v>
      </c>
      <c r="S36" s="2565"/>
      <c r="T36" s="2565" t="s">
        <v>2328</v>
      </c>
      <c r="U36" s="2565"/>
      <c r="V36" s="2573"/>
    </row>
    <row r="37" spans="1:23" s="2577" customFormat="1" ht="13.15" customHeight="1">
      <c r="A37" s="2653"/>
      <c r="B37" s="2654"/>
      <c r="C37" s="2654"/>
      <c r="D37" s="2654"/>
      <c r="E37" s="2654"/>
      <c r="F37" s="2658"/>
      <c r="G37" s="2565"/>
      <c r="H37" s="2572"/>
      <c r="I37" s="2573"/>
      <c r="J37" s="3344"/>
      <c r="K37" s="3346"/>
      <c r="L37" s="2607"/>
      <c r="M37" s="2608"/>
      <c r="N37" s="2584"/>
      <c r="O37" s="2609"/>
      <c r="P37" s="2609"/>
      <c r="Q37" s="2610"/>
      <c r="R37" s="2611"/>
      <c r="S37" s="2565"/>
      <c r="T37" s="2565" t="s">
        <v>2331</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344"/>
      <c r="K38" s="3346"/>
      <c r="L38" s="2607"/>
      <c r="M38" s="2608"/>
      <c r="N38" s="2584"/>
      <c r="O38" s="2609"/>
      <c r="P38" s="2609"/>
      <c r="Q38" s="2610"/>
      <c r="R38" s="2611"/>
      <c r="S38" s="2565"/>
      <c r="T38" s="2565" t="s">
        <v>2338</v>
      </c>
      <c r="U38" s="2565"/>
      <c r="V38" s="2573"/>
    </row>
    <row r="39" spans="1:23" s="2577" customFormat="1" ht="13.15" customHeight="1">
      <c r="A39" s="2653">
        <v>9</v>
      </c>
      <c r="B39" s="2654" t="s">
        <v>2416</v>
      </c>
      <c r="C39" s="2621" t="e">
        <f>C38</f>
        <v>#DIV/0!</v>
      </c>
      <c r="D39" s="2654">
        <f>D38/(1+D34)^C36</f>
        <v>0</v>
      </c>
      <c r="E39" s="2654">
        <f>E38/(1+E34)^(C36+D36)</f>
        <v>0</v>
      </c>
      <c r="F39" s="2658"/>
      <c r="G39" s="2573"/>
      <c r="H39" s="2572"/>
      <c r="I39" s="2573"/>
      <c r="J39" s="3344"/>
      <c r="K39" s="3346"/>
      <c r="L39" s="2607"/>
      <c r="M39" s="2608"/>
      <c r="N39" s="2584"/>
      <c r="O39" s="2609"/>
      <c r="P39" s="2609"/>
      <c r="Q39" s="2610"/>
      <c r="R39" s="2611"/>
      <c r="S39" s="2565"/>
      <c r="T39" s="2565"/>
      <c r="U39" s="2565"/>
      <c r="V39" s="2573"/>
    </row>
    <row r="40" spans="1:23" s="2577" customFormat="1" ht="13.15" customHeight="1">
      <c r="A40" s="2712">
        <v>10</v>
      </c>
      <c r="B40" s="2654" t="s">
        <v>2417</v>
      </c>
      <c r="C40" s="2713" t="e">
        <f>C39+D39+E39</f>
        <v>#DIV/0!</v>
      </c>
      <c r="D40" s="2714"/>
      <c r="E40" s="2714"/>
      <c r="F40" s="2715"/>
      <c r="G40" s="2565"/>
      <c r="H40" s="2572"/>
      <c r="I40" s="2573"/>
      <c r="J40" s="3344"/>
      <c r="K40" s="3347"/>
      <c r="L40" s="2627" t="s">
        <v>2356</v>
      </c>
      <c r="M40" s="2628"/>
      <c r="N40" s="2628"/>
      <c r="O40" s="2629"/>
      <c r="P40" s="2629"/>
      <c r="Q40" s="2630"/>
      <c r="R40" s="2576">
        <f>SUM(R37:R39)</f>
        <v>0</v>
      </c>
      <c r="S40" s="2565"/>
      <c r="T40" s="2565"/>
      <c r="U40" s="2565"/>
      <c r="V40" s="2573"/>
    </row>
    <row r="41" spans="1:23" s="2577" customFormat="1" ht="13.15" customHeight="1" thickBot="1">
      <c r="A41" s="2716">
        <v>11</v>
      </c>
      <c r="B41" s="2717" t="s">
        <v>2418</v>
      </c>
      <c r="C41" s="2717" t="e">
        <f>ROUND(C40*10000/B4,0)</f>
        <v>#DIV/0!</v>
      </c>
      <c r="D41" s="2718"/>
      <c r="E41" s="2718"/>
      <c r="F41" s="2719"/>
      <c r="G41" s="2572"/>
      <c r="H41" s="2572"/>
      <c r="I41" s="2573"/>
      <c r="J41" s="2666">
        <v>2</v>
      </c>
      <c r="K41" s="2667" t="s">
        <v>2396</v>
      </c>
      <c r="L41" s="2668"/>
      <c r="M41" s="2668"/>
      <c r="N41" s="2668"/>
      <c r="O41" s="2668"/>
      <c r="P41" s="2669"/>
      <c r="Q41" s="2670"/>
      <c r="R41" s="2643">
        <f>ROUND(R40*Q41,0)</f>
        <v>0</v>
      </c>
      <c r="S41" s="2565"/>
      <c r="T41" s="2565"/>
      <c r="U41" s="2616"/>
      <c r="V41" s="2573"/>
    </row>
    <row r="42" spans="1:23" s="2577" customFormat="1" ht="13.15" customHeight="1">
      <c r="G42" s="2572"/>
      <c r="H42" s="2572"/>
      <c r="I42" s="2573"/>
      <c r="J42" s="3348">
        <v>3</v>
      </c>
      <c r="K42" s="2673" t="s">
        <v>2398</v>
      </c>
      <c r="L42" s="2674"/>
      <c r="M42" s="2675"/>
      <c r="N42" s="2676" t="s">
        <v>2399</v>
      </c>
      <c r="O42" s="2676" t="s">
        <v>2400</v>
      </c>
      <c r="P42" s="2677" t="s">
        <v>2401</v>
      </c>
      <c r="Q42" s="2677" t="s">
        <v>2402</v>
      </c>
      <c r="R42" s="2582" t="s">
        <v>2327</v>
      </c>
      <c r="S42" s="2616"/>
      <c r="T42" s="2616"/>
      <c r="U42" s="2565"/>
      <c r="V42" s="2573"/>
    </row>
    <row r="43" spans="1:23" ht="13.15" customHeight="1">
      <c r="A43" s="2577"/>
      <c r="B43" s="2577"/>
      <c r="C43" s="2577"/>
      <c r="D43" s="2577"/>
      <c r="E43" s="2577"/>
      <c r="F43" s="2577"/>
      <c r="I43" s="2560"/>
      <c r="J43" s="3349"/>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2405</v>
      </c>
      <c r="L44" s="2722" t="s">
        <v>2406</v>
      </c>
      <c r="M44" s="2688"/>
      <c r="N44" s="2722" t="s">
        <v>2407</v>
      </c>
      <c r="O44" s="2688"/>
      <c r="P44" s="2722" t="s">
        <v>2408</v>
      </c>
      <c r="Q44" s="2690">
        <v>1.4999999999999999E-2</v>
      </c>
      <c r="R44" s="26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1655</v>
      </c>
      <c r="B1" s="1703"/>
      <c r="C1" s="1703"/>
      <c r="D1" s="1703"/>
      <c r="E1" s="1704"/>
      <c r="F1" s="2454"/>
      <c r="G1" s="452"/>
      <c r="H1" s="452"/>
      <c r="I1" s="452"/>
      <c r="J1" s="452"/>
      <c r="K1" s="452"/>
      <c r="L1" s="452"/>
      <c r="M1" s="452"/>
      <c r="N1" s="452"/>
      <c r="O1" s="452"/>
      <c r="P1" s="452"/>
      <c r="Q1" s="452"/>
      <c r="R1" s="452"/>
      <c r="S1" s="452"/>
    </row>
    <row r="2" spans="1:22" ht="15.75">
      <c r="A2" s="1705" t="s">
        <v>1459</v>
      </c>
      <c r="B2" s="791">
        <f ca="1">SUMIF(B6:B13,"&lt;&gt;#ref!",B6:B13)</f>
        <v>5240.1935999999996</v>
      </c>
      <c r="C2" s="1706" t="s">
        <v>1648</v>
      </c>
      <c r="D2" s="1707" t="s">
        <v>1649</v>
      </c>
      <c r="E2" s="2370">
        <f>SUM(E6:E13)</f>
        <v>3532.0600000000004</v>
      </c>
      <c r="F2" s="2454"/>
      <c r="G2" s="452"/>
      <c r="H2" s="452"/>
      <c r="I2" s="452"/>
      <c r="J2" s="452"/>
      <c r="K2" s="452"/>
      <c r="L2" s="452"/>
      <c r="M2" s="452"/>
      <c r="N2" s="452"/>
      <c r="O2" s="452"/>
      <c r="P2" s="452"/>
      <c r="Q2" s="452"/>
      <c r="R2" s="452"/>
      <c r="S2" s="452"/>
    </row>
    <row r="3" spans="1:22" ht="15.75">
      <c r="A3" s="1705" t="s">
        <v>683</v>
      </c>
      <c r="B3" s="2364">
        <f ca="1">ROUND(B2*10000/E2,0)</f>
        <v>14836</v>
      </c>
      <c r="C3" s="1706" t="s">
        <v>1656</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1650</v>
      </c>
      <c r="B5" s="3363" t="s">
        <v>1651</v>
      </c>
      <c r="C5" s="3364"/>
      <c r="D5" s="2455"/>
      <c r="E5" s="1708" t="s">
        <v>1652</v>
      </c>
      <c r="F5" s="123" t="s">
        <v>1653</v>
      </c>
      <c r="G5" s="452"/>
      <c r="H5" s="452"/>
      <c r="I5" s="452"/>
      <c r="J5" s="452"/>
      <c r="K5" s="452"/>
      <c r="L5" s="452"/>
      <c r="M5" s="452"/>
      <c r="N5" s="452"/>
      <c r="O5" s="452"/>
      <c r="P5" s="452"/>
      <c r="Q5" s="452"/>
      <c r="R5" s="452"/>
      <c r="S5" s="452"/>
    </row>
    <row r="6" spans="1:22">
      <c r="A6" s="2367" t="str">
        <f>'数据-取费表'!AN6</f>
        <v>收益法-商业</v>
      </c>
      <c r="B6" s="2365">
        <f ca="1">IF(F6="是",'数据-取费表'!AO6,0)</f>
        <v>1143.9078999999999</v>
      </c>
      <c r="C6" s="1706" t="s">
        <v>1648</v>
      </c>
      <c r="D6" s="2454"/>
      <c r="E6" s="2369">
        <f>IF(OR(A6=0,F6="否"),0,'数据-取费表'!K6+'数据-取费表'!S6)</f>
        <v>562.78</v>
      </c>
      <c r="F6" s="1709" t="s">
        <v>1654</v>
      </c>
      <c r="G6" s="452"/>
      <c r="H6" s="452"/>
      <c r="I6" s="452"/>
      <c r="J6" s="452"/>
      <c r="K6" s="452"/>
      <c r="L6" s="452"/>
      <c r="M6" s="452"/>
      <c r="N6" s="452"/>
      <c r="O6" s="452"/>
      <c r="P6" s="452"/>
      <c r="Q6" s="452"/>
      <c r="R6" s="452"/>
      <c r="S6" s="452"/>
    </row>
    <row r="7" spans="1:22">
      <c r="A7" s="2367" t="str">
        <f>'数据-取费表'!AN7</f>
        <v>收益法-办公</v>
      </c>
      <c r="B7" s="2365">
        <f ca="1">IF(F7="是",'数据-取费表'!AO7,0)</f>
        <v>4050.7451999999998</v>
      </c>
      <c r="C7" s="1706" t="s">
        <v>1648</v>
      </c>
      <c r="D7" s="2454"/>
      <c r="E7" s="2369">
        <f>IF(OR(A7=0,F7="否"),0,'数据-取费表'!K7+'数据-取费表'!S7)</f>
        <v>2519.2800000000002</v>
      </c>
      <c r="F7" s="1709" t="s">
        <v>1654</v>
      </c>
      <c r="G7" s="452"/>
      <c r="H7" s="452"/>
      <c r="I7" s="452"/>
      <c r="J7" s="452"/>
      <c r="K7" s="452"/>
      <c r="L7" s="452"/>
      <c r="M7" s="452"/>
      <c r="N7" s="452"/>
      <c r="O7" s="452"/>
      <c r="P7" s="452"/>
      <c r="Q7" s="452"/>
      <c r="R7" s="452"/>
      <c r="S7" s="452"/>
    </row>
    <row r="8" spans="1:22">
      <c r="A8" s="2367" t="str">
        <f>'数据-取费表'!AN8</f>
        <v>收益法-车位</v>
      </c>
      <c r="B8" s="2365">
        <f ca="1">IF(F8="是",'数据-取费表'!AO8,0)</f>
        <v>45.540500000000002</v>
      </c>
      <c r="C8" s="1706" t="s">
        <v>1648</v>
      </c>
      <c r="D8" s="2454"/>
      <c r="E8" s="2369">
        <f>IF(OR(A8=0,F8="否"),0,'数据-取费表'!K8+'数据-取费表'!S8)</f>
        <v>450</v>
      </c>
      <c r="F8" s="1709" t="s">
        <v>1654</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1648</v>
      </c>
      <c r="D9" s="2454"/>
      <c r="E9" s="2369">
        <f>IF(OR(A9=0,F9="否"),0,'数据-取费表'!K9+'数据-取费表'!S9)</f>
        <v>0</v>
      </c>
      <c r="F9" s="1709" t="s">
        <v>1654</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1648</v>
      </c>
      <c r="D10" s="2454"/>
      <c r="E10" s="2369">
        <f>IF(OR(A10=0,F10="否"),0,'数据-取费表'!K10+'数据-取费表'!S10)</f>
        <v>0</v>
      </c>
      <c r="F10" s="1709" t="s">
        <v>1654</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1648</v>
      </c>
      <c r="D11" s="2454"/>
      <c r="E11" s="2369">
        <f>IF(OR(A11=0,F11="否"),0,'数据-取费表'!K11+'数据-取费表'!S11)</f>
        <v>0</v>
      </c>
      <c r="F11" s="1709" t="s">
        <v>1654</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1648</v>
      </c>
      <c r="D12" s="2454"/>
      <c r="E12" s="2369">
        <f>IF(OR(A12=0,F12="否"),0,'数据-取费表'!K12+'数据-取费表'!S12)</f>
        <v>0</v>
      </c>
      <c r="F12" s="1709" t="s">
        <v>1654</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1648</v>
      </c>
      <c r="D13" s="2456"/>
      <c r="E13" s="2369">
        <f>IF(OR(A13=0,F13="否"),0,'数据-取费表'!K13+'数据-取费表'!S13)</f>
        <v>0</v>
      </c>
      <c r="F13" s="1709" t="s">
        <v>1654</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1658</v>
      </c>
      <c r="C1" s="1133" t="s">
        <v>1659</v>
      </c>
      <c r="D1" s="1120"/>
      <c r="E1" s="3097"/>
      <c r="F1" s="1712"/>
      <c r="G1" s="1130" t="s">
        <v>1660</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682</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1661</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683</v>
      </c>
      <c r="B3" s="336">
        <f>IF(C2="——",C49,ROUND(B2*10000/D3,0))</f>
        <v>0</v>
      </c>
      <c r="C3" s="337" t="s">
        <v>1662</v>
      </c>
      <c r="D3" s="336">
        <f>IF(D1="",'数据-汇总表'!E3,SUMIF('数据-汇总表'!$C19:$C33,D1,'数据-汇总表'!$E19:$E33))</f>
        <v>3532.0600000000004</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1663</v>
      </c>
      <c r="B4" s="339"/>
      <c r="C4" s="3383" t="s">
        <v>1664</v>
      </c>
      <c r="D4" s="3384"/>
      <c r="E4" s="3385" t="s">
        <v>1665</v>
      </c>
      <c r="F4" s="3386"/>
      <c r="G4" s="3383" t="s">
        <v>1666</v>
      </c>
      <c r="H4" s="3384"/>
      <c r="I4" s="3383" t="s">
        <v>1667</v>
      </c>
      <c r="J4" s="3384"/>
      <c r="K4" s="1721" t="s">
        <v>1668</v>
      </c>
      <c r="L4" s="2461"/>
      <c r="M4" s="2462"/>
      <c r="N4" s="2462"/>
      <c r="O4" s="2462"/>
      <c r="P4" s="3387" t="s">
        <v>1669</v>
      </c>
      <c r="Q4" s="3388"/>
      <c r="R4" s="3393" t="s">
        <v>1665</v>
      </c>
      <c r="S4" s="3394"/>
      <c r="T4" s="3393" t="s">
        <v>1666</v>
      </c>
      <c r="U4" s="3394"/>
      <c r="V4" s="3369" t="s">
        <v>1667</v>
      </c>
      <c r="W4" s="3369"/>
      <c r="X4" s="1243"/>
      <c r="Y4" s="3393" t="s">
        <v>1669</v>
      </c>
      <c r="Z4" s="3394"/>
      <c r="AA4" s="3380" t="s">
        <v>1665</v>
      </c>
      <c r="AB4" s="3380" t="s">
        <v>1666</v>
      </c>
      <c r="AC4" s="3380" t="s">
        <v>1667</v>
      </c>
    </row>
    <row r="5" spans="1:29" ht="15">
      <c r="A5" s="341"/>
      <c r="B5" s="342"/>
      <c r="C5" s="3401" t="s">
        <v>1670</v>
      </c>
      <c r="D5" s="3402"/>
      <c r="E5" s="3408" t="s">
        <v>1671</v>
      </c>
      <c r="F5" s="3409"/>
      <c r="G5" s="3401" t="s">
        <v>1672</v>
      </c>
      <c r="H5" s="3402"/>
      <c r="I5" s="3401" t="s">
        <v>1673</v>
      </c>
      <c r="J5" s="3402"/>
      <c r="K5" s="1722"/>
      <c r="L5" s="2461"/>
      <c r="M5" s="2462"/>
      <c r="N5" s="2462"/>
      <c r="O5" s="2462"/>
      <c r="P5" s="3389"/>
      <c r="Q5" s="3390"/>
      <c r="R5" s="3395"/>
      <c r="S5" s="3396"/>
      <c r="T5" s="3395"/>
      <c r="U5" s="3396"/>
      <c r="V5" s="3369"/>
      <c r="W5" s="3369"/>
      <c r="X5" s="1243"/>
      <c r="Y5" s="3395"/>
      <c r="Z5" s="3396"/>
      <c r="AA5" s="3381"/>
      <c r="AB5" s="3381"/>
      <c r="AC5" s="3381"/>
    </row>
    <row r="6" spans="1:29" ht="15.75" thickBot="1">
      <c r="A6" s="343"/>
      <c r="B6" s="344"/>
      <c r="C6" s="3399" t="s">
        <v>1674</v>
      </c>
      <c r="D6" s="3400"/>
      <c r="E6" s="3406" t="s">
        <v>1674</v>
      </c>
      <c r="F6" s="3407"/>
      <c r="G6" s="3399" t="s">
        <v>1674</v>
      </c>
      <c r="H6" s="3400"/>
      <c r="I6" s="3399" t="s">
        <v>1674</v>
      </c>
      <c r="J6" s="3400"/>
      <c r="K6" s="1722" t="s">
        <v>1675</v>
      </c>
      <c r="L6" s="2461"/>
      <c r="M6" s="2462"/>
      <c r="N6" s="2462"/>
      <c r="O6" s="2462"/>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03" t="s">
        <v>1677</v>
      </c>
      <c r="Q7" s="3405"/>
      <c r="R7" s="654" t="s">
        <v>20</v>
      </c>
      <c r="S7" s="655">
        <f t="shared" ref="S7:S15" si="0">F7</f>
        <v>0</v>
      </c>
      <c r="T7" s="654" t="s">
        <v>20</v>
      </c>
      <c r="U7" s="655">
        <f t="shared" ref="U7:U15" si="1">H7</f>
        <v>0</v>
      </c>
      <c r="V7" s="654" t="s">
        <v>20</v>
      </c>
      <c r="W7" s="655">
        <f t="shared" ref="W7:W15" si="2">J7</f>
        <v>0</v>
      </c>
      <c r="X7" s="656"/>
      <c r="Y7" s="3403" t="s">
        <v>1677</v>
      </c>
      <c r="Z7" s="3404"/>
      <c r="AA7" s="50" t="e">
        <f>D7/F7</f>
        <v>#DIV/0!</v>
      </c>
      <c r="AB7" s="50" t="e">
        <f>D7/H7</f>
        <v>#DIV/0!</v>
      </c>
      <c r="AC7" s="50" t="e">
        <f>D7/J7</f>
        <v>#DIV/0!</v>
      </c>
    </row>
    <row r="8" spans="1:29" s="101" customFormat="1" ht="15.75" thickBot="1">
      <c r="A8" s="345" t="s">
        <v>1678</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03" t="s">
        <v>1680</v>
      </c>
      <c r="Q8" s="3404"/>
      <c r="R8" s="654" t="s">
        <v>20</v>
      </c>
      <c r="S8" s="655">
        <f t="shared" si="0"/>
        <v>100</v>
      </c>
      <c r="T8" s="654" t="s">
        <v>20</v>
      </c>
      <c r="U8" s="655">
        <f t="shared" si="1"/>
        <v>100</v>
      </c>
      <c r="V8" s="654" t="s">
        <v>20</v>
      </c>
      <c r="W8" s="655">
        <f t="shared" si="2"/>
        <v>100</v>
      </c>
      <c r="X8" s="656"/>
      <c r="Y8" s="3403" t="s">
        <v>1680</v>
      </c>
      <c r="Z8" s="3404"/>
      <c r="AA8" s="50">
        <f t="shared" ref="AA8:AA19" si="3">D8/F8</f>
        <v>1</v>
      </c>
      <c r="AB8" s="50">
        <f t="shared" ref="AB8:AB19" si="4">D8/H8</f>
        <v>1</v>
      </c>
      <c r="AC8" s="50">
        <f t="shared" ref="AC8:AC19" si="5">D8/J8</f>
        <v>1</v>
      </c>
    </row>
    <row r="9" spans="1:29" s="101" customFormat="1">
      <c r="A9" s="352" t="s">
        <v>1681</v>
      </c>
      <c r="B9" s="60" t="s">
        <v>1682</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79"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50">
        <f t="shared" si="5"/>
        <v>1</v>
      </c>
    </row>
    <row r="10" spans="1:29" s="359" customFormat="1" ht="27">
      <c r="A10" s="356"/>
      <c r="B10" s="357" t="s">
        <v>1685</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79"/>
      <c r="Q10" s="523" t="str">
        <f t="shared" si="6"/>
        <v>土地使用年限（年）</v>
      </c>
      <c r="R10" s="654" t="s">
        <v>14</v>
      </c>
      <c r="S10" s="655">
        <f t="shared" si="0"/>
        <v>100</v>
      </c>
      <c r="T10" s="654" t="s">
        <v>14</v>
      </c>
      <c r="U10" s="655">
        <f t="shared" si="1"/>
        <v>100</v>
      </c>
      <c r="V10" s="654" t="s">
        <v>14</v>
      </c>
      <c r="W10" s="655">
        <f t="shared" si="2"/>
        <v>100</v>
      </c>
      <c r="X10" s="656"/>
      <c r="Y10" s="3243"/>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79"/>
      <c r="Q11" s="523" t="str">
        <f t="shared" si="6"/>
        <v>容积率</v>
      </c>
      <c r="R11" s="654" t="s">
        <v>18</v>
      </c>
      <c r="S11" s="655" t="e">
        <f t="shared" si="0"/>
        <v>#N/A</v>
      </c>
      <c r="T11" s="654" t="s">
        <v>18</v>
      </c>
      <c r="U11" s="655" t="e">
        <f t="shared" si="1"/>
        <v>#N/A</v>
      </c>
      <c r="V11" s="654" t="s">
        <v>18</v>
      </c>
      <c r="W11" s="655" t="e">
        <f t="shared" si="2"/>
        <v>#N/A</v>
      </c>
      <c r="X11" s="656"/>
      <c r="Y11" s="3243"/>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79"/>
      <c r="Q12" s="523">
        <f t="shared" si="6"/>
        <v>111</v>
      </c>
      <c r="R12" s="654" t="s">
        <v>18</v>
      </c>
      <c r="S12" s="655">
        <f t="shared" si="0"/>
        <v>100</v>
      </c>
      <c r="T12" s="654" t="s">
        <v>18</v>
      </c>
      <c r="U12" s="655">
        <f t="shared" si="1"/>
        <v>100</v>
      </c>
      <c r="V12" s="654" t="s">
        <v>18</v>
      </c>
      <c r="W12" s="655">
        <f t="shared" si="2"/>
        <v>100</v>
      </c>
      <c r="X12" s="656"/>
      <c r="Y12" s="3243"/>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79"/>
      <c r="Q13" s="523">
        <f t="shared" si="6"/>
        <v>111</v>
      </c>
      <c r="R13" s="654" t="s">
        <v>18</v>
      </c>
      <c r="S13" s="655">
        <f t="shared" si="0"/>
        <v>100</v>
      </c>
      <c r="T13" s="654" t="s">
        <v>18</v>
      </c>
      <c r="U13" s="655">
        <f t="shared" si="1"/>
        <v>100</v>
      </c>
      <c r="V13" s="654" t="s">
        <v>18</v>
      </c>
      <c r="W13" s="655">
        <f t="shared" si="2"/>
        <v>100</v>
      </c>
      <c r="X13" s="656"/>
      <c r="Y13" s="3243"/>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79"/>
      <c r="Q14" s="523">
        <f t="shared" si="6"/>
        <v>111</v>
      </c>
      <c r="R14" s="654" t="s">
        <v>18</v>
      </c>
      <c r="S14" s="655">
        <f t="shared" si="0"/>
        <v>100</v>
      </c>
      <c r="T14" s="654" t="s">
        <v>18</v>
      </c>
      <c r="U14" s="655">
        <f t="shared" si="1"/>
        <v>100</v>
      </c>
      <c r="V14" s="654" t="s">
        <v>18</v>
      </c>
      <c r="W14" s="655">
        <f t="shared" si="2"/>
        <v>100</v>
      </c>
      <c r="X14" s="656"/>
      <c r="Y14" s="3243"/>
      <c r="Z14" s="50">
        <f t="shared" si="7"/>
        <v>111</v>
      </c>
      <c r="AA14" s="50">
        <f t="shared" si="3"/>
        <v>1</v>
      </c>
      <c r="AB14" s="50">
        <f t="shared" si="4"/>
        <v>1</v>
      </c>
      <c r="AC14" s="50">
        <f t="shared" si="5"/>
        <v>1</v>
      </c>
    </row>
    <row r="15" spans="1:29" ht="15">
      <c r="A15" s="372" t="s">
        <v>1687</v>
      </c>
      <c r="B15" s="58" t="s">
        <v>1254</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77" t="s">
        <v>1688</v>
      </c>
      <c r="Q15" s="1241" t="str">
        <f t="shared" si="6"/>
        <v>居住社区成熟度</v>
      </c>
      <c r="R15" s="657" t="s">
        <v>18</v>
      </c>
      <c r="S15" s="658">
        <f t="shared" si="0"/>
        <v>100</v>
      </c>
      <c r="T15" s="657" t="s">
        <v>18</v>
      </c>
      <c r="U15" s="658">
        <f t="shared" si="1"/>
        <v>100</v>
      </c>
      <c r="V15" s="657" t="s">
        <v>18</v>
      </c>
      <c r="W15" s="658">
        <f t="shared" si="2"/>
        <v>100</v>
      </c>
      <c r="X15" s="1243"/>
      <c r="Y15" s="3370" t="s">
        <v>1688</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78"/>
      <c r="Q16" s="1241"/>
      <c r="R16" s="657"/>
      <c r="S16" s="658"/>
      <c r="T16" s="657"/>
      <c r="U16" s="658"/>
      <c r="V16" s="657"/>
      <c r="W16" s="658"/>
      <c r="X16" s="1243"/>
      <c r="Y16" s="3371"/>
      <c r="Z16" s="1242"/>
      <c r="AA16" s="1242">
        <v>1</v>
      </c>
      <c r="AB16" s="1242">
        <v>1</v>
      </c>
      <c r="AC16" s="1242">
        <v>1</v>
      </c>
    </row>
    <row r="17" spans="1:29" ht="15">
      <c r="A17" s="360"/>
      <c r="B17" s="383" t="s">
        <v>1256</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78"/>
      <c r="Q17" s="1241" t="str">
        <f>B17</f>
        <v>交通便捷度</v>
      </c>
      <c r="R17" s="657" t="s">
        <v>18</v>
      </c>
      <c r="S17" s="658">
        <f>F17</f>
        <v>100</v>
      </c>
      <c r="T17" s="657" t="s">
        <v>18</v>
      </c>
      <c r="U17" s="658">
        <f>H17</f>
        <v>100</v>
      </c>
      <c r="V17" s="657" t="s">
        <v>18</v>
      </c>
      <c r="W17" s="658">
        <f>J17</f>
        <v>100</v>
      </c>
      <c r="X17" s="1243"/>
      <c r="Y17" s="3371"/>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78"/>
      <c r="Q18" s="1241"/>
      <c r="R18" s="657"/>
      <c r="S18" s="658"/>
      <c r="T18" s="657"/>
      <c r="U18" s="658"/>
      <c r="V18" s="657"/>
      <c r="W18" s="658"/>
      <c r="X18" s="1243"/>
      <c r="Y18" s="3371"/>
      <c r="Z18" s="1242"/>
      <c r="AA18" s="1242">
        <v>1</v>
      </c>
      <c r="AB18" s="1242">
        <v>1</v>
      </c>
      <c r="AC18" s="1242">
        <v>1</v>
      </c>
    </row>
    <row r="19" spans="1:29" ht="15">
      <c r="A19" s="360"/>
      <c r="B19" s="383" t="s">
        <v>1255</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78"/>
      <c r="Q19" s="1241" t="str">
        <f>B19</f>
        <v>公共配套设施</v>
      </c>
      <c r="R19" s="657" t="s">
        <v>18</v>
      </c>
      <c r="S19" s="658">
        <f>F19</f>
        <v>100</v>
      </c>
      <c r="T19" s="657" t="s">
        <v>18</v>
      </c>
      <c r="U19" s="658">
        <f>H19</f>
        <v>100</v>
      </c>
      <c r="V19" s="657" t="s">
        <v>18</v>
      </c>
      <c r="W19" s="658">
        <f>J19</f>
        <v>100</v>
      </c>
      <c r="X19" s="1243"/>
      <c r="Y19" s="3371"/>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78"/>
      <c r="Q20" s="1241"/>
      <c r="R20" s="657"/>
      <c r="S20" s="658"/>
      <c r="T20" s="657"/>
      <c r="U20" s="658"/>
      <c r="V20" s="657"/>
      <c r="W20" s="658"/>
      <c r="X20" s="1243"/>
      <c r="Y20" s="3371"/>
      <c r="Z20" s="1242"/>
      <c r="AA20" s="1242">
        <v>1</v>
      </c>
      <c r="AB20" s="1242">
        <v>1</v>
      </c>
      <c r="AC20" s="1242">
        <v>1</v>
      </c>
    </row>
    <row r="21" spans="1:29" ht="15">
      <c r="A21" s="360"/>
      <c r="B21" s="579" t="s">
        <v>1257</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78"/>
      <c r="Q21" s="1241" t="str">
        <f>B21</f>
        <v>基础设施水平</v>
      </c>
      <c r="R21" s="657" t="s">
        <v>14</v>
      </c>
      <c r="S21" s="658">
        <f>F21</f>
        <v>100</v>
      </c>
      <c r="T21" s="657" t="s">
        <v>14</v>
      </c>
      <c r="U21" s="658">
        <f>H21</f>
        <v>100</v>
      </c>
      <c r="V21" s="657" t="s">
        <v>14</v>
      </c>
      <c r="W21" s="658">
        <f>J21</f>
        <v>100</v>
      </c>
      <c r="X21" s="1243"/>
      <c r="Y21" s="3371"/>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78"/>
      <c r="Q22" s="1241"/>
      <c r="R22" s="657"/>
      <c r="S22" s="658"/>
      <c r="T22" s="657"/>
      <c r="U22" s="658"/>
      <c r="V22" s="657"/>
      <c r="W22" s="658"/>
      <c r="X22" s="1243"/>
      <c r="Y22" s="3371"/>
      <c r="Z22" s="1242"/>
      <c r="AA22" s="1242">
        <v>1</v>
      </c>
      <c r="AB22" s="1242">
        <v>1</v>
      </c>
      <c r="AC22" s="1242">
        <v>1</v>
      </c>
    </row>
    <row r="23" spans="1:29" ht="15">
      <c r="A23" s="360"/>
      <c r="B23" s="383" t="s">
        <v>1258</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78"/>
      <c r="Q23" s="1241" t="str">
        <f>B23</f>
        <v>自然及人文环境</v>
      </c>
      <c r="R23" s="657" t="s">
        <v>18</v>
      </c>
      <c r="S23" s="658">
        <f>F23</f>
        <v>100</v>
      </c>
      <c r="T23" s="657" t="s">
        <v>18</v>
      </c>
      <c r="U23" s="658">
        <f>H23</f>
        <v>100</v>
      </c>
      <c r="V23" s="657" t="s">
        <v>18</v>
      </c>
      <c r="W23" s="658">
        <f>J23</f>
        <v>100</v>
      </c>
      <c r="X23" s="1243"/>
      <c r="Y23" s="3371"/>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78"/>
      <c r="Q24" s="1241"/>
      <c r="R24" s="657"/>
      <c r="S24" s="658"/>
      <c r="T24" s="657"/>
      <c r="U24" s="658"/>
      <c r="V24" s="657"/>
      <c r="W24" s="658"/>
      <c r="X24" s="1243"/>
      <c r="Y24" s="3371"/>
      <c r="Z24" s="1242"/>
      <c r="AA24" s="1242">
        <v>1</v>
      </c>
      <c r="AB24" s="1242">
        <v>1</v>
      </c>
      <c r="AC24" s="1242">
        <v>1</v>
      </c>
    </row>
    <row r="25" spans="1:29" ht="15">
      <c r="A25" s="360"/>
      <c r="B25" s="357" t="s">
        <v>1689</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78"/>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71"/>
      <c r="Z25" s="1242" t="str">
        <f>Q25</f>
        <v>楼层-1</v>
      </c>
      <c r="AA25" s="1242">
        <f t="shared" ref="AA25:AA46" si="15">D25/F25</f>
        <v>1</v>
      </c>
      <c r="AB25" s="1242">
        <f t="shared" ref="AB25:AB46" si="16">D25/H25</f>
        <v>1</v>
      </c>
      <c r="AC25" s="1242">
        <f t="shared" ref="AC25:AC46" si="17">D25/J25</f>
        <v>1</v>
      </c>
    </row>
    <row r="26" spans="1:29" ht="15">
      <c r="A26" s="360"/>
      <c r="B26" s="357" t="s">
        <v>1690</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78"/>
      <c r="Q26" s="1241" t="str">
        <f t="shared" si="11"/>
        <v>朝向</v>
      </c>
      <c r="R26" s="657" t="s">
        <v>18</v>
      </c>
      <c r="S26" s="658">
        <f t="shared" si="12"/>
        <v>100</v>
      </c>
      <c r="T26" s="657" t="s">
        <v>18</v>
      </c>
      <c r="U26" s="658">
        <f t="shared" si="13"/>
        <v>100</v>
      </c>
      <c r="V26" s="657" t="s">
        <v>18</v>
      </c>
      <c r="W26" s="658">
        <f t="shared" si="14"/>
        <v>100</v>
      </c>
      <c r="X26" s="1243"/>
      <c r="Y26" s="3371"/>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78"/>
      <c r="Q27" s="523">
        <f t="shared" si="11"/>
        <v>111</v>
      </c>
      <c r="R27" s="654" t="s">
        <v>18</v>
      </c>
      <c r="S27" s="655">
        <f t="shared" si="12"/>
        <v>100</v>
      </c>
      <c r="T27" s="654" t="s">
        <v>18</v>
      </c>
      <c r="U27" s="655">
        <f t="shared" si="13"/>
        <v>100</v>
      </c>
      <c r="V27" s="654" t="s">
        <v>18</v>
      </c>
      <c r="W27" s="655">
        <f t="shared" si="14"/>
        <v>100</v>
      </c>
      <c r="X27" s="656"/>
      <c r="Y27" s="3371"/>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78"/>
      <c r="Q28" s="1241">
        <f t="shared" si="11"/>
        <v>111</v>
      </c>
      <c r="R28" s="657" t="s">
        <v>18</v>
      </c>
      <c r="S28" s="658">
        <f t="shared" si="12"/>
        <v>100</v>
      </c>
      <c r="T28" s="657" t="s">
        <v>18</v>
      </c>
      <c r="U28" s="658">
        <f t="shared" si="13"/>
        <v>100</v>
      </c>
      <c r="V28" s="657" t="s">
        <v>18</v>
      </c>
      <c r="W28" s="658">
        <f t="shared" si="14"/>
        <v>100</v>
      </c>
      <c r="X28" s="1243"/>
      <c r="Y28" s="3371"/>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78"/>
      <c r="Q29" s="1241">
        <f t="shared" si="11"/>
        <v>111</v>
      </c>
      <c r="R29" s="657" t="s">
        <v>18</v>
      </c>
      <c r="S29" s="658">
        <f t="shared" si="12"/>
        <v>100</v>
      </c>
      <c r="T29" s="657" t="s">
        <v>18</v>
      </c>
      <c r="U29" s="658">
        <f t="shared" si="13"/>
        <v>100</v>
      </c>
      <c r="V29" s="657" t="s">
        <v>18</v>
      </c>
      <c r="W29" s="658">
        <f t="shared" si="14"/>
        <v>100</v>
      </c>
      <c r="X29" s="1243"/>
      <c r="Y29" s="3371"/>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78"/>
      <c r="Q30" s="1241">
        <f t="shared" si="11"/>
        <v>111</v>
      </c>
      <c r="R30" s="657" t="s">
        <v>18</v>
      </c>
      <c r="S30" s="658">
        <f t="shared" si="12"/>
        <v>100</v>
      </c>
      <c r="T30" s="657" t="s">
        <v>18</v>
      </c>
      <c r="U30" s="658">
        <f t="shared" si="13"/>
        <v>100</v>
      </c>
      <c r="V30" s="657" t="s">
        <v>18</v>
      </c>
      <c r="W30" s="658">
        <f t="shared" si="14"/>
        <v>100</v>
      </c>
      <c r="X30" s="1243"/>
      <c r="Y30" s="3371"/>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78"/>
      <c r="Q31" s="1241">
        <f t="shared" si="11"/>
        <v>111</v>
      </c>
      <c r="R31" s="657" t="s">
        <v>18</v>
      </c>
      <c r="S31" s="658">
        <f t="shared" si="12"/>
        <v>100</v>
      </c>
      <c r="T31" s="657" t="s">
        <v>18</v>
      </c>
      <c r="U31" s="658">
        <f t="shared" si="13"/>
        <v>100</v>
      </c>
      <c r="V31" s="657" t="s">
        <v>18</v>
      </c>
      <c r="W31" s="658">
        <f t="shared" si="14"/>
        <v>100</v>
      </c>
      <c r="X31" s="1243"/>
      <c r="Y31" s="3371"/>
      <c r="Z31" s="1242">
        <f t="shared" si="18"/>
        <v>111</v>
      </c>
      <c r="AA31" s="1242">
        <f t="shared" si="15"/>
        <v>1</v>
      </c>
      <c r="AB31" s="1242">
        <f t="shared" si="16"/>
        <v>1</v>
      </c>
      <c r="AC31" s="1242">
        <f t="shared" si="17"/>
        <v>1</v>
      </c>
    </row>
    <row r="32" spans="1:29" ht="15">
      <c r="A32" s="372" t="s">
        <v>1691</v>
      </c>
      <c r="B32" s="60" t="s">
        <v>1692</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72" t="s">
        <v>1693</v>
      </c>
      <c r="Q32" s="1241" t="str">
        <f t="shared" si="11"/>
        <v>建筑类型</v>
      </c>
      <c r="R32" s="657" t="s">
        <v>18</v>
      </c>
      <c r="S32" s="658">
        <f t="shared" si="12"/>
        <v>100</v>
      </c>
      <c r="T32" s="657" t="s">
        <v>18</v>
      </c>
      <c r="U32" s="658">
        <f t="shared" si="13"/>
        <v>100</v>
      </c>
      <c r="V32" s="657" t="s">
        <v>18</v>
      </c>
      <c r="W32" s="658">
        <f t="shared" si="14"/>
        <v>100</v>
      </c>
      <c r="X32" s="1243"/>
      <c r="Y32" s="3375" t="s">
        <v>1693</v>
      </c>
      <c r="Z32" s="1242" t="str">
        <f t="shared" si="18"/>
        <v>建筑类型</v>
      </c>
      <c r="AA32" s="1242">
        <f t="shared" si="15"/>
        <v>1</v>
      </c>
      <c r="AB32" s="1242">
        <f t="shared" si="16"/>
        <v>1</v>
      </c>
      <c r="AC32" s="1242">
        <f t="shared" si="17"/>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73"/>
      <c r="Q33" s="524" t="str">
        <f t="shared" si="11"/>
        <v>项目建筑规模</v>
      </c>
      <c r="R33" s="659" t="s">
        <v>18</v>
      </c>
      <c r="S33" s="660" t="e">
        <f t="shared" si="12"/>
        <v>#N/A</v>
      </c>
      <c r="T33" s="659" t="s">
        <v>18</v>
      </c>
      <c r="U33" s="660" t="e">
        <f t="shared" si="13"/>
        <v>#N/A</v>
      </c>
      <c r="V33" s="659" t="s">
        <v>18</v>
      </c>
      <c r="W33" s="660" t="e">
        <f t="shared" si="14"/>
        <v>#N/A</v>
      </c>
      <c r="X33" s="661"/>
      <c r="Y33" s="3375"/>
      <c r="Z33" s="662" t="str">
        <f t="shared" si="18"/>
        <v>项目建筑规模</v>
      </c>
      <c r="AA33" s="1242" t="e">
        <f t="shared" si="15"/>
        <v>#N/A</v>
      </c>
      <c r="AB33" s="1242" t="e">
        <f t="shared" si="16"/>
        <v>#N/A</v>
      </c>
      <c r="AC33" s="1242" t="e">
        <f t="shared" si="17"/>
        <v>#N/A</v>
      </c>
    </row>
    <row r="34" spans="1:29" ht="15">
      <c r="A34" s="402"/>
      <c r="B34" s="357" t="s">
        <v>1695</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73"/>
      <c r="Q34" s="1241" t="str">
        <f t="shared" si="11"/>
        <v>建筑结构</v>
      </c>
      <c r="R34" s="657" t="s">
        <v>18</v>
      </c>
      <c r="S34" s="658">
        <f t="shared" si="12"/>
        <v>100</v>
      </c>
      <c r="T34" s="657" t="s">
        <v>18</v>
      </c>
      <c r="U34" s="658">
        <f t="shared" si="13"/>
        <v>100</v>
      </c>
      <c r="V34" s="657" t="s">
        <v>18</v>
      </c>
      <c r="W34" s="658">
        <f t="shared" si="14"/>
        <v>100</v>
      </c>
      <c r="X34" s="1243"/>
      <c r="Y34" s="3375"/>
      <c r="Z34" s="1242" t="str">
        <f t="shared" si="18"/>
        <v>建筑结构</v>
      </c>
      <c r="AA34" s="1242">
        <f t="shared" si="15"/>
        <v>1</v>
      </c>
      <c r="AB34" s="1242">
        <f t="shared" si="16"/>
        <v>1</v>
      </c>
      <c r="AC34" s="1242">
        <f t="shared" si="17"/>
        <v>1</v>
      </c>
    </row>
    <row r="35" spans="1:29" ht="15">
      <c r="A35" s="402"/>
      <c r="B35" s="357" t="s">
        <v>1696</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73"/>
      <c r="Q35" s="1241" t="str">
        <f t="shared" si="11"/>
        <v>建筑品质</v>
      </c>
      <c r="R35" s="657" t="s">
        <v>18</v>
      </c>
      <c r="S35" s="658">
        <f t="shared" si="12"/>
        <v>100</v>
      </c>
      <c r="T35" s="657" t="s">
        <v>18</v>
      </c>
      <c r="U35" s="658">
        <f t="shared" si="13"/>
        <v>100</v>
      </c>
      <c r="V35" s="657" t="s">
        <v>18</v>
      </c>
      <c r="W35" s="658">
        <f t="shared" si="14"/>
        <v>100</v>
      </c>
      <c r="X35" s="1243"/>
      <c r="Y35" s="3375"/>
      <c r="Z35" s="1242" t="str">
        <f t="shared" si="18"/>
        <v>建筑品质</v>
      </c>
      <c r="AA35" s="1242">
        <f t="shared" si="15"/>
        <v>1</v>
      </c>
      <c r="AB35" s="1242">
        <f t="shared" si="16"/>
        <v>1</v>
      </c>
      <c r="AC35" s="1242">
        <f t="shared" si="17"/>
        <v>1</v>
      </c>
    </row>
    <row r="36" spans="1:29" ht="15">
      <c r="A36" s="402"/>
      <c r="B36" s="357" t="s">
        <v>1697</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73"/>
      <c r="Q36" s="1241" t="str">
        <f t="shared" si="11"/>
        <v>公共部分装修</v>
      </c>
      <c r="R36" s="657" t="s">
        <v>18</v>
      </c>
      <c r="S36" s="658">
        <f t="shared" si="12"/>
        <v>100</v>
      </c>
      <c r="T36" s="657" t="s">
        <v>18</v>
      </c>
      <c r="U36" s="658">
        <f t="shared" si="13"/>
        <v>100</v>
      </c>
      <c r="V36" s="657" t="s">
        <v>18</v>
      </c>
      <c r="W36" s="658">
        <f t="shared" si="14"/>
        <v>100</v>
      </c>
      <c r="X36" s="1243"/>
      <c r="Y36" s="3375"/>
      <c r="Z36" s="1242" t="str">
        <f t="shared" si="18"/>
        <v>公共部分装修</v>
      </c>
      <c r="AA36" s="1242">
        <f t="shared" si="15"/>
        <v>1</v>
      </c>
      <c r="AB36" s="1242">
        <f t="shared" si="16"/>
        <v>1</v>
      </c>
      <c r="AC36" s="1242">
        <f t="shared" si="17"/>
        <v>1</v>
      </c>
    </row>
    <row r="37" spans="1:29" s="101" customFormat="1" ht="15">
      <c r="A37" s="403"/>
      <c r="B37" s="357" t="s">
        <v>1698</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73"/>
      <c r="Q37" s="523" t="str">
        <f t="shared" si="11"/>
        <v>成新度</v>
      </c>
      <c r="R37" s="654" t="s">
        <v>18</v>
      </c>
      <c r="S37" s="655" t="e">
        <f t="shared" si="12"/>
        <v>#N/A</v>
      </c>
      <c r="T37" s="654" t="s">
        <v>18</v>
      </c>
      <c r="U37" s="655" t="e">
        <f t="shared" si="13"/>
        <v>#N/A</v>
      </c>
      <c r="V37" s="654" t="s">
        <v>18</v>
      </c>
      <c r="W37" s="655" t="e">
        <f t="shared" si="14"/>
        <v>#N/A</v>
      </c>
      <c r="X37" s="656"/>
      <c r="Y37" s="3375"/>
      <c r="Z37" s="50" t="str">
        <f t="shared" si="18"/>
        <v>成新度</v>
      </c>
      <c r="AA37" s="50" t="e">
        <f t="shared" si="15"/>
        <v>#N/A</v>
      </c>
      <c r="AB37" s="50" t="e">
        <f t="shared" si="16"/>
        <v>#N/A</v>
      </c>
      <c r="AC37" s="50" t="e">
        <f t="shared" si="17"/>
        <v>#N/A</v>
      </c>
    </row>
    <row r="38" spans="1:29" ht="15">
      <c r="A38" s="402"/>
      <c r="B38" s="357" t="s">
        <v>1699</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73" t="s">
        <v>1693</v>
      </c>
      <c r="Q38" s="1241" t="str">
        <f t="shared" si="11"/>
        <v>物业管理</v>
      </c>
      <c r="R38" s="657" t="s">
        <v>18</v>
      </c>
      <c r="S38" s="658">
        <f t="shared" si="12"/>
        <v>100</v>
      </c>
      <c r="T38" s="657" t="s">
        <v>18</v>
      </c>
      <c r="U38" s="658">
        <f t="shared" si="13"/>
        <v>100</v>
      </c>
      <c r="V38" s="657" t="s">
        <v>18</v>
      </c>
      <c r="W38" s="658">
        <f t="shared" si="14"/>
        <v>100</v>
      </c>
      <c r="X38" s="1243"/>
      <c r="Y38" s="3375" t="s">
        <v>1693</v>
      </c>
      <c r="Z38" s="1242" t="str">
        <f t="shared" si="18"/>
        <v>物业管理</v>
      </c>
      <c r="AA38" s="1242">
        <f t="shared" si="15"/>
        <v>1</v>
      </c>
      <c r="AB38" s="1242">
        <f t="shared" si="16"/>
        <v>1</v>
      </c>
      <c r="AC38" s="1242">
        <f t="shared" si="17"/>
        <v>1</v>
      </c>
    </row>
    <row r="39" spans="1:29" ht="15">
      <c r="A39" s="402"/>
      <c r="B39" s="357" t="s">
        <v>1700</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73"/>
      <c r="Q39" s="1241" t="str">
        <f t="shared" si="11"/>
        <v>市政基础设施</v>
      </c>
      <c r="R39" s="657" t="s">
        <v>18</v>
      </c>
      <c r="S39" s="658">
        <f t="shared" si="12"/>
        <v>100</v>
      </c>
      <c r="T39" s="657" t="s">
        <v>18</v>
      </c>
      <c r="U39" s="658">
        <f t="shared" si="13"/>
        <v>100</v>
      </c>
      <c r="V39" s="657" t="s">
        <v>18</v>
      </c>
      <c r="W39" s="658">
        <f t="shared" si="14"/>
        <v>100</v>
      </c>
      <c r="X39" s="1243"/>
      <c r="Y39" s="3375"/>
      <c r="Z39" s="1242" t="str">
        <f t="shared" si="18"/>
        <v>市政基础设施</v>
      </c>
      <c r="AA39" s="1242">
        <f t="shared" si="15"/>
        <v>1</v>
      </c>
      <c r="AB39" s="1242">
        <f t="shared" si="16"/>
        <v>1</v>
      </c>
      <c r="AC39" s="1242">
        <f t="shared" si="17"/>
        <v>1</v>
      </c>
    </row>
    <row r="40" spans="1:29" ht="15">
      <c r="A40" s="402"/>
      <c r="B40" s="357" t="s">
        <v>1701</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73"/>
      <c r="Q40" s="1241" t="str">
        <f t="shared" si="11"/>
        <v>房型</v>
      </c>
      <c r="R40" s="657" t="s">
        <v>18</v>
      </c>
      <c r="S40" s="658">
        <f t="shared" si="12"/>
        <v>100</v>
      </c>
      <c r="T40" s="657" t="s">
        <v>18</v>
      </c>
      <c r="U40" s="658">
        <f t="shared" si="13"/>
        <v>100</v>
      </c>
      <c r="V40" s="657" t="s">
        <v>18</v>
      </c>
      <c r="W40" s="658">
        <f t="shared" si="14"/>
        <v>100</v>
      </c>
      <c r="X40" s="1243"/>
      <c r="Y40" s="3375"/>
      <c r="Z40" s="1242" t="str">
        <f t="shared" si="18"/>
        <v>房型</v>
      </c>
      <c r="AA40" s="1242">
        <f t="shared" si="15"/>
        <v>1</v>
      </c>
      <c r="AB40" s="1242">
        <f t="shared" si="16"/>
        <v>1</v>
      </c>
      <c r="AC40" s="1242">
        <f t="shared" si="17"/>
        <v>1</v>
      </c>
    </row>
    <row r="41" spans="1:29" s="401" customFormat="1" ht="28.5">
      <c r="A41" s="399"/>
      <c r="B41" s="357" t="s">
        <v>1702</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73"/>
      <c r="Q41" s="524" t="str">
        <f t="shared" si="11"/>
        <v>单套/主力户型建筑面积</v>
      </c>
      <c r="R41" s="659" t="s">
        <v>18</v>
      </c>
      <c r="S41" s="660">
        <f t="shared" si="12"/>
        <v>100</v>
      </c>
      <c r="T41" s="659" t="s">
        <v>18</v>
      </c>
      <c r="U41" s="660">
        <f t="shared" si="13"/>
        <v>100</v>
      </c>
      <c r="V41" s="659" t="s">
        <v>18</v>
      </c>
      <c r="W41" s="660">
        <f t="shared" si="14"/>
        <v>100</v>
      </c>
      <c r="X41" s="661"/>
      <c r="Y41" s="3375"/>
      <c r="Z41" s="662" t="str">
        <f t="shared" si="18"/>
        <v>单套/主力户型建筑面积</v>
      </c>
      <c r="AA41" s="1242">
        <f t="shared" si="15"/>
        <v>1</v>
      </c>
      <c r="AB41" s="1242">
        <f t="shared" si="16"/>
        <v>1</v>
      </c>
      <c r="AC41" s="1242">
        <f t="shared" si="17"/>
        <v>1</v>
      </c>
    </row>
    <row r="42" spans="1:29" ht="15">
      <c r="A42" s="402"/>
      <c r="B42" s="357" t="s">
        <v>1703</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73"/>
      <c r="Q42" s="1241" t="str">
        <f t="shared" si="11"/>
        <v>内部装修</v>
      </c>
      <c r="R42" s="657" t="s">
        <v>18</v>
      </c>
      <c r="S42" s="658">
        <f t="shared" si="12"/>
        <v>100</v>
      </c>
      <c r="T42" s="657" t="s">
        <v>18</v>
      </c>
      <c r="U42" s="658">
        <f t="shared" si="13"/>
        <v>100</v>
      </c>
      <c r="V42" s="657" t="s">
        <v>18</v>
      </c>
      <c r="W42" s="658">
        <f t="shared" si="14"/>
        <v>100</v>
      </c>
      <c r="X42" s="1243"/>
      <c r="Y42" s="3375"/>
      <c r="Z42" s="1242" t="str">
        <f t="shared" si="18"/>
        <v>内部装修</v>
      </c>
      <c r="AA42" s="1242">
        <f t="shared" si="15"/>
        <v>1</v>
      </c>
      <c r="AB42" s="1242">
        <f t="shared" si="16"/>
        <v>1</v>
      </c>
      <c r="AC42" s="1242">
        <f t="shared" si="17"/>
        <v>1</v>
      </c>
    </row>
    <row r="43" spans="1:29" ht="15">
      <c r="A43" s="402"/>
      <c r="B43" s="357" t="s">
        <v>1704</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73"/>
      <c r="Q43" s="1241" t="str">
        <f t="shared" si="11"/>
        <v>内部装修维护情况</v>
      </c>
      <c r="R43" s="657" t="s">
        <v>18</v>
      </c>
      <c r="S43" s="658">
        <f t="shared" si="12"/>
        <v>100</v>
      </c>
      <c r="T43" s="657" t="s">
        <v>18</v>
      </c>
      <c r="U43" s="658">
        <f t="shared" si="13"/>
        <v>100</v>
      </c>
      <c r="V43" s="657" t="s">
        <v>18</v>
      </c>
      <c r="W43" s="658">
        <f t="shared" si="14"/>
        <v>100</v>
      </c>
      <c r="X43" s="1243"/>
      <c r="Y43" s="3375"/>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73"/>
      <c r="Q44" s="523">
        <f t="shared" si="11"/>
        <v>111</v>
      </c>
      <c r="R44" s="654" t="s">
        <v>18</v>
      </c>
      <c r="S44" s="655">
        <f t="shared" si="12"/>
        <v>100</v>
      </c>
      <c r="T44" s="654" t="s">
        <v>18</v>
      </c>
      <c r="U44" s="655">
        <f t="shared" si="13"/>
        <v>100</v>
      </c>
      <c r="V44" s="654" t="s">
        <v>18</v>
      </c>
      <c r="W44" s="655">
        <f t="shared" si="14"/>
        <v>100</v>
      </c>
      <c r="X44" s="656"/>
      <c r="Y44" s="3375"/>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73"/>
      <c r="Q45" s="1241">
        <f t="shared" si="11"/>
        <v>111</v>
      </c>
      <c r="R45" s="657" t="s">
        <v>18</v>
      </c>
      <c r="S45" s="658">
        <f t="shared" si="12"/>
        <v>100</v>
      </c>
      <c r="T45" s="657" t="s">
        <v>18</v>
      </c>
      <c r="U45" s="658">
        <f t="shared" si="13"/>
        <v>100</v>
      </c>
      <c r="V45" s="657" t="s">
        <v>18</v>
      </c>
      <c r="W45" s="658">
        <f t="shared" si="14"/>
        <v>100</v>
      </c>
      <c r="X45" s="1243"/>
      <c r="Y45" s="3375"/>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74"/>
      <c r="Q46" s="1241">
        <f t="shared" si="11"/>
        <v>111</v>
      </c>
      <c r="R46" s="657" t="s">
        <v>17</v>
      </c>
      <c r="S46" s="658">
        <f t="shared" si="12"/>
        <v>100</v>
      </c>
      <c r="T46" s="657" t="s">
        <v>17</v>
      </c>
      <c r="U46" s="658">
        <f t="shared" si="13"/>
        <v>100</v>
      </c>
      <c r="V46" s="657" t="s">
        <v>17</v>
      </c>
      <c r="W46" s="658">
        <f t="shared" si="14"/>
        <v>100</v>
      </c>
      <c r="X46" s="1243"/>
      <c r="Y46" s="3376"/>
      <c r="Z46" s="1242">
        <f t="shared" si="18"/>
        <v>111</v>
      </c>
      <c r="AA46" s="1242">
        <f t="shared" si="15"/>
        <v>1</v>
      </c>
      <c r="AB46" s="1242">
        <f t="shared" si="16"/>
        <v>1</v>
      </c>
      <c r="AC46" s="1242">
        <f t="shared" si="17"/>
        <v>1</v>
      </c>
    </row>
    <row r="47" spans="1:29" ht="15">
      <c r="A47" s="409" t="s">
        <v>1705</v>
      </c>
      <c r="B47" s="410"/>
      <c r="C47" s="1059" t="s">
        <v>16</v>
      </c>
      <c r="D47" s="411"/>
      <c r="E47" s="412"/>
      <c r="F47" s="413"/>
      <c r="G47" s="414"/>
      <c r="H47" s="415"/>
      <c r="I47" s="412"/>
      <c r="J47" s="415"/>
      <c r="K47" s="1744"/>
      <c r="L47" s="2469"/>
      <c r="M47" s="2462"/>
      <c r="N47" s="2462"/>
      <c r="O47" s="2462"/>
      <c r="P47" s="3368" t="str">
        <f>A47</f>
        <v>成交单价（元/平方米）</v>
      </c>
      <c r="Q47" s="3368"/>
      <c r="R47" s="3369">
        <f>E47</f>
        <v>0</v>
      </c>
      <c r="S47" s="3369"/>
      <c r="T47" s="3369">
        <f>G47</f>
        <v>0</v>
      </c>
      <c r="U47" s="3369"/>
      <c r="V47" s="3369">
        <f>I47</f>
        <v>0</v>
      </c>
      <c r="W47" s="3369"/>
      <c r="X47" s="378"/>
      <c r="Y47" s="663"/>
      <c r="Z47" s="378"/>
      <c r="AA47" s="378"/>
      <c r="AB47" s="378"/>
      <c r="AC47" s="378"/>
    </row>
    <row r="48" spans="1:29" ht="15.75" thickBot="1">
      <c r="A48" s="416" t="s">
        <v>1706</v>
      </c>
      <c r="B48" s="417"/>
      <c r="C48" s="1060" t="e">
        <f>R49</f>
        <v>#DIV/0!</v>
      </c>
      <c r="D48" s="2118" t="s">
        <v>2135</v>
      </c>
      <c r="E48" s="1061" t="e">
        <f>R48</f>
        <v>#DIV/0!</v>
      </c>
      <c r="F48" s="2119"/>
      <c r="G48" s="1060" t="e">
        <f>T48</f>
        <v>#DIV/0!</v>
      </c>
      <c r="H48" s="2119"/>
      <c r="I48" s="1061" t="e">
        <f>V48</f>
        <v>#DIV/0!</v>
      </c>
      <c r="J48" s="2119"/>
      <c r="K48" s="2120">
        <f>F48+H48+J48</f>
        <v>0</v>
      </c>
      <c r="L48" s="2469"/>
      <c r="M48" s="2462"/>
      <c r="N48" s="2462"/>
      <c r="O48" s="2462"/>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78"/>
      <c r="Y48" s="378"/>
      <c r="Z48" s="378"/>
      <c r="AA48" s="378"/>
      <c r="AB48" s="378"/>
      <c r="AC48" s="378"/>
    </row>
    <row r="49" spans="1:29" ht="15.75" thickBot="1">
      <c r="A49" s="420" t="s">
        <v>1707</v>
      </c>
      <c r="B49" s="421"/>
      <c r="C49" s="1062" t="e">
        <f>R49</f>
        <v>#DIV/0!</v>
      </c>
      <c r="D49" s="344"/>
      <c r="E49" s="344"/>
      <c r="F49" s="344"/>
      <c r="G49" s="344"/>
      <c r="H49" s="344"/>
      <c r="I49" s="344"/>
      <c r="J49" s="344"/>
      <c r="K49" s="1745"/>
      <c r="L49" s="2469"/>
      <c r="M49" s="2462"/>
      <c r="N49" s="2462"/>
      <c r="O49" s="2462"/>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1708</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1709</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1710</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1711</v>
      </c>
      <c r="B57" s="378"/>
      <c r="C57" s="649"/>
      <c r="D57" s="649"/>
      <c r="E57" s="649"/>
      <c r="F57" s="650"/>
      <c r="G57" s="650"/>
      <c r="H57" s="649"/>
      <c r="I57" s="649"/>
      <c r="J57" s="649"/>
      <c r="K57" s="867"/>
      <c r="L57" s="868"/>
      <c r="M57" s="866"/>
      <c r="N57" s="866"/>
      <c r="O57" s="866"/>
      <c r="P57" s="1748"/>
      <c r="Q57" s="432"/>
    </row>
    <row r="58" spans="1:29" s="435" customFormat="1" ht="15">
      <c r="A58" s="433" t="s">
        <v>1712</v>
      </c>
      <c r="B58" s="434"/>
      <c r="C58" s="1083" t="str">
        <f>YEAR(C7)&amp;"-"&amp;MONTH(C7)</f>
        <v>2025-3</v>
      </c>
      <c r="D58" s="1082">
        <f>EDATE(C58,-1)</f>
        <v>45689</v>
      </c>
      <c r="E58" s="1082">
        <f>EDATE(D58,-1)</f>
        <v>45658</v>
      </c>
      <c r="F58" s="1082">
        <f t="shared" ref="F58:O58" si="19">EDATE(E58,-1)</f>
        <v>45627</v>
      </c>
      <c r="G58" s="1082">
        <f t="shared" si="19"/>
        <v>45597</v>
      </c>
      <c r="H58" s="1082">
        <f t="shared" si="19"/>
        <v>45566</v>
      </c>
      <c r="I58" s="1082">
        <f t="shared" si="19"/>
        <v>45536</v>
      </c>
      <c r="J58" s="1082">
        <f t="shared" si="19"/>
        <v>45505</v>
      </c>
      <c r="K58" s="1082">
        <f t="shared" si="19"/>
        <v>45474</v>
      </c>
      <c r="L58" s="1082">
        <f t="shared" si="19"/>
        <v>45444</v>
      </c>
      <c r="M58" s="1082">
        <f t="shared" si="19"/>
        <v>45413</v>
      </c>
      <c r="N58" s="1082">
        <f t="shared" si="19"/>
        <v>45383</v>
      </c>
      <c r="O58" s="1082">
        <f t="shared" si="19"/>
        <v>45352</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1713</v>
      </c>
      <c r="B60" s="443"/>
      <c r="C60" s="444"/>
      <c r="D60" s="445"/>
      <c r="E60" s="445"/>
      <c r="F60" s="445"/>
      <c r="G60" s="445"/>
      <c r="H60" s="445"/>
      <c r="I60" s="445"/>
      <c r="J60" s="445"/>
      <c r="K60" s="445"/>
      <c r="L60" s="445"/>
      <c r="M60" s="446"/>
      <c r="N60" s="445"/>
      <c r="O60" s="446"/>
      <c r="P60" s="1750"/>
      <c r="Q60" s="432"/>
    </row>
    <row r="61" spans="1:29" s="101" customFormat="1" ht="15">
      <c r="A61" s="448" t="s">
        <v>1714</v>
      </c>
      <c r="B61" s="437"/>
      <c r="C61" s="449" t="s">
        <v>1715</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1716</v>
      </c>
      <c r="B63" s="453" t="s">
        <v>1682</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1685</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1686</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1687</v>
      </c>
      <c r="B76" s="453" t="s">
        <v>1717</v>
      </c>
      <c r="C76" s="497" t="s">
        <v>1718</v>
      </c>
      <c r="D76" s="497" t="s">
        <v>1719</v>
      </c>
      <c r="E76" s="497" t="s">
        <v>1720</v>
      </c>
      <c r="F76" s="497" t="s">
        <v>1721</v>
      </c>
      <c r="G76" s="497" t="s">
        <v>1722</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1723</v>
      </c>
      <c r="C78" s="502" t="s">
        <v>1718</v>
      </c>
      <c r="D78" s="502" t="s">
        <v>1719</v>
      </c>
      <c r="E78" s="502" t="s">
        <v>1720</v>
      </c>
      <c r="F78" s="502" t="s">
        <v>1721</v>
      </c>
      <c r="G78" s="502" t="s">
        <v>1722</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1724</v>
      </c>
      <c r="C80" s="502" t="s">
        <v>1718</v>
      </c>
      <c r="D80" s="502" t="s">
        <v>1719</v>
      </c>
      <c r="E80" s="502" t="s">
        <v>1720</v>
      </c>
      <c r="F80" s="502" t="s">
        <v>1721</v>
      </c>
      <c r="G80" s="502" t="s">
        <v>1722</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1257</v>
      </c>
      <c r="C82" s="463" t="s">
        <v>1725</v>
      </c>
      <c r="D82" s="463" t="s">
        <v>1726</v>
      </c>
      <c r="E82" s="463" t="s">
        <v>1727</v>
      </c>
      <c r="F82" s="463" t="s">
        <v>1728</v>
      </c>
      <c r="G82" s="463" t="s">
        <v>1729</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1730</v>
      </c>
      <c r="C84" s="502" t="s">
        <v>1718</v>
      </c>
      <c r="D84" s="502" t="s">
        <v>1719</v>
      </c>
      <c r="E84" s="502" t="s">
        <v>1720</v>
      </c>
      <c r="F84" s="502" t="s">
        <v>1721</v>
      </c>
      <c r="G84" s="502" t="s">
        <v>1722</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1731</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1732</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1691</v>
      </c>
      <c r="B100" s="453" t="s">
        <v>1733</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1734</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1735</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1736</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1737</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1738</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1739</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1740</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1702</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1741</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1742</v>
      </c>
      <c r="C124" s="502" t="s">
        <v>1718</v>
      </c>
      <c r="D124" s="502" t="s">
        <v>1719</v>
      </c>
      <c r="E124" s="502" t="s">
        <v>1720</v>
      </c>
      <c r="F124" s="502" t="s">
        <v>1721</v>
      </c>
      <c r="G124" s="502" t="s">
        <v>1722</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1743</v>
      </c>
    </row>
    <row r="137" spans="1:17" ht="15">
      <c r="B137" s="1759" t="s">
        <v>1744</v>
      </c>
      <c r="C137" s="1760"/>
      <c r="D137" s="1760"/>
      <c r="E137" s="1760"/>
      <c r="F137" s="1760"/>
      <c r="G137" s="1761"/>
      <c r="H137" s="1762"/>
      <c r="I137" s="1763" t="s">
        <v>1745</v>
      </c>
      <c r="J137" s="1760"/>
      <c r="K137" s="1764"/>
    </row>
    <row r="138" spans="1:17" ht="15">
      <c r="B138" s="1765"/>
      <c r="C138" s="123" t="s">
        <v>1746</v>
      </c>
      <c r="D138" s="123" t="s">
        <v>1747</v>
      </c>
      <c r="E138" s="1766" t="s">
        <v>1748</v>
      </c>
      <c r="F138" s="1767" t="s">
        <v>1749</v>
      </c>
      <c r="G138" s="123" t="s">
        <v>1747</v>
      </c>
      <c r="H138" s="124" t="s">
        <v>1748</v>
      </c>
      <c r="I138" s="1768"/>
      <c r="J138" s="123" t="s">
        <v>1750</v>
      </c>
      <c r="K138" s="124" t="s">
        <v>1751</v>
      </c>
    </row>
    <row r="139" spans="1:17" ht="15">
      <c r="B139" s="794">
        <v>6</v>
      </c>
      <c r="C139" s="795">
        <v>96</v>
      </c>
      <c r="D139" s="1769" t="s">
        <v>1752</v>
      </c>
      <c r="E139" s="796">
        <v>100</v>
      </c>
      <c r="F139" s="797">
        <v>102.5</v>
      </c>
      <c r="G139" s="1769" t="s">
        <v>1752</v>
      </c>
      <c r="H139" s="798">
        <v>105</v>
      </c>
      <c r="I139" s="1770" t="s">
        <v>1753</v>
      </c>
      <c r="J139" s="795">
        <v>20</v>
      </c>
      <c r="K139" s="799">
        <f>C145/(J139-2)</f>
        <v>4.0555555555555553E-3</v>
      </c>
    </row>
    <row r="140" spans="1:17" ht="15">
      <c r="B140" s="800">
        <v>5</v>
      </c>
      <c r="C140" s="801">
        <v>100</v>
      </c>
      <c r="D140" s="801"/>
      <c r="E140" s="802"/>
      <c r="F140" s="803">
        <v>102</v>
      </c>
      <c r="G140" s="801"/>
      <c r="H140" s="804"/>
      <c r="I140" s="1771" t="s">
        <v>1754</v>
      </c>
      <c r="J140" s="257">
        <f>ROUNDUP((J139-1)/2,0)</f>
        <v>10</v>
      </c>
      <c r="K140" s="805">
        <v>100</v>
      </c>
    </row>
    <row r="141" spans="1:17" ht="15">
      <c r="B141" s="800">
        <v>4</v>
      </c>
      <c r="C141" s="801">
        <v>102</v>
      </c>
      <c r="D141" s="801"/>
      <c r="E141" s="802"/>
      <c r="F141" s="803">
        <v>101.5</v>
      </c>
      <c r="G141" s="801"/>
      <c r="H141" s="804"/>
      <c r="I141" s="1771" t="s">
        <v>1755</v>
      </c>
      <c r="J141" s="257">
        <v>1</v>
      </c>
      <c r="K141" s="806">
        <f>ROUND(100+(J141-J140)*K139*100,1)</f>
        <v>96.4</v>
      </c>
    </row>
    <row r="142" spans="1:17" ht="15">
      <c r="B142" s="800">
        <v>3</v>
      </c>
      <c r="C142" s="801">
        <v>103</v>
      </c>
      <c r="D142" s="801"/>
      <c r="E142" s="802"/>
      <c r="F142" s="803">
        <v>101</v>
      </c>
      <c r="G142" s="801"/>
      <c r="H142" s="804"/>
      <c r="I142" s="1771" t="s">
        <v>1756</v>
      </c>
      <c r="J142" s="257">
        <f>J139</f>
        <v>20</v>
      </c>
      <c r="K142" s="807">
        <v>95</v>
      </c>
    </row>
    <row r="143" spans="1:17" ht="15">
      <c r="B143" s="800">
        <v>2</v>
      </c>
      <c r="C143" s="801">
        <v>100</v>
      </c>
      <c r="D143" s="801"/>
      <c r="E143" s="802"/>
      <c r="F143" s="803">
        <v>100.5</v>
      </c>
      <c r="G143" s="801"/>
      <c r="H143" s="804"/>
      <c r="I143" s="1771" t="s">
        <v>1757</v>
      </c>
      <c r="J143" s="801">
        <v>15</v>
      </c>
      <c r="K143" s="806">
        <f>ROUND(100+(J143-J140)*K139*100,1)</f>
        <v>102</v>
      </c>
    </row>
    <row r="144" spans="1:17" ht="15">
      <c r="B144" s="800">
        <v>1</v>
      </c>
      <c r="C144" s="801">
        <v>98</v>
      </c>
      <c r="D144" s="1772" t="s">
        <v>1758</v>
      </c>
      <c r="E144" s="802">
        <v>102</v>
      </c>
      <c r="F144" s="808">
        <v>100</v>
      </c>
      <c r="G144" s="1772" t="s">
        <v>1758</v>
      </c>
      <c r="H144" s="804">
        <v>105</v>
      </c>
      <c r="I144" s="1771" t="s">
        <v>1757</v>
      </c>
      <c r="J144" s="801">
        <v>18</v>
      </c>
      <c r="K144" s="806">
        <f>ROUND(100+(J144-J140)*K139*100,1)</f>
        <v>103.2</v>
      </c>
    </row>
    <row r="145" spans="2:11" ht="15.75" thickBot="1">
      <c r="B145" s="1773" t="s">
        <v>1759</v>
      </c>
      <c r="C145" s="809">
        <f>ROUND(MAX(C139:C144)/MIN(C139:C144)-1,3)</f>
        <v>7.2999999999999995E-2</v>
      </c>
      <c r="D145" s="810"/>
      <c r="E145" s="810"/>
      <c r="F145" s="1774" t="s">
        <v>1760</v>
      </c>
      <c r="G145" s="1775"/>
      <c r="H145" s="1776"/>
      <c r="I145" s="1777" t="s">
        <v>1757</v>
      </c>
      <c r="J145" s="811">
        <v>8</v>
      </c>
      <c r="K145" s="812">
        <f>ROUND(100+(J145-J140)*K139*100,1)</f>
        <v>99.2</v>
      </c>
    </row>
    <row r="147" spans="2:11">
      <c r="B147" s="1758" t="s">
        <v>1761</v>
      </c>
    </row>
    <row r="148" spans="2:11">
      <c r="B148" s="175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48" priority="14"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F7:F46 H7:H46 J7:J46">
    <cfRule type="cellIs" dxfId="145" priority="1" operator="notEqual">
      <formula>100</formula>
    </cfRule>
  </conditionalFormatting>
  <conditionalFormatting sqref="F48">
    <cfRule type="expression" dxfId="144" priority="4">
      <formula>$D$48="简单平均"</formula>
    </cfRule>
  </conditionalFormatting>
  <conditionalFormatting sqref="F52:F54 H52:H54 J52:J54">
    <cfRule type="containsText" dxfId="143" priority="15" stopIfTrue="1" operator="containsText" text="超过">
      <formula>NOT(ISERROR(SEARCH("超过",F52)))</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G54">
    <cfRule type="expression" dxfId="140" priority="12" stopIfTrue="1">
      <formula>$H$54="超过30%"</formula>
    </cfRule>
  </conditionalFormatting>
  <conditionalFormatting sqref="H48">
    <cfRule type="expression" dxfId="139" priority="3">
      <formula>$D$48="简单平均"</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J48">
    <cfRule type="expression" dxfId="135"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H33" sqref="H33"/>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1763</v>
      </c>
      <c r="C1" s="1133" t="s">
        <v>1659</v>
      </c>
      <c r="D1" s="1120" t="s">
        <v>670</v>
      </c>
      <c r="E1" s="3097" t="s">
        <v>3394</v>
      </c>
      <c r="F1" s="1712" t="s">
        <v>3395</v>
      </c>
      <c r="G1" s="1130" t="s">
        <v>1764</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1459</v>
      </c>
      <c r="B2" s="1063">
        <f>IF(E1="项目模式",IF(C2="——",ROUND(C49*D3/10000,0),ROUND(C49*D3/10000,0)-D2),IF(E1="单套模式",IF(C2="——",ROUND(C49*D3/10000,4),ROUND(C49*D3/10000,4)-D2)))</f>
        <v>2053.4153999999999</v>
      </c>
      <c r="C2" s="1714" t="s">
        <v>43</v>
      </c>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1461</v>
      </c>
      <c r="B3" s="529">
        <f>IF(C2="——",C49,ROUND(B2*10000/D3,0))</f>
        <v>36487</v>
      </c>
      <c r="C3" s="337" t="s">
        <v>1765</v>
      </c>
      <c r="D3" s="336">
        <f>IF(D1="",'数据-汇总表'!E3,SUMIF('数据-汇总表'!$C19:$C33,D1,'数据-汇总表'!$E19:$E33))</f>
        <v>562.78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387" t="s">
        <v>1772</v>
      </c>
      <c r="Q4" s="3388"/>
      <c r="R4" s="3393" t="s">
        <v>1768</v>
      </c>
      <c r="S4" s="3394"/>
      <c r="T4" s="3393" t="s">
        <v>1769</v>
      </c>
      <c r="U4" s="3394"/>
      <c r="V4" s="3369" t="s">
        <v>1770</v>
      </c>
      <c r="W4" s="3369"/>
      <c r="X4" s="1243"/>
      <c r="Y4" s="3393" t="s">
        <v>1772</v>
      </c>
      <c r="Z4" s="3394"/>
      <c r="AA4" s="3380" t="s">
        <v>1768</v>
      </c>
      <c r="AB4" s="3369" t="s">
        <v>1769</v>
      </c>
      <c r="AC4" s="3380" t="s">
        <v>1770</v>
      </c>
    </row>
    <row r="5" spans="1:29" ht="15">
      <c r="A5" s="341"/>
      <c r="B5" s="342"/>
      <c r="C5" s="3401" t="s">
        <v>1670</v>
      </c>
      <c r="D5" s="3402"/>
      <c r="E5" s="3410" t="s">
        <v>3447</v>
      </c>
      <c r="F5" s="3411"/>
      <c r="G5" s="3412" t="s">
        <v>3448</v>
      </c>
      <c r="H5" s="3413"/>
      <c r="I5" s="3412" t="s">
        <v>3449</v>
      </c>
      <c r="J5" s="3413"/>
      <c r="K5" s="530"/>
      <c r="L5" s="2461"/>
      <c r="M5" s="2462"/>
      <c r="N5" s="2462"/>
      <c r="O5" s="2462"/>
      <c r="P5" s="3389"/>
      <c r="Q5" s="3390"/>
      <c r="R5" s="3395"/>
      <c r="S5" s="3396"/>
      <c r="T5" s="3395"/>
      <c r="U5" s="3396"/>
      <c r="V5" s="3369"/>
      <c r="W5" s="3369"/>
      <c r="X5" s="1243"/>
      <c r="Y5" s="3395"/>
      <c r="Z5" s="3396"/>
      <c r="AA5" s="3381"/>
      <c r="AB5" s="3369"/>
      <c r="AC5" s="3381"/>
    </row>
    <row r="6" spans="1:29" ht="15.75" thickBot="1">
      <c r="A6" s="343"/>
      <c r="B6" s="344"/>
      <c r="C6" s="3399" t="s">
        <v>1674</v>
      </c>
      <c r="D6" s="3400"/>
      <c r="E6" s="3406" t="s">
        <v>1674</v>
      </c>
      <c r="F6" s="3407"/>
      <c r="G6" s="3399" t="s">
        <v>1674</v>
      </c>
      <c r="H6" s="3400"/>
      <c r="I6" s="3399" t="s">
        <v>1674</v>
      </c>
      <c r="J6" s="3400"/>
      <c r="K6" s="530" t="s">
        <v>1675</v>
      </c>
      <c r="L6" s="2461"/>
      <c r="M6" s="2462"/>
      <c r="N6" s="2462"/>
      <c r="O6" s="2462"/>
      <c r="P6" s="3391"/>
      <c r="Q6" s="3392"/>
      <c r="R6" s="3395"/>
      <c r="S6" s="3396"/>
      <c r="T6" s="3397"/>
      <c r="U6" s="3398"/>
      <c r="V6" s="3369"/>
      <c r="W6" s="3369"/>
      <c r="X6" s="1243"/>
      <c r="Y6" s="3397"/>
      <c r="Z6" s="3398"/>
      <c r="AA6" s="3382"/>
      <c r="AB6" s="3369"/>
      <c r="AC6" s="3382"/>
    </row>
    <row r="7" spans="1:29" s="101" customFormat="1" ht="15.75" thickBot="1">
      <c r="A7" s="345" t="s">
        <v>1676</v>
      </c>
      <c r="B7" s="346"/>
      <c r="C7" s="347">
        <f>'数据-取费表'!B2</f>
        <v>45727</v>
      </c>
      <c r="D7" s="348">
        <v>100</v>
      </c>
      <c r="E7" s="349">
        <f>C7</f>
        <v>45727</v>
      </c>
      <c r="F7" s="350">
        <f>SUMIF(58:58,YEAR(E7)&amp;"-"&amp;MONTH(E7),59:59)</f>
        <v>100</v>
      </c>
      <c r="G7" s="349">
        <f>E7</f>
        <v>45727</v>
      </c>
      <c r="H7" s="348">
        <f>SUMIF(58:58,YEAR(G7)&amp;"-"&amp;MONTH(G7),59:59)</f>
        <v>100</v>
      </c>
      <c r="I7" s="349">
        <f>G7</f>
        <v>45727</v>
      </c>
      <c r="J7" s="348">
        <f>SUMIF(58:58,YEAR(I7)&amp;"-"&amp;MONTH(I7),59:59)</f>
        <v>100</v>
      </c>
      <c r="K7" s="38"/>
      <c r="L7" s="2463"/>
      <c r="M7" s="2416"/>
      <c r="N7" s="2416"/>
      <c r="O7" s="2416"/>
      <c r="P7" s="3403" t="s">
        <v>1677</v>
      </c>
      <c r="Q7" s="3405"/>
      <c r="R7" s="654" t="s">
        <v>14</v>
      </c>
      <c r="S7" s="655">
        <f t="shared" ref="S7:S15" si="0">F7</f>
        <v>100</v>
      </c>
      <c r="T7" s="654" t="s">
        <v>14</v>
      </c>
      <c r="U7" s="655">
        <f t="shared" ref="U7:U15" si="1">H7</f>
        <v>100</v>
      </c>
      <c r="V7" s="654" t="s">
        <v>14</v>
      </c>
      <c r="W7" s="655">
        <f t="shared" ref="W7:W15" si="2">J7</f>
        <v>100</v>
      </c>
      <c r="X7" s="656"/>
      <c r="Y7" s="3403" t="s">
        <v>1677</v>
      </c>
      <c r="Z7" s="3404"/>
      <c r="AA7" s="50">
        <f>D7/F7</f>
        <v>1</v>
      </c>
      <c r="AB7" s="50">
        <f>D7/H7</f>
        <v>1</v>
      </c>
      <c r="AC7" s="50">
        <f>D7/J7</f>
        <v>1</v>
      </c>
    </row>
    <row r="8" spans="1:29" s="101" customFormat="1" ht="15.75" thickBot="1">
      <c r="A8" s="345" t="s">
        <v>1678</v>
      </c>
      <c r="B8" s="346"/>
      <c r="C8" s="351" t="s">
        <v>3402</v>
      </c>
      <c r="D8" s="348">
        <v>100</v>
      </c>
      <c r="E8" s="351" t="s">
        <v>3457</v>
      </c>
      <c r="F8" s="350">
        <f>SUMIF(61:61,E8,62:62)-SUMIF(61:61,C8,62:62)+100</f>
        <v>105</v>
      </c>
      <c r="G8" s="351" t="s">
        <v>3457</v>
      </c>
      <c r="H8" s="348">
        <f>SUMIF(61:61,G8,62:62)-SUMIF(61:61,C8,62:62)+100</f>
        <v>105</v>
      </c>
      <c r="I8" s="351" t="s">
        <v>3457</v>
      </c>
      <c r="J8" s="348">
        <f>SUMIF(61:61,I8,62:62)-SUMIF(61:61,C8,62:62)+100</f>
        <v>105</v>
      </c>
      <c r="K8" s="38"/>
      <c r="L8" s="2463"/>
      <c r="M8" s="2416"/>
      <c r="N8" s="2416"/>
      <c r="O8" s="2416"/>
      <c r="P8" s="3403" t="s">
        <v>1680</v>
      </c>
      <c r="Q8" s="3404"/>
      <c r="R8" s="654" t="s">
        <v>14</v>
      </c>
      <c r="S8" s="655">
        <f t="shared" si="0"/>
        <v>105</v>
      </c>
      <c r="T8" s="654" t="s">
        <v>14</v>
      </c>
      <c r="U8" s="655">
        <f t="shared" si="1"/>
        <v>105</v>
      </c>
      <c r="V8" s="654" t="s">
        <v>14</v>
      </c>
      <c r="W8" s="655">
        <f t="shared" si="2"/>
        <v>105</v>
      </c>
      <c r="X8" s="656"/>
      <c r="Y8" s="3403" t="s">
        <v>1680</v>
      </c>
      <c r="Z8" s="3404"/>
      <c r="AA8" s="50">
        <f t="shared" ref="AA8:AA46" si="3">D8/F8</f>
        <v>0.95238095238095233</v>
      </c>
      <c r="AB8" s="50">
        <f t="shared" ref="AB8:AB46" si="4">D8/H8</f>
        <v>0.95238095238095233</v>
      </c>
      <c r="AC8" s="50">
        <f t="shared" ref="AC8:AC46" si="5">D8/J8</f>
        <v>0.95238095238095233</v>
      </c>
    </row>
    <row r="9" spans="1:29" s="101" customFormat="1" ht="15" customHeight="1">
      <c r="A9" s="352" t="s">
        <v>1681</v>
      </c>
      <c r="B9" s="60" t="s">
        <v>1682</v>
      </c>
      <c r="C9" s="3127" t="s">
        <v>3456</v>
      </c>
      <c r="D9" s="59">
        <v>100</v>
      </c>
      <c r="E9" s="354" t="s">
        <v>670</v>
      </c>
      <c r="F9" s="60">
        <f>SUMIF(63:63,E9,64:64)-SUMIF(63:63,C9,64:64)+100</f>
        <v>100</v>
      </c>
      <c r="G9" s="354" t="s">
        <v>670</v>
      </c>
      <c r="H9" s="59">
        <f>SUMIF(63:63,G9,64:64)-SUMIF(63:63,C9,64:64)+100</f>
        <v>100</v>
      </c>
      <c r="I9" s="354" t="s">
        <v>670</v>
      </c>
      <c r="J9" s="59">
        <f>SUMIF(63:63,I9,64:64)-SUMIF(63:63,C9,64:64)+100</f>
        <v>100</v>
      </c>
      <c r="K9" s="38"/>
      <c r="L9" s="2463"/>
      <c r="M9" s="2416"/>
      <c r="N9" s="2416"/>
      <c r="O9" s="2416"/>
      <c r="P9" s="3379"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50">
        <f t="shared" si="5"/>
        <v>1</v>
      </c>
    </row>
    <row r="10" spans="1:29" s="359" customFormat="1" ht="27">
      <c r="A10" s="356"/>
      <c r="B10" s="357" t="s">
        <v>1685</v>
      </c>
      <c r="C10" s="3104" t="s">
        <v>3459</v>
      </c>
      <c r="D10" s="113">
        <v>100</v>
      </c>
      <c r="E10" s="3105" t="s">
        <v>3460</v>
      </c>
      <c r="F10" s="357">
        <f>SUMIF(65:65,E10,66:66)-SUMIF(65:65,C10,66:66)+100</f>
        <v>99</v>
      </c>
      <c r="G10" s="3104" t="s">
        <v>3460</v>
      </c>
      <c r="H10" s="113">
        <f>SUMIF(65:65,G10,66:66)-SUMIF(65:65,C10,66:66)+100</f>
        <v>99</v>
      </c>
      <c r="I10" s="3151" t="s">
        <v>3461</v>
      </c>
      <c r="J10" s="113">
        <f>SUMIF(65:65,I10,66:66)-SUMIF(65:65,C10,66:66)+100</f>
        <v>98</v>
      </c>
      <c r="K10" s="38"/>
      <c r="L10" s="2464"/>
      <c r="M10" s="2465"/>
      <c r="N10" s="2465"/>
      <c r="O10" s="2465"/>
      <c r="P10" s="3379"/>
      <c r="Q10" s="523" t="str">
        <f t="shared" si="6"/>
        <v>土地使用年限（年）</v>
      </c>
      <c r="R10" s="654" t="s">
        <v>14</v>
      </c>
      <c r="S10" s="655">
        <f t="shared" si="0"/>
        <v>99</v>
      </c>
      <c r="T10" s="654" t="s">
        <v>14</v>
      </c>
      <c r="U10" s="655">
        <f t="shared" si="1"/>
        <v>99</v>
      </c>
      <c r="V10" s="654" t="s">
        <v>14</v>
      </c>
      <c r="W10" s="655">
        <f t="shared" si="2"/>
        <v>98</v>
      </c>
      <c r="X10" s="656"/>
      <c r="Y10" s="3243"/>
      <c r="Z10" s="50" t="str">
        <f t="shared" si="7"/>
        <v>土地使用年限（年）</v>
      </c>
      <c r="AA10" s="50">
        <f t="shared" si="3"/>
        <v>1.0101010101010102</v>
      </c>
      <c r="AB10" s="50">
        <f t="shared" si="4"/>
        <v>1.0101010101010102</v>
      </c>
      <c r="AC10" s="50">
        <f t="shared" si="5"/>
        <v>1.0204081632653061</v>
      </c>
    </row>
    <row r="11" spans="1:29" ht="15.75" thickBot="1">
      <c r="A11" s="360"/>
      <c r="B11" s="357" t="s">
        <v>1686</v>
      </c>
      <c r="C11" s="361"/>
      <c r="D11" s="113">
        <v>100</v>
      </c>
      <c r="E11" s="362"/>
      <c r="F11" s="357">
        <f>LOOKUP(E11,68:68,69:69)-LOOKUP(C11,68:68,69:69)+100</f>
        <v>100</v>
      </c>
      <c r="G11" s="361"/>
      <c r="H11" s="113">
        <f>LOOKUP(G11,68:68,69:69)-LOOKUP(C11,68:68,69:69)+100</f>
        <v>100</v>
      </c>
      <c r="I11" s="361"/>
      <c r="J11" s="113">
        <f>LOOKUP(I11,68:68,69:69)-LOOKUP(C11,68:68,69:69)+100</f>
        <v>100</v>
      </c>
      <c r="K11" s="531">
        <v>0</v>
      </c>
      <c r="L11" s="2466"/>
      <c r="M11" s="2462"/>
      <c r="N11" s="2462"/>
      <c r="O11" s="2462"/>
      <c r="P11" s="3379"/>
      <c r="Q11" s="523" t="str">
        <f t="shared" si="6"/>
        <v>容积率</v>
      </c>
      <c r="R11" s="654" t="s">
        <v>14</v>
      </c>
      <c r="S11" s="655">
        <f t="shared" si="0"/>
        <v>100</v>
      </c>
      <c r="T11" s="654" t="s">
        <v>14</v>
      </c>
      <c r="U11" s="655">
        <f t="shared" si="1"/>
        <v>100</v>
      </c>
      <c r="V11" s="654" t="s">
        <v>14</v>
      </c>
      <c r="W11" s="655">
        <f t="shared" si="2"/>
        <v>100</v>
      </c>
      <c r="X11" s="656"/>
      <c r="Y11" s="3243"/>
      <c r="Z11" s="50" t="str">
        <f t="shared" si="7"/>
        <v>容积率</v>
      </c>
      <c r="AA11" s="50">
        <f t="shared" si="3"/>
        <v>1</v>
      </c>
      <c r="AB11" s="50">
        <f t="shared" si="4"/>
        <v>1</v>
      </c>
      <c r="AC11" s="50">
        <f t="shared" si="5"/>
        <v>1</v>
      </c>
    </row>
    <row r="12" spans="1:29" s="101" customFormat="1" ht="15.75" hidden="1" customHeight="1" thickBot="1">
      <c r="A12" s="363"/>
      <c r="B12" s="440">
        <v>111</v>
      </c>
      <c r="C12" s="364"/>
      <c r="D12" s="365">
        <v>100</v>
      </c>
      <c r="E12" s="366">
        <v>2014</v>
      </c>
      <c r="F12" s="357">
        <f>SUMIF(70:70,E12,71:71)-SUMIF(70:70,C12,71:71)+100</f>
        <v>100</v>
      </c>
      <c r="G12" s="366">
        <v>2008</v>
      </c>
      <c r="H12" s="113">
        <f>SUMIF(70:70,G12,71:71)-SUMIF(70:70,C12,71:71)+100</f>
        <v>100</v>
      </c>
      <c r="I12" s="366">
        <v>2006</v>
      </c>
      <c r="J12" s="113">
        <f>SUMIF(70:70,I12,71:71)-SUMIF(70:70,C12,71:71)+100</f>
        <v>100</v>
      </c>
      <c r="K12" s="532"/>
      <c r="L12" s="2463"/>
      <c r="M12" s="2416"/>
      <c r="N12" s="2416"/>
      <c r="O12" s="2416"/>
      <c r="P12" s="3379"/>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50">
        <f>D12/J12</f>
        <v>1</v>
      </c>
    </row>
    <row r="13" spans="1:29" ht="15.75" hidden="1" customHeight="1" thickBot="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79"/>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50">
        <f t="shared" si="5"/>
        <v>1</v>
      </c>
    </row>
    <row r="14" spans="1:29" ht="15.75" hidden="1" customHeight="1"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79"/>
      <c r="Q14" s="523">
        <f t="shared" si="6"/>
        <v>111</v>
      </c>
      <c r="R14" s="654" t="s">
        <v>14</v>
      </c>
      <c r="S14" s="655">
        <f t="shared" si="0"/>
        <v>100</v>
      </c>
      <c r="T14" s="654" t="s">
        <v>14</v>
      </c>
      <c r="U14" s="655">
        <f t="shared" si="1"/>
        <v>100</v>
      </c>
      <c r="V14" s="654" t="s">
        <v>14</v>
      </c>
      <c r="W14" s="655">
        <f t="shared" si="2"/>
        <v>100</v>
      </c>
      <c r="X14" s="656"/>
      <c r="Y14" s="3243"/>
      <c r="Z14" s="50">
        <f t="shared" si="7"/>
        <v>111</v>
      </c>
      <c r="AA14" s="50">
        <f t="shared" si="3"/>
        <v>1</v>
      </c>
      <c r="AB14" s="50">
        <f t="shared" si="4"/>
        <v>1</v>
      </c>
      <c r="AC14" s="50">
        <f t="shared" si="5"/>
        <v>1</v>
      </c>
    </row>
    <row r="15" spans="1:29" ht="15">
      <c r="A15" s="372" t="s">
        <v>1687</v>
      </c>
      <c r="B15" s="58" t="s">
        <v>1774</v>
      </c>
      <c r="C15" s="1727">
        <f>估价对象房地状况!C4</f>
        <v>0</v>
      </c>
      <c r="D15" s="373">
        <v>100</v>
      </c>
      <c r="E15" s="374"/>
      <c r="F15" s="375">
        <f>SUMIF(76:76,E16,77:77)-SUMIF(76:76,C16,77:77)+100</f>
        <v>100</v>
      </c>
      <c r="G15" s="376"/>
      <c r="H15" s="373">
        <f>SUMIF(76:76,G16,77:77)-SUMIF(76:76,C16,77:77)+100</f>
        <v>103</v>
      </c>
      <c r="I15" s="374"/>
      <c r="J15" s="373">
        <f>SUMIF(76:76,I16,77:77)-SUMIF(76:76,C16,77:77)+100</f>
        <v>100</v>
      </c>
      <c r="K15" s="533">
        <v>3</v>
      </c>
      <c r="L15" s="2467"/>
      <c r="M15" s="2462"/>
      <c r="N15" s="2462"/>
      <c r="O15" s="2462"/>
      <c r="P15" s="3377" t="s">
        <v>1688</v>
      </c>
      <c r="Q15" s="1241" t="str">
        <f t="shared" si="6"/>
        <v>商业繁华度</v>
      </c>
      <c r="R15" s="657" t="s">
        <v>14</v>
      </c>
      <c r="S15" s="658">
        <f t="shared" si="0"/>
        <v>100</v>
      </c>
      <c r="T15" s="657" t="s">
        <v>14</v>
      </c>
      <c r="U15" s="658">
        <f t="shared" si="1"/>
        <v>103</v>
      </c>
      <c r="V15" s="657" t="s">
        <v>14</v>
      </c>
      <c r="W15" s="658">
        <f t="shared" si="2"/>
        <v>100</v>
      </c>
      <c r="X15" s="1243"/>
      <c r="Y15" s="3370" t="s">
        <v>1688</v>
      </c>
      <c r="Z15" s="1242" t="str">
        <f t="shared" si="7"/>
        <v>商业繁华度</v>
      </c>
      <c r="AA15" s="1242">
        <f t="shared" si="3"/>
        <v>1</v>
      </c>
      <c r="AB15" s="1242">
        <f t="shared" si="4"/>
        <v>0.970873786407767</v>
      </c>
      <c r="AC15" s="1242">
        <f t="shared" si="5"/>
        <v>1</v>
      </c>
    </row>
    <row r="16" spans="1:29" ht="15">
      <c r="A16" s="360"/>
      <c r="B16" s="378"/>
      <c r="C16" s="379" t="s">
        <v>3428</v>
      </c>
      <c r="D16" s="380"/>
      <c r="E16" s="379" t="s">
        <v>3428</v>
      </c>
      <c r="F16" s="381"/>
      <c r="G16" s="379" t="s">
        <v>3429</v>
      </c>
      <c r="H16" s="382"/>
      <c r="I16" s="379" t="s">
        <v>3428</v>
      </c>
      <c r="J16" s="380"/>
      <c r="K16" s="534"/>
      <c r="L16" s="2467"/>
      <c r="M16" s="2462"/>
      <c r="N16" s="2462"/>
      <c r="O16" s="2462"/>
      <c r="P16" s="3378"/>
      <c r="Q16" s="1241"/>
      <c r="R16" s="657"/>
      <c r="S16" s="658"/>
      <c r="T16" s="657"/>
      <c r="U16" s="658"/>
      <c r="V16" s="657"/>
      <c r="W16" s="658"/>
      <c r="X16" s="1243"/>
      <c r="Y16" s="3371"/>
      <c r="Z16" s="1242"/>
      <c r="AA16" s="1242">
        <v>1</v>
      </c>
      <c r="AB16" s="1242">
        <v>1</v>
      </c>
      <c r="AC16" s="1242">
        <v>1</v>
      </c>
    </row>
    <row r="17" spans="1:29" ht="15">
      <c r="A17" s="360"/>
      <c r="B17" s="383" t="s">
        <v>1256</v>
      </c>
      <c r="C17" s="1731">
        <f>估价对象房地状况!C6</f>
        <v>0</v>
      </c>
      <c r="D17" s="382">
        <v>100</v>
      </c>
      <c r="E17" s="384"/>
      <c r="F17" s="385">
        <f>SUMIF(78:78,E18,79:79)-SUMIF(78:78,C18,79:79)+100</f>
        <v>100</v>
      </c>
      <c r="G17" s="386"/>
      <c r="H17" s="387">
        <f>SUMIF(78:78,G18,79:79)-SUMIF(78:78,C18,79:79)+100</f>
        <v>103</v>
      </c>
      <c r="I17" s="384"/>
      <c r="J17" s="387">
        <f>SUMIF(78:78,I18,79:79)-SUMIF(78:78,C18,79:79)+100</f>
        <v>103</v>
      </c>
      <c r="K17" s="533">
        <v>3</v>
      </c>
      <c r="L17" s="2467"/>
      <c r="M17" s="2462"/>
      <c r="N17" s="2462"/>
      <c r="O17" s="2462"/>
      <c r="P17" s="3378"/>
      <c r="Q17" s="1241" t="str">
        <f>B17</f>
        <v>交通便捷度</v>
      </c>
      <c r="R17" s="657" t="s">
        <v>14</v>
      </c>
      <c r="S17" s="658">
        <f>F17</f>
        <v>100</v>
      </c>
      <c r="T17" s="657" t="s">
        <v>14</v>
      </c>
      <c r="U17" s="658">
        <f>H17</f>
        <v>103</v>
      </c>
      <c r="V17" s="657" t="s">
        <v>14</v>
      </c>
      <c r="W17" s="658">
        <f>J17</f>
        <v>103</v>
      </c>
      <c r="X17" s="1243"/>
      <c r="Y17" s="3371"/>
      <c r="Z17" s="1242" t="str">
        <f>Q17</f>
        <v>交通便捷度</v>
      </c>
      <c r="AA17" s="1242">
        <f t="shared" si="3"/>
        <v>1</v>
      </c>
      <c r="AB17" s="1242">
        <f t="shared" si="4"/>
        <v>0.970873786407767</v>
      </c>
      <c r="AC17" s="1242">
        <f t="shared" si="5"/>
        <v>0.970873786407767</v>
      </c>
    </row>
    <row r="18" spans="1:29" ht="15">
      <c r="A18" s="360"/>
      <c r="B18" s="388"/>
      <c r="C18" s="1732" t="s">
        <v>3428</v>
      </c>
      <c r="D18" s="382"/>
      <c r="E18" s="1734" t="s">
        <v>3428</v>
      </c>
      <c r="F18" s="385"/>
      <c r="G18" s="1733" t="s">
        <v>3429</v>
      </c>
      <c r="H18" s="380"/>
      <c r="I18" s="1734" t="s">
        <v>3429</v>
      </c>
      <c r="J18" s="380"/>
      <c r="K18" s="534"/>
      <c r="L18" s="2467"/>
      <c r="M18" s="2462"/>
      <c r="N18" s="2462"/>
      <c r="O18" s="2462"/>
      <c r="P18" s="3378"/>
      <c r="Q18" s="1241"/>
      <c r="R18" s="657"/>
      <c r="S18" s="658"/>
      <c r="T18" s="657"/>
      <c r="U18" s="658"/>
      <c r="V18" s="657"/>
      <c r="W18" s="658"/>
      <c r="X18" s="1243"/>
      <c r="Y18" s="3371"/>
      <c r="Z18" s="1242"/>
      <c r="AA18" s="1242">
        <v>1</v>
      </c>
      <c r="AB18" s="1242">
        <v>1</v>
      </c>
      <c r="AC18" s="1242">
        <v>1</v>
      </c>
    </row>
    <row r="19" spans="1:29" ht="15">
      <c r="A19" s="360"/>
      <c r="B19" s="383" t="s">
        <v>1775</v>
      </c>
      <c r="C19" s="1731">
        <f>估价对象房地状况!C7</f>
        <v>0</v>
      </c>
      <c r="D19" s="387">
        <v>100</v>
      </c>
      <c r="E19" s="389"/>
      <c r="F19" s="390">
        <f>SUMIF(80:80,E20,81:81)-SUMIF(80:80,C20,81:81)+100</f>
        <v>100</v>
      </c>
      <c r="G19" s="391"/>
      <c r="H19" s="382">
        <f>SUMIF(80:80,G20,81:81)-SUMIF(80:80,C20,81:81)+100</f>
        <v>100</v>
      </c>
      <c r="I19" s="389"/>
      <c r="J19" s="382">
        <f>SUMIF(80:80,I20,81:81)-SUMIF(80:80,C20,81:81)+100</f>
        <v>97</v>
      </c>
      <c r="K19" s="533">
        <v>3</v>
      </c>
      <c r="L19" s="2467"/>
      <c r="M19" s="2462"/>
      <c r="N19" s="2462"/>
      <c r="O19" s="2462"/>
      <c r="P19" s="3378"/>
      <c r="Q19" s="1241" t="str">
        <f>B19</f>
        <v>公共配套设施</v>
      </c>
      <c r="R19" s="657" t="s">
        <v>14</v>
      </c>
      <c r="S19" s="658">
        <f>F19</f>
        <v>100</v>
      </c>
      <c r="T19" s="657" t="s">
        <v>14</v>
      </c>
      <c r="U19" s="658">
        <f>H19</f>
        <v>100</v>
      </c>
      <c r="V19" s="657" t="s">
        <v>14</v>
      </c>
      <c r="W19" s="658">
        <f>J19</f>
        <v>97</v>
      </c>
      <c r="X19" s="1243"/>
      <c r="Y19" s="3371"/>
      <c r="Z19" s="1242" t="str">
        <f>Q19</f>
        <v>公共配套设施</v>
      </c>
      <c r="AA19" s="1242">
        <f t="shared" si="3"/>
        <v>1</v>
      </c>
      <c r="AB19" s="1242">
        <f t="shared" si="4"/>
        <v>1</v>
      </c>
      <c r="AC19" s="1242">
        <f t="shared" si="5"/>
        <v>1.0309278350515463</v>
      </c>
    </row>
    <row r="20" spans="1:29" ht="15">
      <c r="A20" s="360"/>
      <c r="B20" s="388"/>
      <c r="C20" s="379" t="s">
        <v>3429</v>
      </c>
      <c r="D20" s="380"/>
      <c r="E20" s="1729" t="s">
        <v>3429</v>
      </c>
      <c r="F20" s="381"/>
      <c r="G20" s="1728" t="s">
        <v>3429</v>
      </c>
      <c r="H20" s="380"/>
      <c r="I20" s="1729" t="s">
        <v>3428</v>
      </c>
      <c r="J20" s="380"/>
      <c r="K20" s="534"/>
      <c r="L20" s="2467"/>
      <c r="M20" s="2462"/>
      <c r="N20" s="2462"/>
      <c r="O20" s="2462"/>
      <c r="P20" s="3378"/>
      <c r="Q20" s="1241"/>
      <c r="R20" s="657"/>
      <c r="S20" s="658"/>
      <c r="T20" s="657"/>
      <c r="U20" s="658"/>
      <c r="V20" s="657"/>
      <c r="W20" s="658"/>
      <c r="X20" s="1243"/>
      <c r="Y20" s="3371"/>
      <c r="Z20" s="1242"/>
      <c r="AA20" s="1242">
        <v>1</v>
      </c>
      <c r="AB20" s="1242">
        <v>1</v>
      </c>
      <c r="AC20" s="1242">
        <v>1</v>
      </c>
    </row>
    <row r="21" spans="1:29" ht="15">
      <c r="A21" s="360"/>
      <c r="B21" s="579" t="s">
        <v>1776</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v>2</v>
      </c>
      <c r="L21" s="2467"/>
      <c r="M21" s="2462"/>
      <c r="N21" s="2462"/>
      <c r="O21" s="2462"/>
      <c r="P21" s="3378"/>
      <c r="Q21" s="1241" t="str">
        <f>B21</f>
        <v>基础设施水平</v>
      </c>
      <c r="R21" s="657" t="s">
        <v>14</v>
      </c>
      <c r="S21" s="658">
        <f>F21</f>
        <v>100</v>
      </c>
      <c r="T21" s="657" t="s">
        <v>14</v>
      </c>
      <c r="U21" s="658">
        <f>H21</f>
        <v>100</v>
      </c>
      <c r="V21" s="657" t="s">
        <v>14</v>
      </c>
      <c r="W21" s="658">
        <f>J21</f>
        <v>100</v>
      </c>
      <c r="X21" s="1243"/>
      <c r="Y21" s="3371"/>
      <c r="Z21" s="1242" t="str">
        <f>Q21</f>
        <v>基础设施水平</v>
      </c>
      <c r="AA21" s="1242">
        <f t="shared" ref="AA21" si="8">D21/F21</f>
        <v>1</v>
      </c>
      <c r="AB21" s="1242">
        <f t="shared" ref="AB21" si="9">D21/H21</f>
        <v>1</v>
      </c>
      <c r="AC21" s="1242">
        <f t="shared" ref="AC21" si="10">D21/J21</f>
        <v>1</v>
      </c>
    </row>
    <row r="22" spans="1:29" ht="15">
      <c r="A22" s="360"/>
      <c r="B22" s="579"/>
      <c r="C22" s="1732" t="s">
        <v>3430</v>
      </c>
      <c r="D22" s="380"/>
      <c r="E22" s="379" t="s">
        <v>3430</v>
      </c>
      <c r="F22" s="381"/>
      <c r="G22" s="379" t="s">
        <v>3430</v>
      </c>
      <c r="H22" s="380"/>
      <c r="I22" s="379" t="s">
        <v>3430</v>
      </c>
      <c r="J22" s="380"/>
      <c r="K22" s="1042"/>
      <c r="L22" s="2467"/>
      <c r="M22" s="2462"/>
      <c r="N22" s="2462"/>
      <c r="O22" s="2462"/>
      <c r="P22" s="3378"/>
      <c r="Q22" s="1241"/>
      <c r="R22" s="657"/>
      <c r="S22" s="658"/>
      <c r="T22" s="657"/>
      <c r="U22" s="658"/>
      <c r="V22" s="657"/>
      <c r="W22" s="658"/>
      <c r="X22" s="1243"/>
      <c r="Y22" s="3371"/>
      <c r="Z22" s="1242"/>
      <c r="AA22" s="1242">
        <v>1</v>
      </c>
      <c r="AB22" s="1242">
        <v>1</v>
      </c>
      <c r="AC22" s="1242">
        <v>1</v>
      </c>
    </row>
    <row r="23" spans="1:29" ht="15">
      <c r="A23" s="360"/>
      <c r="B23" s="383" t="s">
        <v>1258</v>
      </c>
      <c r="C23" s="1783">
        <f>估价对象房地状况!C9</f>
        <v>0</v>
      </c>
      <c r="D23" s="382">
        <v>100</v>
      </c>
      <c r="E23" s="384"/>
      <c r="F23" s="385">
        <f>SUMIF(84:84,E24,85:85)-SUMIF(84:84,C24,85:85)+100</f>
        <v>100</v>
      </c>
      <c r="G23" s="386"/>
      <c r="H23" s="382">
        <f>SUMIF(84:84,G24,85:85)-SUMIF(84:84,C24,85:85)+100</f>
        <v>103</v>
      </c>
      <c r="I23" s="384"/>
      <c r="J23" s="382">
        <f>SUMIF(84:84,I24,85:85)-SUMIF(84:84,C24,85:85)+100</f>
        <v>103</v>
      </c>
      <c r="K23" s="533">
        <v>3</v>
      </c>
      <c r="L23" s="2467"/>
      <c r="M23" s="2462"/>
      <c r="N23" s="2462"/>
      <c r="O23" s="2462"/>
      <c r="P23" s="3378"/>
      <c r="Q23" s="1241" t="str">
        <f>B23</f>
        <v>自然及人文环境</v>
      </c>
      <c r="R23" s="657" t="s">
        <v>14</v>
      </c>
      <c r="S23" s="658">
        <f>F23</f>
        <v>100</v>
      </c>
      <c r="T23" s="657" t="s">
        <v>14</v>
      </c>
      <c r="U23" s="658">
        <f>H23</f>
        <v>103</v>
      </c>
      <c r="V23" s="657" t="s">
        <v>14</v>
      </c>
      <c r="W23" s="658">
        <f>J23</f>
        <v>103</v>
      </c>
      <c r="X23" s="1243"/>
      <c r="Y23" s="3371"/>
      <c r="Z23" s="1242" t="str">
        <f>Q23</f>
        <v>自然及人文环境</v>
      </c>
      <c r="AA23" s="1242">
        <f t="shared" si="3"/>
        <v>1</v>
      </c>
      <c r="AB23" s="1242">
        <f t="shared" si="4"/>
        <v>0.970873786407767</v>
      </c>
      <c r="AC23" s="1242">
        <f t="shared" si="5"/>
        <v>0.970873786407767</v>
      </c>
    </row>
    <row r="24" spans="1:29" ht="15">
      <c r="A24" s="360"/>
      <c r="B24" s="388"/>
      <c r="C24" s="379" t="s">
        <v>3428</v>
      </c>
      <c r="D24" s="380"/>
      <c r="E24" s="1729" t="s">
        <v>3428</v>
      </c>
      <c r="F24" s="381"/>
      <c r="G24" s="1728" t="s">
        <v>3429</v>
      </c>
      <c r="H24" s="380"/>
      <c r="I24" s="1729" t="s">
        <v>3429</v>
      </c>
      <c r="J24" s="380"/>
      <c r="K24" s="534"/>
      <c r="L24" s="2467"/>
      <c r="M24" s="2462"/>
      <c r="N24" s="2462"/>
      <c r="O24" s="2462"/>
      <c r="P24" s="3378"/>
      <c r="Q24" s="1241"/>
      <c r="R24" s="657"/>
      <c r="S24" s="658"/>
      <c r="T24" s="657"/>
      <c r="U24" s="658"/>
      <c r="V24" s="657"/>
      <c r="W24" s="658"/>
      <c r="X24" s="1243"/>
      <c r="Y24" s="3371"/>
      <c r="Z24" s="1242"/>
      <c r="AA24" s="1242">
        <v>1</v>
      </c>
      <c r="AB24" s="1242">
        <v>1</v>
      </c>
      <c r="AC24" s="1242">
        <v>1</v>
      </c>
    </row>
    <row r="25" spans="1:29" ht="15">
      <c r="A25" s="360"/>
      <c r="B25" s="357" t="s">
        <v>1777</v>
      </c>
      <c r="C25" s="3146" t="s">
        <v>3463</v>
      </c>
      <c r="D25" s="367">
        <v>100</v>
      </c>
      <c r="E25" s="535" t="s">
        <v>3450</v>
      </c>
      <c r="F25" s="393">
        <f>SUMIF(86:86,E25,87:87)-SUMIF(86:86,C25,87:87)+100</f>
        <v>100</v>
      </c>
      <c r="G25" s="535" t="s">
        <v>3450</v>
      </c>
      <c r="H25" s="367">
        <f>SUMIF(86:86,G25,87:87)-SUMIF(86:86,C25,87:87)+100</f>
        <v>100</v>
      </c>
      <c r="I25" s="535" t="s">
        <v>3450</v>
      </c>
      <c r="J25" s="367">
        <f>SUMIF(86:86,I25,87:87)-SUMIF(86:86,C25,87:87)+100</f>
        <v>100</v>
      </c>
      <c r="K25" s="531">
        <v>2</v>
      </c>
      <c r="L25" s="2467"/>
      <c r="M25" s="2462"/>
      <c r="N25" s="2462"/>
      <c r="O25" s="2462"/>
      <c r="P25" s="3378"/>
      <c r="Q25" s="1241" t="str">
        <f t="shared" ref="Q25:Q46" si="11">B25</f>
        <v>临街状况</v>
      </c>
      <c r="R25" s="657" t="s">
        <v>14</v>
      </c>
      <c r="S25" s="658">
        <f>F25</f>
        <v>100</v>
      </c>
      <c r="T25" s="657" t="s">
        <v>14</v>
      </c>
      <c r="U25" s="658">
        <f>H25</f>
        <v>100</v>
      </c>
      <c r="V25" s="657" t="s">
        <v>14</v>
      </c>
      <c r="W25" s="658">
        <f>J25</f>
        <v>100</v>
      </c>
      <c r="X25" s="1243"/>
      <c r="Y25" s="3371"/>
      <c r="Z25" s="1242" t="str">
        <f>Q25</f>
        <v>临街状况</v>
      </c>
      <c r="AA25" s="1242">
        <f t="shared" si="3"/>
        <v>1</v>
      </c>
      <c r="AB25" s="1242">
        <f t="shared" si="4"/>
        <v>1</v>
      </c>
      <c r="AC25" s="1242">
        <f t="shared" si="5"/>
        <v>1</v>
      </c>
    </row>
    <row r="26" spans="1:29" ht="15">
      <c r="A26" s="360"/>
      <c r="B26" s="1044" t="s">
        <v>1778</v>
      </c>
      <c r="C26" s="366" t="s">
        <v>3429</v>
      </c>
      <c r="D26" s="367">
        <v>100</v>
      </c>
      <c r="E26" s="366" t="s">
        <v>3429</v>
      </c>
      <c r="F26" s="393">
        <f>SUMIF(88:88,E26,89:89)-SUMIF(88:88,C26,89:89)+100</f>
        <v>100</v>
      </c>
      <c r="G26" s="366" t="s">
        <v>3429</v>
      </c>
      <c r="H26" s="367">
        <f>SUMIF(88:88,G26,89:89)-SUMIF(88:88,C26,89:89)+100</f>
        <v>100</v>
      </c>
      <c r="I26" s="366" t="s">
        <v>3429</v>
      </c>
      <c r="J26" s="367">
        <f>SUMIF(88:88,I26,89:89)-SUMIF(88:88,C26,89:89)+100</f>
        <v>100</v>
      </c>
      <c r="K26" s="532"/>
      <c r="L26" s="2467"/>
      <c r="M26" s="2462"/>
      <c r="N26" s="2462"/>
      <c r="O26" s="2462"/>
      <c r="P26" s="3378"/>
      <c r="Q26" s="1241" t="str">
        <f t="shared" si="11"/>
        <v>平面位置/可视性</v>
      </c>
      <c r="R26" s="657" t="s">
        <v>14</v>
      </c>
      <c r="S26" s="658">
        <f>F26</f>
        <v>100</v>
      </c>
      <c r="T26" s="657" t="s">
        <v>14</v>
      </c>
      <c r="U26" s="658">
        <f>H26</f>
        <v>100</v>
      </c>
      <c r="V26" s="657" t="s">
        <v>14</v>
      </c>
      <c r="W26" s="658">
        <f>J26</f>
        <v>100</v>
      </c>
      <c r="X26" s="1243"/>
      <c r="Y26" s="3371"/>
      <c r="Z26" s="1242" t="str">
        <f>Q26</f>
        <v>平面位置/可视性</v>
      </c>
      <c r="AA26" s="1242">
        <f t="shared" si="3"/>
        <v>1</v>
      </c>
      <c r="AB26" s="1242">
        <f t="shared" si="4"/>
        <v>1</v>
      </c>
      <c r="AC26" s="1242">
        <f t="shared" si="5"/>
        <v>1</v>
      </c>
    </row>
    <row r="27" spans="1:29" s="101" customFormat="1" ht="15">
      <c r="A27" s="363"/>
      <c r="B27" s="383" t="s">
        <v>1779</v>
      </c>
      <c r="C27" s="3149" t="s">
        <v>3462</v>
      </c>
      <c r="D27" s="394">
        <v>100</v>
      </c>
      <c r="E27" s="1784" t="s">
        <v>3428</v>
      </c>
      <c r="F27" s="388">
        <f>SUMIF(90:90,E27,91:91)-SUMIF(90:90,C27,91:91)+100</f>
        <v>100</v>
      </c>
      <c r="G27" s="1784" t="s">
        <v>3428</v>
      </c>
      <c r="H27" s="394">
        <f>SUMIF(90:90,G27,91:91)-SUMIF(90:90,C27,91:91)+100</f>
        <v>100</v>
      </c>
      <c r="I27" s="1784" t="s">
        <v>3428</v>
      </c>
      <c r="J27" s="394">
        <f>SUMIF(90:90,I27,91:91)-SUMIF(90:90,C27,91:91)+100</f>
        <v>100</v>
      </c>
      <c r="K27" s="531">
        <v>2</v>
      </c>
      <c r="L27" s="2463"/>
      <c r="M27" s="2416"/>
      <c r="N27" s="2416"/>
      <c r="O27" s="2416"/>
      <c r="P27" s="3378"/>
      <c r="Q27" s="523" t="str">
        <f t="shared" si="11"/>
        <v>人流量</v>
      </c>
      <c r="R27" s="654" t="s">
        <v>14</v>
      </c>
      <c r="S27" s="655">
        <f>F27</f>
        <v>100</v>
      </c>
      <c r="T27" s="654" t="s">
        <v>14</v>
      </c>
      <c r="U27" s="655">
        <f>H27</f>
        <v>100</v>
      </c>
      <c r="V27" s="654" t="s">
        <v>14</v>
      </c>
      <c r="W27" s="655">
        <f>J27</f>
        <v>100</v>
      </c>
      <c r="X27" s="656"/>
      <c r="Y27" s="3371"/>
      <c r="Z27" s="50" t="str">
        <f>Q27</f>
        <v>人流量</v>
      </c>
      <c r="AA27" s="1242">
        <f>D27/F27</f>
        <v>1</v>
      </c>
      <c r="AB27" s="1242">
        <f>D27/H27</f>
        <v>1</v>
      </c>
      <c r="AC27" s="1242">
        <f>D27/J27</f>
        <v>1</v>
      </c>
    </row>
    <row r="28" spans="1:29" ht="15">
      <c r="A28" s="360"/>
      <c r="B28" s="357" t="s">
        <v>1780</v>
      </c>
      <c r="C28" s="535" t="s">
        <v>3451</v>
      </c>
      <c r="D28" s="367">
        <v>100</v>
      </c>
      <c r="E28" s="535" t="s">
        <v>3451</v>
      </c>
      <c r="F28" s="393">
        <f>SUMIF(92:92,E28,93:93)-SUMIF(92:92,C28,93:93)+100</f>
        <v>100</v>
      </c>
      <c r="G28" s="535" t="s">
        <v>3451</v>
      </c>
      <c r="H28" s="367">
        <f>SUMIF(92:92,G28,93:93)-SUMIF(92:92,C28,93:93)+100</f>
        <v>100</v>
      </c>
      <c r="I28" s="535" t="s">
        <v>3451</v>
      </c>
      <c r="J28" s="367">
        <f>SUMIF(92:92,I28,93:93)-SUMIF(92:92,C28,93:93)+100</f>
        <v>100</v>
      </c>
      <c r="K28" s="532"/>
      <c r="L28" s="2467"/>
      <c r="M28" s="2462"/>
      <c r="N28" s="2462"/>
      <c r="O28" s="2462"/>
      <c r="P28" s="3378"/>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71"/>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78"/>
      <c r="Q29" s="1241">
        <f t="shared" si="11"/>
        <v>111</v>
      </c>
      <c r="R29" s="657" t="s">
        <v>14</v>
      </c>
      <c r="S29" s="658">
        <f t="shared" si="12"/>
        <v>100</v>
      </c>
      <c r="T29" s="657" t="s">
        <v>14</v>
      </c>
      <c r="U29" s="658">
        <f t="shared" si="13"/>
        <v>100</v>
      </c>
      <c r="V29" s="657" t="s">
        <v>14</v>
      </c>
      <c r="W29" s="658">
        <f t="shared" si="14"/>
        <v>100</v>
      </c>
      <c r="X29" s="1243"/>
      <c r="Y29" s="3371"/>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78"/>
      <c r="Q30" s="1241">
        <f t="shared" si="11"/>
        <v>111</v>
      </c>
      <c r="R30" s="657" t="s">
        <v>14</v>
      </c>
      <c r="S30" s="658">
        <f t="shared" si="12"/>
        <v>100</v>
      </c>
      <c r="T30" s="657" t="s">
        <v>14</v>
      </c>
      <c r="U30" s="658">
        <f t="shared" si="13"/>
        <v>100</v>
      </c>
      <c r="V30" s="657" t="s">
        <v>14</v>
      </c>
      <c r="W30" s="658">
        <f t="shared" si="14"/>
        <v>100</v>
      </c>
      <c r="X30" s="1243"/>
      <c r="Y30" s="3371"/>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78"/>
      <c r="Q31" s="1241">
        <f t="shared" si="11"/>
        <v>111</v>
      </c>
      <c r="R31" s="657" t="s">
        <v>14</v>
      </c>
      <c r="S31" s="658">
        <f t="shared" si="12"/>
        <v>100</v>
      </c>
      <c r="T31" s="657" t="s">
        <v>14</v>
      </c>
      <c r="U31" s="658">
        <f t="shared" si="13"/>
        <v>100</v>
      </c>
      <c r="V31" s="657" t="s">
        <v>14</v>
      </c>
      <c r="W31" s="658">
        <f t="shared" si="14"/>
        <v>100</v>
      </c>
      <c r="X31" s="1243"/>
      <c r="Y31" s="3371"/>
      <c r="Z31" s="1242">
        <f t="shared" si="15"/>
        <v>111</v>
      </c>
      <c r="AA31" s="1242">
        <f t="shared" si="3"/>
        <v>1</v>
      </c>
      <c r="AB31" s="1242">
        <f t="shared" si="4"/>
        <v>1</v>
      </c>
      <c r="AC31" s="1242">
        <f t="shared" si="5"/>
        <v>1</v>
      </c>
    </row>
    <row r="32" spans="1:29" ht="15">
      <c r="A32" s="372" t="s">
        <v>1691</v>
      </c>
      <c r="B32" s="60" t="s">
        <v>1781</v>
      </c>
      <c r="C32" s="3150" t="s">
        <v>3465</v>
      </c>
      <c r="D32" s="398">
        <v>100</v>
      </c>
      <c r="E32" s="1741" t="s">
        <v>3452</v>
      </c>
      <c r="F32" s="393">
        <f>SUMIF(100:100,E32,101:101)-SUMIF(100:100,C32,101:101)+100</f>
        <v>95</v>
      </c>
      <c r="G32" s="1741" t="s">
        <v>3452</v>
      </c>
      <c r="H32" s="367">
        <f>SUMIF(100:100,G32,101:101)-SUMIF(100:100,C32,101:101)+100</f>
        <v>95</v>
      </c>
      <c r="I32" s="1741" t="s">
        <v>3452</v>
      </c>
      <c r="J32" s="398">
        <f>SUMIF(100:100,I32,101:101)-SUMIF(100:100,C32,101:101)+100</f>
        <v>95</v>
      </c>
      <c r="K32" s="531">
        <v>5</v>
      </c>
      <c r="L32" s="2467"/>
      <c r="M32" s="2462"/>
      <c r="N32" s="2462"/>
      <c r="O32" s="2462"/>
      <c r="P32" s="3372" t="s">
        <v>1693</v>
      </c>
      <c r="Q32" s="1241" t="str">
        <f t="shared" si="11"/>
        <v>商业类型</v>
      </c>
      <c r="R32" s="657" t="s">
        <v>14</v>
      </c>
      <c r="S32" s="658">
        <f t="shared" si="12"/>
        <v>95</v>
      </c>
      <c r="T32" s="657" t="s">
        <v>14</v>
      </c>
      <c r="U32" s="658">
        <f t="shared" si="13"/>
        <v>95</v>
      </c>
      <c r="V32" s="657" t="s">
        <v>14</v>
      </c>
      <c r="W32" s="658">
        <f t="shared" si="14"/>
        <v>95</v>
      </c>
      <c r="X32" s="1243"/>
      <c r="Y32" s="3375" t="s">
        <v>1693</v>
      </c>
      <c r="Z32" s="1242" t="str">
        <f t="shared" si="15"/>
        <v>商业类型</v>
      </c>
      <c r="AA32" s="1242">
        <f t="shared" si="3"/>
        <v>1.0526315789473684</v>
      </c>
      <c r="AB32" s="1242">
        <f t="shared" si="4"/>
        <v>1.0526315789473684</v>
      </c>
      <c r="AC32" s="1242">
        <f t="shared" si="5"/>
        <v>1.0526315789473684</v>
      </c>
    </row>
    <row r="33" spans="1:29" s="401" customFormat="1" ht="15">
      <c r="A33" s="399"/>
      <c r="B33" s="357" t="s">
        <v>1694</v>
      </c>
      <c r="C33" s="400">
        <f>'数据-汇总表'!F19</f>
        <v>562.78</v>
      </c>
      <c r="D33" s="113">
        <v>100</v>
      </c>
      <c r="E33" s="362">
        <v>191</v>
      </c>
      <c r="F33" s="357">
        <f>LOOKUP(E33,103:103,104:104)-LOOKUP(C33,103:103,104:104)+100</f>
        <v>103</v>
      </c>
      <c r="G33" s="361">
        <v>98</v>
      </c>
      <c r="H33" s="113">
        <f>LOOKUP(G33,103:103,104:104)-LOOKUP(C33,103:103,104:104)+100</f>
        <v>104</v>
      </c>
      <c r="I33" s="361">
        <v>167</v>
      </c>
      <c r="J33" s="113">
        <f>LOOKUP(I33,103:103,104:104)-LOOKUP(C33,103:103,104:104)+100</f>
        <v>103</v>
      </c>
      <c r="K33" s="532"/>
      <c r="L33" s="2466"/>
      <c r="M33" s="2468"/>
      <c r="N33" s="2468"/>
      <c r="O33" s="2468"/>
      <c r="P33" s="3373"/>
      <c r="Q33" s="524" t="str">
        <f t="shared" si="11"/>
        <v>项目建筑规模</v>
      </c>
      <c r="R33" s="659" t="s">
        <v>14</v>
      </c>
      <c r="S33" s="660">
        <f t="shared" si="12"/>
        <v>103</v>
      </c>
      <c r="T33" s="659" t="s">
        <v>14</v>
      </c>
      <c r="U33" s="660">
        <f t="shared" si="13"/>
        <v>104</v>
      </c>
      <c r="V33" s="659" t="s">
        <v>14</v>
      </c>
      <c r="W33" s="660">
        <f t="shared" si="14"/>
        <v>103</v>
      </c>
      <c r="X33" s="661"/>
      <c r="Y33" s="3375"/>
      <c r="Z33" s="662" t="str">
        <f t="shared" si="15"/>
        <v>项目建筑规模</v>
      </c>
      <c r="AA33" s="1242">
        <f t="shared" si="3"/>
        <v>0.970873786407767</v>
      </c>
      <c r="AB33" s="1242">
        <f t="shared" si="4"/>
        <v>0.96153846153846156</v>
      </c>
      <c r="AC33" s="1242">
        <f t="shared" si="5"/>
        <v>0.970873786407767</v>
      </c>
    </row>
    <row r="34" spans="1:29" ht="15">
      <c r="A34" s="402"/>
      <c r="B34" s="357" t="s">
        <v>1695</v>
      </c>
      <c r="C34" s="392" t="s">
        <v>3421</v>
      </c>
      <c r="D34" s="367">
        <v>100</v>
      </c>
      <c r="E34" s="392" t="s">
        <v>3421</v>
      </c>
      <c r="F34" s="393">
        <f>SUMIF(105:105,E34,106:106)-SUMIF(105:105,C34,106:106)+100</f>
        <v>100</v>
      </c>
      <c r="G34" s="392" t="s">
        <v>3421</v>
      </c>
      <c r="H34" s="367">
        <f>SUMIF(105:105,G34,106:106)-SUMIF(105:105,C34,106:106)+100</f>
        <v>100</v>
      </c>
      <c r="I34" s="392" t="s">
        <v>3421</v>
      </c>
      <c r="J34" s="367">
        <f>SUMIF(105:105,I34,106:106)-SUMIF(105:105,C34,106:106)+100</f>
        <v>100</v>
      </c>
      <c r="K34" s="531">
        <v>2</v>
      </c>
      <c r="L34" s="2467"/>
      <c r="M34" s="2462"/>
      <c r="N34" s="2462"/>
      <c r="O34" s="2462"/>
      <c r="P34" s="3373"/>
      <c r="Q34" s="1241" t="str">
        <f t="shared" si="11"/>
        <v>建筑结构</v>
      </c>
      <c r="R34" s="657" t="s">
        <v>14</v>
      </c>
      <c r="S34" s="658">
        <f t="shared" si="12"/>
        <v>100</v>
      </c>
      <c r="T34" s="657" t="s">
        <v>14</v>
      </c>
      <c r="U34" s="658">
        <f t="shared" si="13"/>
        <v>100</v>
      </c>
      <c r="V34" s="657" t="s">
        <v>14</v>
      </c>
      <c r="W34" s="658">
        <f t="shared" si="14"/>
        <v>100</v>
      </c>
      <c r="X34" s="1243"/>
      <c r="Y34" s="3375"/>
      <c r="Z34" s="1242" t="str">
        <f t="shared" si="15"/>
        <v>建筑结构</v>
      </c>
      <c r="AA34" s="1242">
        <f t="shared" si="3"/>
        <v>1</v>
      </c>
      <c r="AB34" s="1242">
        <f t="shared" si="4"/>
        <v>1</v>
      </c>
      <c r="AC34" s="1242">
        <f t="shared" si="5"/>
        <v>1</v>
      </c>
    </row>
    <row r="35" spans="1:29" ht="15">
      <c r="A35" s="402"/>
      <c r="B35" s="357" t="s">
        <v>1782</v>
      </c>
      <c r="C35" s="1737" t="s">
        <v>3453</v>
      </c>
      <c r="D35" s="367">
        <v>100</v>
      </c>
      <c r="E35" s="1737" t="s">
        <v>3453</v>
      </c>
      <c r="F35" s="393">
        <f>SUMIF(107:107,E35,108:108)-SUMIF(107:107,C35,108:108)+100</f>
        <v>100</v>
      </c>
      <c r="G35" s="1737" t="s">
        <v>3453</v>
      </c>
      <c r="H35" s="367">
        <f>SUMIF(107:107,G35,108:108)-SUMIF(107:107,C35,108:108)+100</f>
        <v>100</v>
      </c>
      <c r="I35" s="1737" t="s">
        <v>3453</v>
      </c>
      <c r="J35" s="367">
        <f>SUMIF(107:107,I35,108:108)-SUMIF(107:107,C35,108:108)+100</f>
        <v>100</v>
      </c>
      <c r="K35" s="531">
        <v>2</v>
      </c>
      <c r="L35" s="2467"/>
      <c r="M35" s="2462"/>
      <c r="N35" s="2462"/>
      <c r="O35" s="2462"/>
      <c r="P35" s="3373"/>
      <c r="Q35" s="1241" t="str">
        <f t="shared" si="11"/>
        <v>公共部分装修</v>
      </c>
      <c r="R35" s="657" t="s">
        <v>14</v>
      </c>
      <c r="S35" s="658">
        <f t="shared" si="12"/>
        <v>100</v>
      </c>
      <c r="T35" s="657" t="s">
        <v>14</v>
      </c>
      <c r="U35" s="658">
        <f t="shared" si="13"/>
        <v>100</v>
      </c>
      <c r="V35" s="657" t="s">
        <v>14</v>
      </c>
      <c r="W35" s="658">
        <f t="shared" si="14"/>
        <v>100</v>
      </c>
      <c r="X35" s="1243"/>
      <c r="Y35" s="3375"/>
      <c r="Z35" s="1242" t="str">
        <f t="shared" si="15"/>
        <v>公共部分装修</v>
      </c>
      <c r="AA35" s="1242">
        <f t="shared" si="3"/>
        <v>1</v>
      </c>
      <c r="AB35" s="1242">
        <f t="shared" si="4"/>
        <v>1</v>
      </c>
      <c r="AC35" s="1242">
        <f t="shared" si="5"/>
        <v>1</v>
      </c>
    </row>
    <row r="36" spans="1:29" ht="15">
      <c r="A36" s="402"/>
      <c r="B36" s="357" t="s">
        <v>1783</v>
      </c>
      <c r="C36" s="404">
        <f>'数据-取费表'!N6</f>
        <v>0.97</v>
      </c>
      <c r="D36" s="367">
        <v>100</v>
      </c>
      <c r="E36" s="404">
        <v>0.82</v>
      </c>
      <c r="F36" s="393">
        <f>LOOKUP(E36,110:110,111:111)-LOOKUP(C36,110:110,111:111)+100</f>
        <v>99</v>
      </c>
      <c r="G36" s="404">
        <v>0.72</v>
      </c>
      <c r="H36" s="393">
        <f>LOOKUP(G36,110:110,111:111)-LOOKUP(C36,110:110,111:111)+100</f>
        <v>98</v>
      </c>
      <c r="I36" s="404">
        <v>0.68</v>
      </c>
      <c r="J36" s="367">
        <f>LOOKUP(I36,110:110,111:111)-LOOKUP(C36,110:110,111:111)+100</f>
        <v>97</v>
      </c>
      <c r="K36" s="531">
        <v>1</v>
      </c>
      <c r="L36" s="2467"/>
      <c r="M36" s="2462"/>
      <c r="N36" s="2462"/>
      <c r="O36" s="2462"/>
      <c r="P36" s="3373"/>
      <c r="Q36" s="1241" t="str">
        <f t="shared" si="11"/>
        <v>成新度</v>
      </c>
      <c r="R36" s="657" t="s">
        <v>14</v>
      </c>
      <c r="S36" s="658">
        <f t="shared" si="12"/>
        <v>99</v>
      </c>
      <c r="T36" s="657" t="s">
        <v>14</v>
      </c>
      <c r="U36" s="658">
        <f t="shared" si="13"/>
        <v>98</v>
      </c>
      <c r="V36" s="657" t="s">
        <v>14</v>
      </c>
      <c r="W36" s="658">
        <f t="shared" si="14"/>
        <v>97</v>
      </c>
      <c r="X36" s="1243"/>
      <c r="Y36" s="3375"/>
      <c r="Z36" s="1242" t="str">
        <f t="shared" si="15"/>
        <v>成新度</v>
      </c>
      <c r="AA36" s="1242">
        <f t="shared" si="3"/>
        <v>1.0101010101010102</v>
      </c>
      <c r="AB36" s="1242">
        <f t="shared" si="4"/>
        <v>1.0204081632653061</v>
      </c>
      <c r="AC36" s="1242">
        <f t="shared" si="5"/>
        <v>1.0309278350515463</v>
      </c>
    </row>
    <row r="37" spans="1:29" s="101" customFormat="1" ht="15">
      <c r="A37" s="403"/>
      <c r="B37" s="357" t="s">
        <v>1784</v>
      </c>
      <c r="C37" s="1737"/>
      <c r="D37" s="113">
        <v>100</v>
      </c>
      <c r="E37" s="1737" t="s">
        <v>3454</v>
      </c>
      <c r="F37" s="393">
        <f>SUMIF(112:112,E37,113:113)-SUMIF(112:112,C37,113:113)+100</f>
        <v>100</v>
      </c>
      <c r="G37" s="1737" t="s">
        <v>3454</v>
      </c>
      <c r="H37" s="367">
        <f>SUMIF(112:112,G37,113:113)-SUMIF(112:112,C37,113:113)+100</f>
        <v>100</v>
      </c>
      <c r="I37" s="1737" t="s">
        <v>3454</v>
      </c>
      <c r="J37" s="367">
        <f>SUMIF(112:112,I37,113:113)-SUMIF(112:112,C37,113:113)+100</f>
        <v>100</v>
      </c>
      <c r="K37" s="531">
        <v>2</v>
      </c>
      <c r="L37" s="2463"/>
      <c r="M37" s="2416"/>
      <c r="N37" s="2416"/>
      <c r="O37" s="2416"/>
      <c r="P37" s="3373"/>
      <c r="Q37" s="523" t="str">
        <f t="shared" si="11"/>
        <v>市政基础设施</v>
      </c>
      <c r="R37" s="654" t="s">
        <v>14</v>
      </c>
      <c r="S37" s="655">
        <f t="shared" si="12"/>
        <v>100</v>
      </c>
      <c r="T37" s="654" t="s">
        <v>14</v>
      </c>
      <c r="U37" s="655">
        <f t="shared" si="13"/>
        <v>100</v>
      </c>
      <c r="V37" s="654" t="s">
        <v>14</v>
      </c>
      <c r="W37" s="655">
        <f t="shared" si="14"/>
        <v>100</v>
      </c>
      <c r="X37" s="656"/>
      <c r="Y37" s="3375"/>
      <c r="Z37" s="50" t="str">
        <f t="shared" si="15"/>
        <v>市政基础设施</v>
      </c>
      <c r="AA37" s="50">
        <f t="shared" si="3"/>
        <v>1</v>
      </c>
      <c r="AB37" s="50">
        <f t="shared" si="4"/>
        <v>1</v>
      </c>
      <c r="AC37" s="50">
        <f t="shared" si="5"/>
        <v>1</v>
      </c>
    </row>
    <row r="38" spans="1:29" ht="15">
      <c r="A38" s="402"/>
      <c r="B38" s="357" t="s">
        <v>1785</v>
      </c>
      <c r="C38" s="1737" t="s">
        <v>3475</v>
      </c>
      <c r="D38" s="367">
        <v>100</v>
      </c>
      <c r="E38" s="1737" t="s">
        <v>3455</v>
      </c>
      <c r="F38" s="393">
        <f>SUMIF(114:114,E38,115:115)-SUMIF(114:114,C38,115:115)+100</f>
        <v>95</v>
      </c>
      <c r="G38" s="1737" t="s">
        <v>3455</v>
      </c>
      <c r="H38" s="367">
        <f>SUMIF(114:114,G38,115:115)-SUMIF(114:114,C38,115:115)+100</f>
        <v>95</v>
      </c>
      <c r="I38" s="1737" t="s">
        <v>3455</v>
      </c>
      <c r="J38" s="367">
        <f>SUMIF(114:114,I38,115:115)-SUMIF(114:114,C38,115:115)+100</f>
        <v>95</v>
      </c>
      <c r="K38" s="531">
        <v>5</v>
      </c>
      <c r="L38" s="2467"/>
      <c r="M38" s="2462"/>
      <c r="N38" s="2462"/>
      <c r="O38" s="2462"/>
      <c r="P38" s="3373" t="s">
        <v>1693</v>
      </c>
      <c r="Q38" s="1241" t="str">
        <f t="shared" si="11"/>
        <v>业态</v>
      </c>
      <c r="R38" s="657" t="s">
        <v>14</v>
      </c>
      <c r="S38" s="658">
        <f t="shared" si="12"/>
        <v>95</v>
      </c>
      <c r="T38" s="657" t="s">
        <v>14</v>
      </c>
      <c r="U38" s="658">
        <f t="shared" si="13"/>
        <v>95</v>
      </c>
      <c r="V38" s="657" t="s">
        <v>14</v>
      </c>
      <c r="W38" s="658">
        <f t="shared" si="14"/>
        <v>95</v>
      </c>
      <c r="X38" s="1243"/>
      <c r="Y38" s="3375" t="s">
        <v>1693</v>
      </c>
      <c r="Z38" s="1242" t="str">
        <f t="shared" si="15"/>
        <v>业态</v>
      </c>
      <c r="AA38" s="1242">
        <f t="shared" si="3"/>
        <v>1.0526315789473684</v>
      </c>
      <c r="AB38" s="1242">
        <f t="shared" si="4"/>
        <v>1.0526315789473684</v>
      </c>
      <c r="AC38" s="1242">
        <f t="shared" si="5"/>
        <v>1.0526315789473684</v>
      </c>
    </row>
    <row r="39" spans="1:29" ht="15">
      <c r="A39" s="402"/>
      <c r="B39" s="357" t="s">
        <v>1786</v>
      </c>
      <c r="C39" s="1737" t="s">
        <v>3439</v>
      </c>
      <c r="D39" s="367">
        <v>100</v>
      </c>
      <c r="E39" s="1737" t="s">
        <v>3439</v>
      </c>
      <c r="F39" s="393">
        <f>SUMIF(116:116,E39,117:117)-SUMIF(116:116,C39,117:117)+100</f>
        <v>100</v>
      </c>
      <c r="G39" s="1737" t="s">
        <v>3439</v>
      </c>
      <c r="H39" s="367">
        <f>SUMIF(116:116,G39,117:117)-SUMIF(116:116,C39,117:117)+100</f>
        <v>100</v>
      </c>
      <c r="I39" s="1737" t="s">
        <v>3439</v>
      </c>
      <c r="J39" s="367">
        <f>SUMIF(116:116,I39,117:117)-SUMIF(116:116,C39,117:117)+100</f>
        <v>100</v>
      </c>
      <c r="K39" s="531">
        <v>10</v>
      </c>
      <c r="L39" s="2467"/>
      <c r="M39" s="2462"/>
      <c r="N39" s="2462"/>
      <c r="O39" s="2462"/>
      <c r="P39" s="3373"/>
      <c r="Q39" s="1241" t="str">
        <f t="shared" si="11"/>
        <v>层高</v>
      </c>
      <c r="R39" s="657" t="s">
        <v>14</v>
      </c>
      <c r="S39" s="658">
        <f t="shared" si="12"/>
        <v>100</v>
      </c>
      <c r="T39" s="657" t="s">
        <v>14</v>
      </c>
      <c r="U39" s="658">
        <f t="shared" si="13"/>
        <v>100</v>
      </c>
      <c r="V39" s="657" t="s">
        <v>14</v>
      </c>
      <c r="W39" s="658">
        <f t="shared" si="14"/>
        <v>100</v>
      </c>
      <c r="X39" s="1243"/>
      <c r="Y39" s="3375"/>
      <c r="Z39" s="1242" t="str">
        <f t="shared" si="15"/>
        <v>层高</v>
      </c>
      <c r="AA39" s="1242">
        <f t="shared" si="3"/>
        <v>1</v>
      </c>
      <c r="AB39" s="1242">
        <f t="shared" si="4"/>
        <v>1</v>
      </c>
      <c r="AC39" s="1242">
        <f t="shared" si="5"/>
        <v>1</v>
      </c>
    </row>
    <row r="40" spans="1:29" ht="15">
      <c r="A40" s="402"/>
      <c r="B40" s="357" t="s">
        <v>1787</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73"/>
      <c r="Q40" s="1241" t="str">
        <f t="shared" si="11"/>
        <v>单套建筑面积</v>
      </c>
      <c r="R40" s="657" t="s">
        <v>14</v>
      </c>
      <c r="S40" s="658">
        <f t="shared" si="12"/>
        <v>100</v>
      </c>
      <c r="T40" s="657" t="s">
        <v>14</v>
      </c>
      <c r="U40" s="658">
        <f t="shared" si="13"/>
        <v>100</v>
      </c>
      <c r="V40" s="657" t="s">
        <v>14</v>
      </c>
      <c r="W40" s="658">
        <f t="shared" si="14"/>
        <v>100</v>
      </c>
      <c r="X40" s="1243"/>
      <c r="Y40" s="3375"/>
      <c r="Z40" s="1242" t="str">
        <f t="shared" si="15"/>
        <v>单套建筑面积</v>
      </c>
      <c r="AA40" s="1242">
        <f t="shared" si="3"/>
        <v>1</v>
      </c>
      <c r="AB40" s="1242">
        <f t="shared" si="4"/>
        <v>1</v>
      </c>
      <c r="AC40" s="1242">
        <f t="shared" si="5"/>
        <v>1</v>
      </c>
    </row>
    <row r="41" spans="1:29" s="401" customFormat="1" ht="15">
      <c r="A41" s="399"/>
      <c r="B41" s="393" t="s">
        <v>1788</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v>1</v>
      </c>
      <c r="L41" s="2466"/>
      <c r="M41" s="2468"/>
      <c r="N41" s="2468"/>
      <c r="O41" s="2468"/>
      <c r="P41" s="3373"/>
      <c r="Q41" s="524" t="str">
        <f t="shared" si="11"/>
        <v>进深比</v>
      </c>
      <c r="R41" s="659" t="s">
        <v>14</v>
      </c>
      <c r="S41" s="660">
        <f t="shared" si="12"/>
        <v>100</v>
      </c>
      <c r="T41" s="659" t="s">
        <v>14</v>
      </c>
      <c r="U41" s="660">
        <f t="shared" si="13"/>
        <v>100</v>
      </c>
      <c r="V41" s="659" t="s">
        <v>14</v>
      </c>
      <c r="W41" s="660">
        <f t="shared" si="14"/>
        <v>100</v>
      </c>
      <c r="X41" s="661"/>
      <c r="Y41" s="3375"/>
      <c r="Z41" s="662" t="str">
        <f t="shared" si="15"/>
        <v>进深比</v>
      </c>
      <c r="AA41" s="1242">
        <f t="shared" si="3"/>
        <v>1</v>
      </c>
      <c r="AB41" s="1242">
        <f t="shared" si="4"/>
        <v>1</v>
      </c>
      <c r="AC41" s="1242">
        <f t="shared" si="5"/>
        <v>1</v>
      </c>
    </row>
    <row r="42" spans="1:29" ht="15">
      <c r="A42" s="402"/>
      <c r="B42" s="357" t="s">
        <v>1789</v>
      </c>
      <c r="C42" s="3152" t="s">
        <v>3479</v>
      </c>
      <c r="D42" s="367">
        <v>100</v>
      </c>
      <c r="E42" s="1737" t="s">
        <v>3453</v>
      </c>
      <c r="F42" s="393">
        <f>SUMIF(122:122,E42,123:123)-SUMIF(122:122,C42,123:123)+100</f>
        <v>104</v>
      </c>
      <c r="G42" s="1737" t="s">
        <v>3453</v>
      </c>
      <c r="H42" s="367">
        <f>SUMIF(122:122,G42,123:123)-SUMIF(122:122,C42,123:123)+100</f>
        <v>104</v>
      </c>
      <c r="I42" s="1737" t="s">
        <v>3453</v>
      </c>
      <c r="J42" s="367">
        <f>SUMIF(122:122,I42,123:123)-SUMIF(122:122,C42,123:123)+100</f>
        <v>104</v>
      </c>
      <c r="K42" s="531">
        <v>2</v>
      </c>
      <c r="L42" s="2467"/>
      <c r="M42" s="2462"/>
      <c r="N42" s="2462"/>
      <c r="O42" s="2462"/>
      <c r="P42" s="3373"/>
      <c r="Q42" s="1241" t="str">
        <f t="shared" si="11"/>
        <v>内部装修</v>
      </c>
      <c r="R42" s="657" t="s">
        <v>14</v>
      </c>
      <c r="S42" s="658">
        <f t="shared" si="12"/>
        <v>104</v>
      </c>
      <c r="T42" s="657" t="s">
        <v>14</v>
      </c>
      <c r="U42" s="658">
        <f t="shared" si="13"/>
        <v>104</v>
      </c>
      <c r="V42" s="657" t="s">
        <v>14</v>
      </c>
      <c r="W42" s="658">
        <f t="shared" si="14"/>
        <v>104</v>
      </c>
      <c r="X42" s="1243"/>
      <c r="Y42" s="3375"/>
      <c r="Z42" s="1242" t="str">
        <f t="shared" si="15"/>
        <v>内部装修</v>
      </c>
      <c r="AA42" s="1242">
        <f t="shared" si="3"/>
        <v>0.96153846153846156</v>
      </c>
      <c r="AB42" s="1242">
        <f t="shared" si="4"/>
        <v>0.96153846153846156</v>
      </c>
      <c r="AC42" s="1242">
        <f t="shared" si="5"/>
        <v>0.96153846153846156</v>
      </c>
    </row>
    <row r="43" spans="1:29" ht="15">
      <c r="A43" s="402"/>
      <c r="B43" s="357" t="s">
        <v>1704</v>
      </c>
      <c r="C43" s="1737" t="s">
        <v>3429</v>
      </c>
      <c r="D43" s="367">
        <v>100</v>
      </c>
      <c r="E43" s="1737" t="s">
        <v>3429</v>
      </c>
      <c r="F43" s="393">
        <f>SUMIF(124:124,E43,125:125)-SUMIF(124:124,C43,125:125)+100</f>
        <v>100</v>
      </c>
      <c r="G43" s="1737" t="s">
        <v>3429</v>
      </c>
      <c r="H43" s="367">
        <f>SUMIF(124:124,G43,125:125)-SUMIF(124:124,C43,125:125)+100</f>
        <v>100</v>
      </c>
      <c r="I43" s="1737" t="s">
        <v>3429</v>
      </c>
      <c r="J43" s="367">
        <f>SUMIF(124:124,I43,125:125)-SUMIF(124:124,C43,125:125)+100</f>
        <v>100</v>
      </c>
      <c r="K43" s="531">
        <v>1</v>
      </c>
      <c r="L43" s="2467"/>
      <c r="M43" s="2462"/>
      <c r="N43" s="2462"/>
      <c r="O43" s="2462"/>
      <c r="P43" s="3373"/>
      <c r="Q43" s="1241" t="str">
        <f t="shared" si="11"/>
        <v>内部装修维护情况</v>
      </c>
      <c r="R43" s="657" t="s">
        <v>14</v>
      </c>
      <c r="S43" s="658">
        <f t="shared" si="12"/>
        <v>100</v>
      </c>
      <c r="T43" s="657" t="s">
        <v>14</v>
      </c>
      <c r="U43" s="658">
        <f t="shared" si="13"/>
        <v>100</v>
      </c>
      <c r="V43" s="657" t="s">
        <v>14</v>
      </c>
      <c r="W43" s="658">
        <f t="shared" si="14"/>
        <v>100</v>
      </c>
      <c r="X43" s="1243"/>
      <c r="Y43" s="3375"/>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73"/>
      <c r="Q44" s="523">
        <f t="shared" si="11"/>
        <v>111</v>
      </c>
      <c r="R44" s="654" t="s">
        <v>14</v>
      </c>
      <c r="S44" s="655">
        <f t="shared" si="12"/>
        <v>100</v>
      </c>
      <c r="T44" s="654" t="s">
        <v>14</v>
      </c>
      <c r="U44" s="655">
        <f t="shared" si="13"/>
        <v>100</v>
      </c>
      <c r="V44" s="654" t="s">
        <v>14</v>
      </c>
      <c r="W44" s="655">
        <f t="shared" si="14"/>
        <v>100</v>
      </c>
      <c r="X44" s="656"/>
      <c r="Y44" s="3375"/>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73"/>
      <c r="Q45" s="1241">
        <f t="shared" si="11"/>
        <v>111</v>
      </c>
      <c r="R45" s="657" t="s">
        <v>14</v>
      </c>
      <c r="S45" s="658">
        <f t="shared" si="12"/>
        <v>100</v>
      </c>
      <c r="T45" s="657" t="s">
        <v>14</v>
      </c>
      <c r="U45" s="658">
        <f t="shared" si="13"/>
        <v>100</v>
      </c>
      <c r="V45" s="657" t="s">
        <v>14</v>
      </c>
      <c r="W45" s="658">
        <f t="shared" si="14"/>
        <v>100</v>
      </c>
      <c r="X45" s="1243"/>
      <c r="Y45" s="3375"/>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74"/>
      <c r="Q46" s="1241">
        <f t="shared" si="11"/>
        <v>111</v>
      </c>
      <c r="R46" s="657" t="s">
        <v>14</v>
      </c>
      <c r="S46" s="658">
        <f t="shared" si="12"/>
        <v>100</v>
      </c>
      <c r="T46" s="657" t="s">
        <v>14</v>
      </c>
      <c r="U46" s="658">
        <f t="shared" si="13"/>
        <v>100</v>
      </c>
      <c r="V46" s="657" t="s">
        <v>14</v>
      </c>
      <c r="W46" s="658">
        <f t="shared" si="14"/>
        <v>100</v>
      </c>
      <c r="X46" s="1243"/>
      <c r="Y46" s="3376"/>
      <c r="Z46" s="1242">
        <f t="shared" si="15"/>
        <v>111</v>
      </c>
      <c r="AA46" s="1242">
        <f t="shared" si="3"/>
        <v>1</v>
      </c>
      <c r="AB46" s="1242">
        <f t="shared" si="4"/>
        <v>1</v>
      </c>
      <c r="AC46" s="1242">
        <f t="shared" si="5"/>
        <v>1</v>
      </c>
    </row>
    <row r="47" spans="1:29" ht="15">
      <c r="A47" s="409" t="s">
        <v>1705</v>
      </c>
      <c r="B47" s="410"/>
      <c r="C47" s="1059" t="s">
        <v>0</v>
      </c>
      <c r="D47" s="411"/>
      <c r="E47" s="412">
        <v>35603</v>
      </c>
      <c r="F47" s="413"/>
      <c r="G47" s="414">
        <v>38776</v>
      </c>
      <c r="H47" s="415"/>
      <c r="I47" s="412">
        <v>37725</v>
      </c>
      <c r="J47" s="415"/>
      <c r="K47" s="664"/>
      <c r="L47" s="2469"/>
      <c r="M47" s="2462"/>
      <c r="N47" s="2462"/>
      <c r="O47" s="2462"/>
      <c r="P47" s="3368" t="str">
        <f>A47</f>
        <v>成交单价（元/平方米）</v>
      </c>
      <c r="Q47" s="3368"/>
      <c r="R47" s="3369">
        <f>E47</f>
        <v>35603</v>
      </c>
      <c r="S47" s="3369"/>
      <c r="T47" s="3369">
        <f>G47</f>
        <v>38776</v>
      </c>
      <c r="U47" s="3369"/>
      <c r="V47" s="3369">
        <f>I47</f>
        <v>37725</v>
      </c>
      <c r="W47" s="3369"/>
      <c r="X47" s="378"/>
      <c r="Y47" s="663"/>
      <c r="Z47" s="378"/>
      <c r="AA47" s="378"/>
      <c r="AB47" s="378"/>
      <c r="AC47" s="378"/>
    </row>
    <row r="48" spans="1:29" ht="15.75" thickBot="1">
      <c r="A48" s="416" t="s">
        <v>1790</v>
      </c>
      <c r="B48" s="417"/>
      <c r="C48" s="1060">
        <f>R49</f>
        <v>36487</v>
      </c>
      <c r="D48" s="2118" t="s">
        <v>2135</v>
      </c>
      <c r="E48" s="1061">
        <f>R48</f>
        <v>35786</v>
      </c>
      <c r="F48" s="2119"/>
      <c r="G48" s="1060">
        <f>T48</f>
        <v>35685</v>
      </c>
      <c r="H48" s="2119"/>
      <c r="I48" s="1061">
        <f>V48</f>
        <v>37991</v>
      </c>
      <c r="J48" s="2119"/>
      <c r="K48" s="2121">
        <f>F48+H48+J48</f>
        <v>0</v>
      </c>
      <c r="L48" s="2469"/>
      <c r="M48" s="2462"/>
      <c r="N48" s="2462"/>
      <c r="O48" s="2462"/>
      <c r="P48" s="3368" t="str">
        <f>A48</f>
        <v>比较价值（元/平方米）</v>
      </c>
      <c r="Q48" s="3368"/>
      <c r="R48" s="3369">
        <f>IF(F1="售价",ROUND(PRODUCT(R47,AA7:AA46),0),ROUND(PRODUCT(R47,AA7:AA46),1))</f>
        <v>35786</v>
      </c>
      <c r="S48" s="3369"/>
      <c r="T48" s="3369">
        <f>IF(F1="售价",ROUND(PRODUCT(T47,AB7:AB46),0),ROUND(PRODUCT(T47,AB7:AB46),1))</f>
        <v>35685</v>
      </c>
      <c r="U48" s="3369"/>
      <c r="V48" s="3369">
        <f>IF(F1="售价",ROUND(PRODUCT(V47,AC7:AC46),0),ROUND(PRODUCT(V47,AC7:AC46),1))</f>
        <v>37991</v>
      </c>
      <c r="W48" s="3369"/>
      <c r="X48" s="378"/>
      <c r="Y48" s="378"/>
      <c r="Z48" s="378"/>
      <c r="AA48" s="378"/>
      <c r="AB48" s="378"/>
      <c r="AC48" s="378"/>
    </row>
    <row r="49" spans="1:29" ht="15.75" thickBot="1">
      <c r="A49" s="420" t="s">
        <v>1791</v>
      </c>
      <c r="B49" s="421"/>
      <c r="C49" s="344">
        <f>R49</f>
        <v>36487</v>
      </c>
      <c r="D49" s="344"/>
      <c r="E49" s="344"/>
      <c r="F49" s="344"/>
      <c r="G49" s="344"/>
      <c r="H49" s="344"/>
      <c r="I49" s="344"/>
      <c r="J49" s="344"/>
      <c r="K49" s="665"/>
      <c r="L49" s="2469"/>
      <c r="M49" s="2462"/>
      <c r="N49" s="2462"/>
      <c r="O49" s="2462"/>
      <c r="P49" s="3365" t="str">
        <f>A49</f>
        <v>估价对象XX用房的比较价值（楼面单价，元/平方米）</v>
      </c>
      <c r="Q49" s="3366"/>
      <c r="R49" s="3367">
        <f>IF(F1="售价",ROUND(IF(D48="简单平均",AVERAGE(R48:V48),R48*F48+T48*H48+V48*J48),0),ROUND(IF(D48="简单平均",AVERAGE(R48:V48),R48*F48+T48*H48+V48*J48),1))</f>
        <v>36487</v>
      </c>
      <c r="S49" s="3367"/>
      <c r="T49" s="3367"/>
      <c r="U49" s="3367"/>
      <c r="V49" s="3367"/>
      <c r="W49" s="336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5">
      <c r="A52" s="2462"/>
      <c r="B52" s="2462"/>
      <c r="C52" s="425" t="s">
        <v>1792</v>
      </c>
      <c r="D52" s="426"/>
      <c r="E52" s="427">
        <f>IF(E47&lt;E48,E48/E47-1,E47/E48-1)</f>
        <v>5.1400162907619951E-3</v>
      </c>
      <c r="F52" s="428" t="str">
        <f>IF(OR(E52&gt;=0.3,E52&lt;=-0.3),"超过30%","")</f>
        <v/>
      </c>
      <c r="G52" s="427">
        <f>IF(G47&lt;G48,G48/G47-1,G47/G48-1)</f>
        <v>8.661902760263418E-2</v>
      </c>
      <c r="H52" s="428" t="str">
        <f>IF(OR(G52&gt;=0.3,G52&lt;=-0.3),"超过30%","")</f>
        <v/>
      </c>
      <c r="I52" s="427">
        <f>IF(I47&lt;I48,I48/I47-1,I47/I48-1)</f>
        <v>7.0510271703114746E-3</v>
      </c>
      <c r="J52" s="428" t="str">
        <f>IF(OR(I52&gt;=0.3,I52&lt;=-0.3),"超过30%","")</f>
        <v/>
      </c>
      <c r="K52" s="2474"/>
      <c r="L52" s="2470"/>
      <c r="M52" s="2462"/>
      <c r="N52" s="2462"/>
      <c r="O52" s="2462"/>
      <c r="P52" s="2480"/>
      <c r="Q52" s="2462"/>
      <c r="R52" s="2462"/>
      <c r="S52" s="2462"/>
      <c r="T52" s="2462"/>
      <c r="U52" s="2462"/>
      <c r="V52" s="2462"/>
      <c r="W52" s="2462"/>
      <c r="X52" s="2462"/>
      <c r="Y52" s="2462"/>
      <c r="Z52" s="2462"/>
      <c r="AA52" s="2462"/>
      <c r="AB52" s="2462"/>
      <c r="AC52" s="2462"/>
    </row>
    <row r="53" spans="1:29" ht="15">
      <c r="A53" s="2462"/>
      <c r="B53" s="2462"/>
      <c r="C53" s="425" t="s">
        <v>1793</v>
      </c>
      <c r="D53" s="429"/>
      <c r="E53" s="427">
        <f>IF(E48&lt;G48,G48/E48-1,E48/G48-1)</f>
        <v>2.8303208631077492E-3</v>
      </c>
      <c r="F53" s="428" t="str">
        <f>IF(OR(E53&gt;=0.2,E53&lt;=-0.2),"超过20%","")</f>
        <v/>
      </c>
      <c r="G53" s="427">
        <f>IF(G48&lt;I48,I48/G48-1,G48/I48-1)</f>
        <v>6.4620989211153113E-2</v>
      </c>
      <c r="H53" s="428" t="str">
        <f>IF(OR(G53&gt;=0.2,G53&lt;=-0.2),"超过20%","")</f>
        <v/>
      </c>
      <c r="I53" s="427">
        <f>IF(I48&lt;E48,E48/I48-1,I48/E48-1)</f>
        <v>6.1616274520762238E-2</v>
      </c>
      <c r="J53" s="428" t="str">
        <f>IF(OR(I53&gt;=0.2,I53&lt;=-0.2),"超过20%","")</f>
        <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5">
      <c r="A54" s="2472"/>
      <c r="B54" s="2472"/>
      <c r="C54" s="425" t="s">
        <v>1794</v>
      </c>
      <c r="D54" s="429"/>
      <c r="E54" s="427">
        <f>IF(E47&lt;G47,G47/E47-1,E47/G47-1)</f>
        <v>8.912170322725621E-2</v>
      </c>
      <c r="F54" s="428" t="str">
        <f>IF(OR(E54&gt;=0.3,E54&lt;=-0.3),"超过30%","")</f>
        <v/>
      </c>
      <c r="G54" s="427">
        <f>IF(G47&lt;I47,I47/G47-1,G47/I47-1)</f>
        <v>2.7859509609012623E-2</v>
      </c>
      <c r="H54" s="428" t="str">
        <f>IF(OR(G54&gt;=0.3,G54&lt;=-0.3),"超过30%","")</f>
        <v/>
      </c>
      <c r="I54" s="427">
        <f>IF(I47&lt;E47,E47/I47-1,I47/E47-1)</f>
        <v>5.9601718956267646E-2</v>
      </c>
      <c r="J54" s="428" t="str">
        <f>IF(OR(I54&gt;=0.3,I54&lt;=-0.3),"超过30%","")</f>
        <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1795</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1676</v>
      </c>
      <c r="B58" s="434"/>
      <c r="C58" s="1081" t="str">
        <f>YEAR(C7)&amp;"-"&amp;MONTH(C7)</f>
        <v>2025-3</v>
      </c>
      <c r="D58" s="1082">
        <f>EDATE(C58,-1)</f>
        <v>45689</v>
      </c>
      <c r="E58" s="1082">
        <f t="shared" ref="E58:N58" si="16">EDATE(D58,-1)</f>
        <v>45658</v>
      </c>
      <c r="F58" s="1082">
        <f t="shared" si="16"/>
        <v>45627</v>
      </c>
      <c r="G58" s="1082">
        <f t="shared" si="16"/>
        <v>45597</v>
      </c>
      <c r="H58" s="1082">
        <f t="shared" si="16"/>
        <v>45566</v>
      </c>
      <c r="I58" s="1082">
        <f t="shared" si="16"/>
        <v>45536</v>
      </c>
      <c r="J58" s="1082">
        <f t="shared" si="16"/>
        <v>45505</v>
      </c>
      <c r="K58" s="1082">
        <f t="shared" si="16"/>
        <v>45474</v>
      </c>
      <c r="L58" s="1082">
        <f t="shared" si="16"/>
        <v>45444</v>
      </c>
      <c r="M58" s="1082">
        <f t="shared" si="16"/>
        <v>45413</v>
      </c>
      <c r="N58" s="1082">
        <f t="shared" si="16"/>
        <v>45383</v>
      </c>
      <c r="O58" s="1082">
        <f>EDATE(N58,-1)</f>
        <v>45352</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1713</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1678</v>
      </c>
      <c r="B61" s="437"/>
      <c r="C61" s="449" t="s">
        <v>1773</v>
      </c>
      <c r="D61" s="3153" t="s">
        <v>3458</v>
      </c>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60">
        <v>105</v>
      </c>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ht="15" thickTop="1">
      <c r="A63" s="372" t="s">
        <v>1716</v>
      </c>
      <c r="B63" s="453" t="s">
        <v>1682</v>
      </c>
      <c r="C63" s="454" t="str">
        <f>C9</f>
        <v>商业</v>
      </c>
      <c r="D63" s="3153"/>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1685</v>
      </c>
      <c r="C65" s="3104" t="s">
        <v>3459</v>
      </c>
      <c r="D65" s="3105" t="s">
        <v>3460</v>
      </c>
      <c r="E65" s="3151" t="s">
        <v>3461</v>
      </c>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v>100</v>
      </c>
      <c r="D66" s="460">
        <v>99</v>
      </c>
      <c r="E66" s="460">
        <v>98</v>
      </c>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1686</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v>0</v>
      </c>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1687</v>
      </c>
      <c r="B76" s="453" t="s">
        <v>1717</v>
      </c>
      <c r="C76" s="497" t="s">
        <v>1718</v>
      </c>
      <c r="D76" s="497" t="s">
        <v>1719</v>
      </c>
      <c r="E76" s="497" t="s">
        <v>1720</v>
      </c>
      <c r="F76" s="497" t="s">
        <v>1721</v>
      </c>
      <c r="G76" s="497" t="s">
        <v>1722</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97</v>
      </c>
      <c r="E77" s="468">
        <f>D77-$K15</f>
        <v>94</v>
      </c>
      <c r="F77" s="468">
        <f>E77-$K15</f>
        <v>91</v>
      </c>
      <c r="G77" s="468">
        <f>F77-$K15</f>
        <v>88</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1723</v>
      </c>
      <c r="C78" s="502" t="s">
        <v>1718</v>
      </c>
      <c r="D78" s="502" t="s">
        <v>1719</v>
      </c>
      <c r="E78" s="502" t="s">
        <v>1720</v>
      </c>
      <c r="F78" s="502" t="s">
        <v>1721</v>
      </c>
      <c r="G78" s="502" t="s">
        <v>1722</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97</v>
      </c>
      <c r="E79" s="468">
        <f>D79-$K17</f>
        <v>94</v>
      </c>
      <c r="F79" s="468">
        <f>E79-$K17</f>
        <v>91</v>
      </c>
      <c r="G79" s="468">
        <f>F79-$K17</f>
        <v>88</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1724</v>
      </c>
      <c r="C80" s="502" t="s">
        <v>1718</v>
      </c>
      <c r="D80" s="502" t="s">
        <v>1719</v>
      </c>
      <c r="E80" s="502" t="s">
        <v>1720</v>
      </c>
      <c r="F80" s="502" t="s">
        <v>1721</v>
      </c>
      <c r="G80" s="502" t="s">
        <v>1722</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97</v>
      </c>
      <c r="E81" s="468">
        <f>D81-$K19</f>
        <v>94</v>
      </c>
      <c r="F81" s="468">
        <f>E81-$K19</f>
        <v>91</v>
      </c>
      <c r="G81" s="468">
        <f>F81-$K19</f>
        <v>88</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1776</v>
      </c>
      <c r="C82" s="574" t="s">
        <v>1796</v>
      </c>
      <c r="D82" s="574" t="s">
        <v>1797</v>
      </c>
      <c r="E82" s="574" t="s">
        <v>1798</v>
      </c>
      <c r="F82" s="574" t="s">
        <v>1799</v>
      </c>
      <c r="G82" s="574" t="s">
        <v>1800</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98</v>
      </c>
      <c r="E83" s="468">
        <f t="shared" ref="E83:G83" si="19">D83-$K21</f>
        <v>96</v>
      </c>
      <c r="F83" s="468">
        <f t="shared" si="19"/>
        <v>94</v>
      </c>
      <c r="G83" s="468">
        <f t="shared" si="19"/>
        <v>92</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1730</v>
      </c>
      <c r="C84" s="502" t="s">
        <v>1718</v>
      </c>
      <c r="D84" s="502" t="s">
        <v>1719</v>
      </c>
      <c r="E84" s="502" t="s">
        <v>1720</v>
      </c>
      <c r="F84" s="502" t="s">
        <v>1721</v>
      </c>
      <c r="G84" s="502" t="s">
        <v>1722</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97</v>
      </c>
      <c r="E85" s="468">
        <f>D85-$K23</f>
        <v>94</v>
      </c>
      <c r="F85" s="468">
        <f>E85-$K23</f>
        <v>91</v>
      </c>
      <c r="G85" s="468">
        <f>F85-$K23</f>
        <v>88</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1801</v>
      </c>
      <c r="C86" s="478" t="s">
        <v>3472</v>
      </c>
      <c r="D86" s="478" t="s">
        <v>3473</v>
      </c>
      <c r="E86" s="478" t="s">
        <v>3450</v>
      </c>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98</v>
      </c>
      <c r="E87" s="468">
        <f t="shared" si="20"/>
        <v>96</v>
      </c>
      <c r="F87" s="468">
        <f t="shared" si="20"/>
        <v>94</v>
      </c>
      <c r="G87" s="468">
        <f t="shared" si="20"/>
        <v>92</v>
      </c>
      <c r="H87" s="468">
        <f t="shared" si="20"/>
        <v>90</v>
      </c>
      <c r="I87" s="468">
        <f t="shared" si="20"/>
        <v>88</v>
      </c>
      <c r="J87" s="468">
        <f t="shared" si="20"/>
        <v>86</v>
      </c>
      <c r="K87" s="468">
        <f t="shared" si="20"/>
        <v>84</v>
      </c>
      <c r="L87" s="468">
        <f t="shared" si="20"/>
        <v>82</v>
      </c>
      <c r="M87" s="468">
        <f t="shared" si="20"/>
        <v>80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t="s">
        <v>3443</v>
      </c>
      <c r="D88" s="478" t="s">
        <v>3429</v>
      </c>
      <c r="E88" s="478" t="s">
        <v>3428</v>
      </c>
      <c r="F88" s="1757" t="s">
        <v>3466</v>
      </c>
      <c r="G88" s="478" t="s">
        <v>3467</v>
      </c>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v>100</v>
      </c>
      <c r="D89" s="460">
        <v>95</v>
      </c>
      <c r="E89" s="460">
        <v>90</v>
      </c>
      <c r="F89" s="460">
        <v>85</v>
      </c>
      <c r="G89" s="460">
        <v>80</v>
      </c>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t="s">
        <v>3468</v>
      </c>
      <c r="D90" s="478" t="s">
        <v>3469</v>
      </c>
      <c r="E90" s="478" t="s">
        <v>3428</v>
      </c>
      <c r="F90" s="478" t="s">
        <v>3470</v>
      </c>
      <c r="G90" s="478" t="s">
        <v>3471</v>
      </c>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98</v>
      </c>
      <c r="E91" s="468">
        <f t="shared" ref="E91:M91" si="21">D91-$K27</f>
        <v>96</v>
      </c>
      <c r="F91" s="468">
        <f t="shared" si="21"/>
        <v>94</v>
      </c>
      <c r="G91" s="468">
        <f t="shared" si="21"/>
        <v>92</v>
      </c>
      <c r="H91" s="468">
        <f t="shared" si="21"/>
        <v>90</v>
      </c>
      <c r="I91" s="468">
        <f t="shared" si="21"/>
        <v>88</v>
      </c>
      <c r="J91" s="468">
        <f t="shared" si="21"/>
        <v>86</v>
      </c>
      <c r="K91" s="468">
        <f t="shared" si="21"/>
        <v>84</v>
      </c>
      <c r="L91" s="468">
        <f t="shared" si="21"/>
        <v>82</v>
      </c>
      <c r="M91" s="468">
        <f t="shared" si="21"/>
        <v>80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1691</v>
      </c>
      <c r="B100" s="453" t="s">
        <v>1802</v>
      </c>
      <c r="C100" s="455" t="s">
        <v>3474</v>
      </c>
      <c r="D100" s="455" t="s">
        <v>3464</v>
      </c>
      <c r="E100" s="455" t="s">
        <v>3452</v>
      </c>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7"/>
      <c r="O101" s="2497"/>
      <c r="P101" s="2488"/>
      <c r="Q101" s="2483"/>
      <c r="R101" s="2462"/>
      <c r="S101" s="2462"/>
      <c r="T101" s="2462"/>
      <c r="U101" s="2462"/>
      <c r="V101" s="2462"/>
      <c r="W101" s="2462"/>
      <c r="X101" s="2462"/>
      <c r="Y101" s="2462"/>
      <c r="Z101" s="2462"/>
      <c r="AA101" s="2462"/>
      <c r="AB101" s="2462"/>
      <c r="AC101" s="2462"/>
    </row>
    <row r="102" spans="1:29" ht="29.25" thickTop="1">
      <c r="A102" s="360"/>
      <c r="B102" s="462" t="s">
        <v>1734</v>
      </c>
      <c r="C102" s="502" t="str">
        <f>C103&amp;"(含)"&amp;"-"&amp;D103</f>
        <v>0(含)-100</v>
      </c>
      <c r="D102" s="502" t="str">
        <f t="shared" ref="D102:L102" si="23">D103&amp;"(含)"&amp;"-"&amp;E103</f>
        <v>100(含)-200</v>
      </c>
      <c r="E102" s="502" t="str">
        <f t="shared" si="23"/>
        <v>200(含)-300</v>
      </c>
      <c r="F102" s="502" t="str">
        <f t="shared" si="23"/>
        <v>300(含)-500</v>
      </c>
      <c r="G102" s="502" t="str">
        <f t="shared" si="23"/>
        <v>500(含)-1000</v>
      </c>
      <c r="H102" s="502" t="str">
        <f t="shared" si="23"/>
        <v>1000(含)-1500</v>
      </c>
      <c r="I102" s="502" t="str">
        <f t="shared" si="23"/>
        <v>1500(含)-2000</v>
      </c>
      <c r="J102" s="502" t="str">
        <f t="shared" si="23"/>
        <v>2000(含)-3000</v>
      </c>
      <c r="K102" s="502" t="str">
        <f t="shared" si="23"/>
        <v>3000(含)-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v>0</v>
      </c>
      <c r="D103" s="6">
        <v>100</v>
      </c>
      <c r="E103" s="6">
        <v>200</v>
      </c>
      <c r="F103" s="6">
        <v>300</v>
      </c>
      <c r="G103" s="6">
        <v>500</v>
      </c>
      <c r="H103" s="6">
        <v>1000</v>
      </c>
      <c r="I103" s="6">
        <v>1500</v>
      </c>
      <c r="J103" s="517">
        <v>2000</v>
      </c>
      <c r="K103" s="517">
        <v>3000</v>
      </c>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v>100</v>
      </c>
      <c r="D104" s="460">
        <v>99</v>
      </c>
      <c r="E104" s="460">
        <v>98</v>
      </c>
      <c r="F104" s="460">
        <v>97</v>
      </c>
      <c r="G104" s="460">
        <v>96</v>
      </c>
      <c r="H104" s="460">
        <v>95</v>
      </c>
      <c r="I104" s="460">
        <v>94</v>
      </c>
      <c r="J104" s="460">
        <v>93</v>
      </c>
      <c r="K104" s="460">
        <v>92</v>
      </c>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1735</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98</v>
      </c>
      <c r="E106" s="468">
        <f t="shared" si="24"/>
        <v>96</v>
      </c>
      <c r="F106" s="468">
        <f t="shared" si="24"/>
        <v>94</v>
      </c>
      <c r="G106" s="468">
        <f t="shared" si="24"/>
        <v>92</v>
      </c>
      <c r="H106" s="468">
        <f t="shared" si="24"/>
        <v>90</v>
      </c>
      <c r="I106" s="468">
        <f t="shared" si="24"/>
        <v>88</v>
      </c>
      <c r="J106" s="468">
        <f t="shared" si="24"/>
        <v>86</v>
      </c>
      <c r="K106" s="468">
        <f t="shared" si="24"/>
        <v>84</v>
      </c>
      <c r="L106" s="468">
        <f t="shared" si="24"/>
        <v>82</v>
      </c>
      <c r="M106" s="469">
        <f t="shared" si="24"/>
        <v>80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1737</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98</v>
      </c>
      <c r="E108" s="468">
        <f t="shared" si="25"/>
        <v>96</v>
      </c>
      <c r="F108" s="468">
        <f t="shared" si="25"/>
        <v>94</v>
      </c>
      <c r="G108" s="468">
        <f t="shared" si="25"/>
        <v>92</v>
      </c>
      <c r="H108" s="468">
        <f t="shared" si="25"/>
        <v>90</v>
      </c>
      <c r="I108" s="468">
        <f t="shared" si="25"/>
        <v>88</v>
      </c>
      <c r="J108" s="468">
        <f t="shared" si="25"/>
        <v>86</v>
      </c>
      <c r="K108" s="468">
        <f t="shared" si="25"/>
        <v>84</v>
      </c>
      <c r="L108" s="468">
        <f t="shared" si="25"/>
        <v>82</v>
      </c>
      <c r="M108" s="469">
        <f t="shared" si="25"/>
        <v>80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101</v>
      </c>
      <c r="E111" s="468">
        <f t="shared" ref="E111:M111" si="26">D111+$K36</f>
        <v>102</v>
      </c>
      <c r="F111" s="468">
        <f t="shared" si="26"/>
        <v>103</v>
      </c>
      <c r="G111" s="468">
        <f t="shared" si="26"/>
        <v>104</v>
      </c>
      <c r="H111" s="468">
        <f t="shared" si="26"/>
        <v>105</v>
      </c>
      <c r="I111" s="468">
        <f t="shared" si="26"/>
        <v>106</v>
      </c>
      <c r="J111" s="468">
        <f t="shared" si="26"/>
        <v>107</v>
      </c>
      <c r="K111" s="468">
        <f t="shared" si="26"/>
        <v>108</v>
      </c>
      <c r="L111" s="468">
        <f t="shared" si="26"/>
        <v>109</v>
      </c>
      <c r="M111" s="468">
        <f t="shared" si="26"/>
        <v>110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1739</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98</v>
      </c>
      <c r="E113" s="468">
        <f t="shared" ref="E113:M113" si="27">D113-$K37</f>
        <v>96</v>
      </c>
      <c r="F113" s="468">
        <f t="shared" si="27"/>
        <v>94</v>
      </c>
      <c r="G113" s="468">
        <f t="shared" si="27"/>
        <v>92</v>
      </c>
      <c r="H113" s="468">
        <f t="shared" si="27"/>
        <v>90</v>
      </c>
      <c r="I113" s="468">
        <f t="shared" si="27"/>
        <v>88</v>
      </c>
      <c r="J113" s="468">
        <f t="shared" si="27"/>
        <v>86</v>
      </c>
      <c r="K113" s="468">
        <f t="shared" si="27"/>
        <v>84</v>
      </c>
      <c r="L113" s="468">
        <f t="shared" si="27"/>
        <v>82</v>
      </c>
      <c r="M113" s="468">
        <f t="shared" si="27"/>
        <v>80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1803</v>
      </c>
      <c r="C114" s="478" t="s">
        <v>3475</v>
      </c>
      <c r="D114" s="478" t="s">
        <v>3455</v>
      </c>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95</v>
      </c>
      <c r="E115" s="468">
        <f t="shared" si="28"/>
        <v>90</v>
      </c>
      <c r="F115" s="468">
        <f t="shared" si="28"/>
        <v>85</v>
      </c>
      <c r="G115" s="468">
        <f t="shared" si="28"/>
        <v>80</v>
      </c>
      <c r="H115" s="468">
        <f t="shared" si="28"/>
        <v>75</v>
      </c>
      <c r="I115" s="468">
        <f t="shared" si="28"/>
        <v>70</v>
      </c>
      <c r="J115" s="468">
        <f t="shared" si="28"/>
        <v>65</v>
      </c>
      <c r="K115" s="468">
        <f t="shared" si="28"/>
        <v>60</v>
      </c>
      <c r="L115" s="468">
        <f t="shared" si="28"/>
        <v>55</v>
      </c>
      <c r="M115" s="469">
        <f t="shared" si="28"/>
        <v>50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1804</v>
      </c>
      <c r="C116" s="478" t="s">
        <v>3441</v>
      </c>
      <c r="D116" s="478" t="s">
        <v>3439</v>
      </c>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90</v>
      </c>
      <c r="E117" s="468">
        <f>D117-$K39</f>
        <v>80</v>
      </c>
      <c r="F117" s="468">
        <f>E117-$K39</f>
        <v>70</v>
      </c>
      <c r="G117" s="468">
        <f>F117-$K39</f>
        <v>60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1805</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1806</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99</v>
      </c>
      <c r="E121" s="468">
        <f t="shared" ref="E121:M121" si="29">D121-$K41</f>
        <v>98</v>
      </c>
      <c r="F121" s="468">
        <f t="shared" si="29"/>
        <v>97</v>
      </c>
      <c r="G121" s="468">
        <f t="shared" si="29"/>
        <v>96</v>
      </c>
      <c r="H121" s="468">
        <f t="shared" si="29"/>
        <v>95</v>
      </c>
      <c r="I121" s="468">
        <f t="shared" si="29"/>
        <v>94</v>
      </c>
      <c r="J121" s="468">
        <f t="shared" si="29"/>
        <v>93</v>
      </c>
      <c r="K121" s="468">
        <f t="shared" si="29"/>
        <v>92</v>
      </c>
      <c r="L121" s="468">
        <f t="shared" si="29"/>
        <v>91</v>
      </c>
      <c r="M121" s="469">
        <f t="shared" si="29"/>
        <v>90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1741</v>
      </c>
      <c r="C122" s="478" t="s">
        <v>3476</v>
      </c>
      <c r="D122" s="478" t="s">
        <v>3453</v>
      </c>
      <c r="E122" s="478" t="s">
        <v>3477</v>
      </c>
      <c r="F122" s="506" t="s">
        <v>3478</v>
      </c>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98</v>
      </c>
      <c r="E123" s="468">
        <f t="shared" si="30"/>
        <v>96</v>
      </c>
      <c r="F123" s="468">
        <f t="shared" si="30"/>
        <v>94</v>
      </c>
      <c r="G123" s="468">
        <f t="shared" si="30"/>
        <v>92</v>
      </c>
      <c r="H123" s="468">
        <f t="shared" si="30"/>
        <v>90</v>
      </c>
      <c r="I123" s="468">
        <f t="shared" si="30"/>
        <v>88</v>
      </c>
      <c r="J123" s="468">
        <f t="shared" si="30"/>
        <v>86</v>
      </c>
      <c r="K123" s="468">
        <f t="shared" si="30"/>
        <v>84</v>
      </c>
      <c r="L123" s="468">
        <f t="shared" si="30"/>
        <v>82</v>
      </c>
      <c r="M123" s="469">
        <f t="shared" si="30"/>
        <v>80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1742</v>
      </c>
      <c r="C124" s="502" t="s">
        <v>1718</v>
      </c>
      <c r="D124" s="502" t="s">
        <v>1719</v>
      </c>
      <c r="E124" s="502" t="s">
        <v>1720</v>
      </c>
      <c r="F124" s="502" t="s">
        <v>1721</v>
      </c>
      <c r="G124" s="502" t="s">
        <v>1722</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99</v>
      </c>
      <c r="E125" s="468">
        <f>D125-$K43</f>
        <v>98</v>
      </c>
      <c r="F125" s="468">
        <f>E125-$K43</f>
        <v>97</v>
      </c>
      <c r="G125" s="468">
        <f>F125-$K43</f>
        <v>96</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B4:AB6"/>
    <mergeCell ref="Y7:Z7"/>
    <mergeCell ref="R4:S6"/>
    <mergeCell ref="G5:H5"/>
    <mergeCell ref="I5:J5"/>
    <mergeCell ref="C5:D5"/>
    <mergeCell ref="C6:D6"/>
    <mergeCell ref="E6:F6"/>
    <mergeCell ref="G6:H6"/>
    <mergeCell ref="AA4:AA6"/>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E5:F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F7:F46 H7:H46 J7:J46">
    <cfRule type="cellIs" dxfId="131" priority="1" operator="notEqual">
      <formula>100</formula>
    </cfRule>
  </conditionalFormatting>
  <conditionalFormatting sqref="F48">
    <cfRule type="expression" dxfId="130" priority="4">
      <formula>$D$48="简单平均"</formula>
    </cfRule>
  </conditionalFormatting>
  <conditionalFormatting sqref="F52:F54 H52:H54">
    <cfRule type="containsText" dxfId="129" priority="17" stopIfTrue="1" operator="containsText" text="超过">
      <formula>NOT(ISERROR(SEARCH("超过",F52)))</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G54">
    <cfRule type="expression" dxfId="126" priority="13" stopIfTrue="1">
      <formula>$H$54="超过30%"</formula>
    </cfRule>
  </conditionalFormatting>
  <conditionalFormatting sqref="H48">
    <cfRule type="expression" dxfId="125" priority="3">
      <formula>$D$48="简单平均"</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J48">
    <cfRule type="expression" dxfId="121" priority="2">
      <formula>$D$48="简单平均"</formula>
    </cfRule>
  </conditionalFormatting>
  <conditionalFormatting sqref="J52:J54">
    <cfRule type="containsText" dxfId="12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1493-9AE0-4718-B2DC-7E4EAAB9A4B2}">
  <dimension ref="A1"/>
  <sheetViews>
    <sheetView workbookViewId="0">
      <selection activeCell="A59" sqref="A59"/>
    </sheetView>
  </sheetViews>
  <sheetFormatPr defaultRowHeight="13.5"/>
  <sheetData/>
  <phoneticPr fontId="13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62292-C3EB-48DA-AD2F-ACA35AE18AE0}">
  <sheetPr>
    <tabColor rgb="FF92D050"/>
  </sheetPr>
  <dimension ref="A1:AK83"/>
  <sheetViews>
    <sheetView view="pageBreakPreview" zoomScale="70" zoomScaleNormal="70" zoomScaleSheetLayoutView="70" workbookViewId="0">
      <selection activeCell="I19" sqref="I1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670</v>
      </c>
      <c r="D1" s="1249" t="s">
        <v>43</v>
      </c>
      <c r="E1" s="1250" t="s">
        <v>675</v>
      </c>
      <c r="F1" s="978">
        <f ca="1">J53</f>
        <v>32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3096">
        <f ca="1">ROUND(D2/10000,4)</f>
        <v>1143.9078999999999</v>
      </c>
      <c r="C2" s="1267" t="s">
        <v>802</v>
      </c>
      <c r="D2" s="1353">
        <f ca="1">C40+J29+L46</f>
        <v>11439079</v>
      </c>
      <c r="E2" s="1273" t="s">
        <v>877</v>
      </c>
      <c r="F2" s="1274"/>
      <c r="G2" s="2453"/>
      <c r="H2" s="2443"/>
      <c r="I2" s="2443"/>
      <c r="J2" s="2443"/>
      <c r="K2" s="2444"/>
      <c r="L2" s="2443"/>
      <c r="M2" s="2443"/>
    </row>
    <row r="3" spans="1:37" ht="18" customHeight="1" thickBot="1">
      <c r="A3" s="1275" t="s">
        <v>803</v>
      </c>
      <c r="B3" s="1276">
        <f ca="1">IF(ISERROR(D2/F43),0,ROUND(D2/F43,0))</f>
        <v>20326</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f ca="1">C6+C10+C12</f>
        <v>740417</v>
      </c>
      <c r="D5" s="1251" t="s">
        <v>690</v>
      </c>
      <c r="E5" s="987"/>
      <c r="F5" s="988"/>
      <c r="G5" s="1270"/>
      <c r="H5" s="285">
        <v>1</v>
      </c>
      <c r="I5" s="286" t="s">
        <v>689</v>
      </c>
      <c r="J5" s="986">
        <f ca="1">J6+J10+J12</f>
        <v>0</v>
      </c>
      <c r="K5" s="1251" t="s">
        <v>690</v>
      </c>
      <c r="L5" s="987"/>
      <c r="M5" s="988"/>
    </row>
    <row r="6" spans="1:37" ht="18" customHeight="1">
      <c r="A6" s="985" t="s">
        <v>398</v>
      </c>
      <c r="B6" s="3341" t="s">
        <v>691</v>
      </c>
      <c r="C6" s="990">
        <f ca="1">ROUND(F6*F8*F7*(1-F9),0)</f>
        <v>739493</v>
      </c>
      <c r="D6" s="141" t="s">
        <v>2103</v>
      </c>
      <c r="E6" s="288" t="s">
        <v>693</v>
      </c>
      <c r="F6" s="289">
        <f ca="1">INDIRECT("'数据-取费表'!u"&amp;$G$1)</f>
        <v>4</v>
      </c>
      <c r="G6" s="1270"/>
      <c r="H6" s="985" t="s">
        <v>398</v>
      </c>
      <c r="I6" s="3341" t="s">
        <v>691</v>
      </c>
      <c r="J6" s="287">
        <f ca="1">ROUND(M6*M8*M7*(1-M9),0)</f>
        <v>0</v>
      </c>
      <c r="K6" s="1262" t="s">
        <v>2104</v>
      </c>
      <c r="L6" s="288" t="s">
        <v>693</v>
      </c>
      <c r="M6" s="289">
        <f ca="1">INDIRECT("'数据-取费表'!z"&amp;$G$1)</f>
        <v>0</v>
      </c>
    </row>
    <row r="7" spans="1:37" ht="18" customHeight="1">
      <c r="A7" s="989"/>
      <c r="B7" s="3342"/>
      <c r="C7" s="991"/>
      <c r="D7" s="293"/>
      <c r="E7" s="992" t="s">
        <v>694</v>
      </c>
      <c r="F7" s="289">
        <f ca="1">IF(INDIRECT("'数据-取费表'!ah"&amp;$G$1)="",INDIRECT("'数据-取费表'!k"&amp;$G$1),INDIRECT("'数据-取费表'!ah"&amp;$G$1))</f>
        <v>562.78</v>
      </c>
      <c r="G7" s="1270"/>
      <c r="H7" s="290"/>
      <c r="I7" s="3342"/>
      <c r="J7" s="292"/>
      <c r="K7" s="293"/>
      <c r="L7" s="288" t="s">
        <v>694</v>
      </c>
      <c r="M7" s="289">
        <f ca="1">F7</f>
        <v>562.78</v>
      </c>
    </row>
    <row r="8" spans="1:37" ht="18" customHeight="1">
      <c r="A8" s="290"/>
      <c r="B8" s="3342"/>
      <c r="C8" s="292"/>
      <c r="D8" s="293"/>
      <c r="E8" s="288" t="s">
        <v>695</v>
      </c>
      <c r="F8" s="289">
        <f ca="1">INDIRECT("'数据-取费表'!ai"&amp;$G$1)</f>
        <v>365</v>
      </c>
      <c r="G8" s="1270"/>
      <c r="H8" s="290"/>
      <c r="I8" s="3342"/>
      <c r="J8" s="292"/>
      <c r="K8" s="293"/>
      <c r="L8" s="288" t="s">
        <v>695</v>
      </c>
      <c r="M8" s="289">
        <f ca="1">INDIRECT("'数据-取费表'!ai"&amp;$G$1)</f>
        <v>365</v>
      </c>
    </row>
    <row r="9" spans="1:37" ht="18" customHeight="1">
      <c r="A9" s="290"/>
      <c r="B9" s="3343"/>
      <c r="C9" s="292"/>
      <c r="D9" s="293"/>
      <c r="E9" s="288" t="s">
        <v>696</v>
      </c>
      <c r="F9" s="298">
        <f ca="1">INDIRECT("'数据-取费表'!w"&amp;$G$1)</f>
        <v>0.1</v>
      </c>
      <c r="G9" s="1270"/>
      <c r="H9" s="290"/>
      <c r="I9" s="3343"/>
      <c r="J9" s="292"/>
      <c r="K9" s="293"/>
      <c r="L9" s="299" t="s">
        <v>696</v>
      </c>
      <c r="M9" s="300">
        <f ca="1">INDIRECT("'数据-取费表'!ab"&amp;$G$1)</f>
        <v>0</v>
      </c>
    </row>
    <row r="10" spans="1:37" ht="18" customHeight="1">
      <c r="A10" s="985" t="s">
        <v>402</v>
      </c>
      <c r="B10" s="1252" t="s">
        <v>697</v>
      </c>
      <c r="C10" s="302">
        <f ca="1">ROUND(IF(F10="押一",C6/12*F11,IF(F10="押二",C6/12*2*F11,IF(F10="押三",C6/12*3*F11,C11*F11))),0)</f>
        <v>924</v>
      </c>
      <c r="D10" s="144" t="s">
        <v>2113</v>
      </c>
      <c r="E10" s="299" t="s">
        <v>698</v>
      </c>
      <c r="F10" s="1031" t="s">
        <v>3446</v>
      </c>
      <c r="G10" s="1270"/>
      <c r="H10" s="985" t="s">
        <v>402</v>
      </c>
      <c r="I10" s="1252" t="s">
        <v>697</v>
      </c>
      <c r="J10" s="287">
        <f ca="1">ROUND(IF(M10="押一",J6/12*M11,IF(M10="押二",J6/12*2*M11,IF(M10="押三",J6/12*3*M11,J11*M11))),0)</f>
        <v>0</v>
      </c>
      <c r="K10" s="1263" t="s">
        <v>2115</v>
      </c>
      <c r="L10" s="299" t="s">
        <v>698</v>
      </c>
      <c r="M10" s="1031"/>
    </row>
    <row r="11" spans="1:37" ht="18" customHeight="1">
      <c r="A11" s="294"/>
      <c r="B11" s="1253" t="s">
        <v>887</v>
      </c>
      <c r="C11" s="885"/>
      <c r="D11" s="293"/>
      <c r="E11" s="299" t="s">
        <v>699</v>
      </c>
      <c r="F11" s="300">
        <f ca="1">'数据-取费表'!B39</f>
        <v>1.4999999999999999E-2</v>
      </c>
      <c r="G11" s="1270"/>
      <c r="H11" s="993"/>
      <c r="I11" s="1253" t="s">
        <v>888</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3727878</v>
      </c>
      <c r="D13" s="996" t="s">
        <v>702</v>
      </c>
      <c r="E13" s="996" t="s">
        <v>703</v>
      </c>
      <c r="F13" s="997">
        <f ca="1">INDIRECT("'数据-取费表'!y"&amp;$G$1)</f>
        <v>0.97</v>
      </c>
      <c r="G13" s="1270"/>
      <c r="H13" s="994">
        <v>2</v>
      </c>
      <c r="I13" s="995" t="s">
        <v>701</v>
      </c>
      <c r="J13" s="984">
        <f ca="1">ROUND(J14*J15,0)</f>
        <v>0</v>
      </c>
      <c r="K13" s="1002" t="s">
        <v>702</v>
      </c>
      <c r="L13" s="1277"/>
      <c r="M13" s="1278"/>
    </row>
    <row r="14" spans="1:37" ht="18" customHeight="1">
      <c r="A14" s="908" t="s">
        <v>397</v>
      </c>
      <c r="B14" s="288" t="s">
        <v>704</v>
      </c>
      <c r="C14" s="303">
        <f ca="1">ROUND(INDIRECT("'数据-取费表'!l"&amp;$G$1)*F43+'数据-取费表'!L14*INDIRECT("'数据-取费表'!S"&amp;$G$1),0)</f>
        <v>2532510</v>
      </c>
      <c r="D14" s="1235" t="s">
        <v>705</v>
      </c>
      <c r="E14" s="1233"/>
      <c r="F14" s="304"/>
      <c r="G14" s="1270"/>
      <c r="H14" s="908" t="s">
        <v>398</v>
      </c>
      <c r="I14" s="288" t="s">
        <v>706</v>
      </c>
      <c r="J14" s="21">
        <f ca="1">C29</f>
        <v>3843173</v>
      </c>
      <c r="K14" s="12"/>
      <c r="L14" s="741"/>
      <c r="M14" s="742"/>
    </row>
    <row r="15" spans="1:37" s="1282" customFormat="1" ht="18" customHeight="1" thickBot="1">
      <c r="A15" s="908" t="s">
        <v>399</v>
      </c>
      <c r="B15" s="288" t="s">
        <v>707</v>
      </c>
      <c r="C15" s="21">
        <f ca="1">ROUND(C14*F15,0)</f>
        <v>126626</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ROUND(INDIRECT("'数据-取费表'!l"&amp;$G$1)*F43*F16,0)</f>
        <v>0</v>
      </c>
      <c r="D16" s="288" t="s">
        <v>708</v>
      </c>
      <c r="E16" s="288" t="s">
        <v>709</v>
      </c>
      <c r="F16" s="307">
        <f ca="1">IF(INDIRECT("'数据-取费表'!c"&amp;$G$1)="住宅",'数据-取费表'!B34,0)</f>
        <v>0</v>
      </c>
      <c r="G16" s="1270"/>
      <c r="H16" s="994" t="s">
        <v>393</v>
      </c>
      <c r="I16" s="995" t="s">
        <v>711</v>
      </c>
      <c r="J16" s="296">
        <f ca="1">ROUND(J17+J22+J23+J24,0)</f>
        <v>7686</v>
      </c>
      <c r="K16" s="1002" t="s">
        <v>712</v>
      </c>
      <c r="L16" s="1003"/>
      <c r="M16" s="988"/>
    </row>
    <row r="17" spans="1:37" s="1282" customFormat="1" ht="18" customHeight="1">
      <c r="A17" s="908" t="s">
        <v>678</v>
      </c>
      <c r="B17" s="288" t="s">
        <v>713</v>
      </c>
      <c r="C17" s="21">
        <f ca="1">ROUND(F17*(F43+INDIRECT("'数据-取费表'!S"&amp;$G$1)),0)</f>
        <v>112556</v>
      </c>
      <c r="D17" s="288" t="s">
        <v>714</v>
      </c>
      <c r="E17" s="288" t="s">
        <v>715</v>
      </c>
      <c r="F17" s="23">
        <f>'数据-取费表'!B35</f>
        <v>200</v>
      </c>
      <c r="G17" s="1281"/>
      <c r="H17" s="908" t="s">
        <v>398</v>
      </c>
      <c r="I17" s="288" t="s">
        <v>716</v>
      </c>
      <c r="J17" s="2117">
        <f ca="1">ROUND(IF(AND(项目基本情况!B11="自然人",项目基本情况!B10="北京市"),J6*M17/(1+'数据-取费表'!C42),J18+J19+J20),0)</f>
        <v>0</v>
      </c>
      <c r="K17" s="1235" t="s">
        <v>717</v>
      </c>
      <c r="L17" s="1234" t="s">
        <v>718</v>
      </c>
      <c r="M17" s="2116">
        <f ca="1">IF(项目基本情况!B11="企业","",IF('数据-取费表'!B10="住宅",IF(M6*M7*M8/12/(1+'数据-取费表'!F30)&gt;100000,4%,2.5%),IF(M6*M7*M8/12/(1+'数据-取费表'!F30)&gt;100000,12%,7%)))</f>
        <v>7.0000000000000007E-2</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50650</v>
      </c>
      <c r="D18" s="288" t="s">
        <v>708</v>
      </c>
      <c r="E18" s="288" t="s">
        <v>709</v>
      </c>
      <c r="F18" s="307">
        <f>'数据-取费表'!B36</f>
        <v>0.02</v>
      </c>
      <c r="G18" s="1281"/>
      <c r="H18" s="908" t="s">
        <v>397</v>
      </c>
      <c r="I18" s="288" t="s">
        <v>720</v>
      </c>
      <c r="J18" s="21">
        <f ca="1">ROUND(J6*M18/(1+'数据-取费表'!C42),0)</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2822342</v>
      </c>
      <c r="D19" s="117" t="s">
        <v>723</v>
      </c>
      <c r="E19" s="1247"/>
      <c r="F19" s="23"/>
      <c r="G19" s="1270"/>
      <c r="H19" s="908" t="s">
        <v>399</v>
      </c>
      <c r="I19" s="288" t="s">
        <v>724</v>
      </c>
      <c r="J19" s="21">
        <f ca="1">IF(K19="按租金收入计税",ROUND(J6*M19/(1+'数据-取费表'!C42),0),ROUND(C29*M19*0.7,0))</f>
        <v>0</v>
      </c>
      <c r="K19" s="1256" t="s">
        <v>3322</v>
      </c>
      <c r="L19" s="288" t="s">
        <v>709</v>
      </c>
      <c r="M19" s="307">
        <f>IF(K19="按租金收入计税",'数据-取费表'!B51,'数据-取费表'!B50)</f>
        <v>0.12</v>
      </c>
    </row>
    <row r="20" spans="1:37" s="1282" customFormat="1" ht="18" customHeight="1">
      <c r="A20" s="908" t="s">
        <v>402</v>
      </c>
      <c r="B20" s="288" t="s">
        <v>725</v>
      </c>
      <c r="C20" s="21">
        <f ca="1">ROUND(C19*F20,0)</f>
        <v>56447</v>
      </c>
      <c r="D20" s="308" t="s">
        <v>726</v>
      </c>
      <c r="E20" s="288" t="s">
        <v>709</v>
      </c>
      <c r="F20" s="307">
        <f>'数据-取费表'!B37</f>
        <v>0.02</v>
      </c>
      <c r="G20" s="1281"/>
      <c r="H20" s="908" t="s">
        <v>677</v>
      </c>
      <c r="I20" s="141" t="s">
        <v>727</v>
      </c>
      <c r="J20" s="22">
        <f ca="1">ROUND(M20*M21,0)</f>
        <v>0</v>
      </c>
      <c r="K20" s="309" t="s">
        <v>728</v>
      </c>
      <c r="L20" s="288" t="s">
        <v>729</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ROUND(J14*M22,0)</f>
        <v>7686</v>
      </c>
      <c r="K22" s="1234" t="s">
        <v>736</v>
      </c>
      <c r="L22" s="288" t="s">
        <v>709</v>
      </c>
      <c r="M22" s="313">
        <f ca="1">INDIRECT("'数据-取费表'!Ak"&amp;$G$1)</f>
        <v>2E-3</v>
      </c>
    </row>
    <row r="23" spans="1:37" s="1282" customFormat="1" ht="18" customHeight="1">
      <c r="A23" s="908" t="s">
        <v>397</v>
      </c>
      <c r="B23" s="288" t="s">
        <v>737</v>
      </c>
      <c r="C23" s="21">
        <f ca="1">IF('数据-取费表'!B22&lt;=1,ROUND(C19*F24*F23/2,0)+ROUND(C20*F24*F23/2,0),ROUND(C19*(POWER((1+F24),F23/2)-1),0)+ROUND(C20*(POWER((1+F24),F23/2)-1),0))</f>
        <v>89243</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ROUND(J13*M23,0)</f>
        <v>0</v>
      </c>
      <c r="K23" s="1234" t="s">
        <v>740</v>
      </c>
      <c r="L23" s="288" t="s">
        <v>709</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3.1E-2</v>
      </c>
      <c r="G24" s="1281"/>
      <c r="H24" s="1004" t="s">
        <v>680</v>
      </c>
      <c r="I24" s="1005" t="s">
        <v>725</v>
      </c>
      <c r="J24" s="1006">
        <f ca="1">ROUND(J5*M24,0)</f>
        <v>0</v>
      </c>
      <c r="K24" s="1007" t="s">
        <v>745</v>
      </c>
      <c r="L24" s="1005" t="s">
        <v>709</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746</v>
      </c>
      <c r="B25" s="288" t="s">
        <v>747</v>
      </c>
      <c r="C25" s="21"/>
      <c r="D25" s="117" t="s">
        <v>748</v>
      </c>
      <c r="E25" s="1247"/>
      <c r="F25" s="23"/>
      <c r="G25" s="1270"/>
      <c r="H25" s="994" t="s">
        <v>394</v>
      </c>
      <c r="I25" s="1009" t="s">
        <v>749</v>
      </c>
      <c r="J25" s="296">
        <f ca="1">J5-J16</f>
        <v>-7686</v>
      </c>
      <c r="K25" s="1010" t="s">
        <v>750</v>
      </c>
      <c r="L25" s="1011"/>
      <c r="M25" s="1012"/>
    </row>
    <row r="26" spans="1:37" ht="18" customHeight="1">
      <c r="A26" s="908" t="s">
        <v>397</v>
      </c>
      <c r="B26" s="288" t="s">
        <v>751</v>
      </c>
      <c r="C26" s="21">
        <f ca="1">ROUND((C19+C20)*F26,0)</f>
        <v>575758</v>
      </c>
      <c r="D26" s="308" t="s">
        <v>752</v>
      </c>
      <c r="E26" s="299" t="s">
        <v>753</v>
      </c>
      <c r="F26" s="298">
        <f ca="1">INDIRECT("'数据-取费表'!q"&amp;$G$1)</f>
        <v>0.2</v>
      </c>
      <c r="G26" s="1270"/>
      <c r="H26" s="285" t="s">
        <v>395</v>
      </c>
      <c r="I26" s="286" t="s">
        <v>754</v>
      </c>
      <c r="J26" s="287">
        <f ca="1">IF(J5&lt;&gt;0,ROUND(J25*(1-((1+M28)/(1+M26))^M27)/(M26-M28),0),0)</f>
        <v>0</v>
      </c>
      <c r="K26" s="309" t="s">
        <v>755</v>
      </c>
      <c r="L26" s="288" t="s">
        <v>756</v>
      </c>
      <c r="M26" s="298">
        <f ca="1">INDIRECT("'数据-取费表'!I"&amp;$G$1)</f>
        <v>5.5E-2</v>
      </c>
    </row>
    <row r="27" spans="1:37" ht="18" customHeight="1">
      <c r="A27" s="908" t="s">
        <v>399</v>
      </c>
      <c r="B27" s="288" t="s">
        <v>757</v>
      </c>
      <c r="C27" s="21">
        <f ca="1">ROUND(F21*F26,4)</f>
        <v>4.0000000000000001E-3</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3843173</v>
      </c>
      <c r="D29" s="1007"/>
      <c r="E29" s="1005"/>
      <c r="F29" s="1008"/>
      <c r="G29" s="1281"/>
      <c r="H29" s="318" t="s">
        <v>396</v>
      </c>
      <c r="I29" s="319" t="s">
        <v>765</v>
      </c>
      <c r="J29" s="320">
        <f ca="1">ROUND(J26/(1+F40)^F41,0)</f>
        <v>0</v>
      </c>
      <c r="K29" s="321" t="s">
        <v>766</v>
      </c>
      <c r="L29" s="322"/>
      <c r="M29" s="323">
        <f ca="1">INDIRECT("'数据-取费表'!k"&amp;$G$1)</f>
        <v>562.78</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142771</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ROUND(IF(AND(项目基本情况!B11="自然人",项目基本情况!B10="北京市"),C6*F31/(1+'数据-取费表'!C42),C32+C33+C34),0)</f>
        <v>123953</v>
      </c>
      <c r="D31" s="1235" t="s">
        <v>717</v>
      </c>
      <c r="E31" s="1234" t="s">
        <v>767</v>
      </c>
      <c r="F31" s="2116">
        <f ca="1">IF(项目基本情况!B11="企业","——",IF(M47="住宅",IF(F6*F7*F8/12/(1+'数据-取费表'!F30)&gt;100000,4%,2.5%),IF(F6*F7*F8/12/(1+'数据-取费表'!F30)&gt;100000,12%,7%)))</f>
        <v>7.0000000000000007E-2</v>
      </c>
      <c r="G31" s="1270"/>
      <c r="H31" s="2543" t="s">
        <v>2292</v>
      </c>
      <c r="I31" s="1283"/>
      <c r="J31" s="1284"/>
      <c r="K31" s="115"/>
      <c r="L31" s="2446"/>
      <c r="M31" s="2447"/>
    </row>
    <row r="32" spans="1:37" ht="18" customHeight="1">
      <c r="A32" s="908" t="s">
        <v>397</v>
      </c>
      <c r="B32" s="288" t="s">
        <v>720</v>
      </c>
      <c r="C32" s="21">
        <f ca="1">IF(项目基本情况!B11="自然人","——",ROUND(C6*F32/(1+'数据-取费表'!C42),0))</f>
        <v>39440</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IF(项目基本情况!B11="自然人","——",IF(D33="按租金收入计税",ROUND(C6*F33/(1+'数据-取费表'!C42),0),IF(D33="按房产原值计税",ROUND(C29*F33*0.7,0),INDIRECT("'数据-取费表'!Aj"&amp;$G$1))))</f>
        <v>84513</v>
      </c>
      <c r="D33" s="1256" t="s">
        <v>3322</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IF(项目基本情况!B11="自然人","——",ROUND(F34*F35,0))</f>
        <v>0</v>
      </c>
      <c r="D34" s="309" t="s">
        <v>728</v>
      </c>
      <c r="E34" s="288" t="s">
        <v>729</v>
      </c>
      <c r="F34" s="310">
        <f>'数据-取费表'!B52</f>
        <v>1.5</v>
      </c>
      <c r="G34" s="1270"/>
      <c r="H34" s="2445"/>
      <c r="I34" s="1283"/>
      <c r="J34" s="1284"/>
      <c r="K34" s="2450"/>
      <c r="L34" s="2451"/>
      <c r="M34" s="2451"/>
    </row>
    <row r="35" spans="1:18" ht="18" customHeight="1">
      <c r="A35" s="1018"/>
      <c r="B35" s="1016"/>
      <c r="C35" s="26"/>
      <c r="D35" s="312"/>
      <c r="E35" s="288" t="s">
        <v>733</v>
      </c>
      <c r="F35" s="289">
        <f ca="1">INDIRECT("'数据-取费表'!r"&amp;$G$1)</f>
        <v>0</v>
      </c>
      <c r="G35" s="1270"/>
      <c r="H35" s="2445"/>
      <c r="I35" s="1283"/>
      <c r="J35" s="1284"/>
      <c r="K35" s="2449"/>
      <c r="L35" s="2448"/>
      <c r="M35" s="2448"/>
    </row>
    <row r="36" spans="1:18" ht="18" customHeight="1">
      <c r="A36" s="1017" t="s">
        <v>402</v>
      </c>
      <c r="B36" s="288" t="s">
        <v>735</v>
      </c>
      <c r="C36" s="21">
        <f ca="1">ROUND(C29*F36,0)</f>
        <v>7686</v>
      </c>
      <c r="D36" s="1234" t="s">
        <v>768</v>
      </c>
      <c r="E36" s="288" t="s">
        <v>709</v>
      </c>
      <c r="F36" s="313">
        <f ca="1">INDIRECT("'数据-取费表'!Ak"&amp;$G$1)</f>
        <v>2E-3</v>
      </c>
      <c r="G36" s="1270"/>
      <c r="H36" s="2448"/>
      <c r="I36" s="1283"/>
      <c r="J36" s="1284"/>
      <c r="K36" s="2308"/>
      <c r="L36" s="2448"/>
      <c r="M36" s="2448"/>
    </row>
    <row r="37" spans="1:18" ht="18" customHeight="1">
      <c r="A37" s="908" t="s">
        <v>437</v>
      </c>
      <c r="B37" s="288" t="s">
        <v>739</v>
      </c>
      <c r="C37" s="21">
        <f ca="1">ROUND(C13*F37,0)</f>
        <v>3728</v>
      </c>
      <c r="D37" s="1234" t="s">
        <v>740</v>
      </c>
      <c r="E37" s="288" t="s">
        <v>709</v>
      </c>
      <c r="F37" s="314">
        <f ca="1">INDIRECT("'数据-取费表'!Al"&amp;$G$1)</f>
        <v>1E-3</v>
      </c>
      <c r="G37" s="1270"/>
      <c r="H37" s="2448"/>
      <c r="I37" s="1283"/>
      <c r="J37" s="1284"/>
      <c r="K37" s="2308"/>
      <c r="L37" s="2448"/>
      <c r="M37" s="2448"/>
    </row>
    <row r="38" spans="1:18" ht="18" customHeight="1" thickBot="1">
      <c r="A38" s="1004" t="s">
        <v>680</v>
      </c>
      <c r="B38" s="1005" t="s">
        <v>725</v>
      </c>
      <c r="C38" s="1006">
        <f ca="1">ROUND(C5*F38,0)</f>
        <v>7404</v>
      </c>
      <c r="D38" s="1007" t="s">
        <v>745</v>
      </c>
      <c r="E38" s="1005" t="s">
        <v>709</v>
      </c>
      <c r="F38" s="1001">
        <f ca="1">INDIRECT("'数据-取费表'!Am"&amp;$G$1)</f>
        <v>0.01</v>
      </c>
      <c r="G38" s="1270"/>
      <c r="H38" s="2448"/>
      <c r="I38" s="1283"/>
      <c r="J38" s="1284"/>
      <c r="K38" s="2446"/>
      <c r="L38" s="2448"/>
      <c r="M38" s="2448"/>
    </row>
    <row r="39" spans="1:18" ht="24.6" customHeight="1" thickTop="1">
      <c r="A39" s="994" t="s">
        <v>394</v>
      </c>
      <c r="B39" s="1009" t="s">
        <v>749</v>
      </c>
      <c r="C39" s="296">
        <f ca="1">C5-C30</f>
        <v>597646</v>
      </c>
      <c r="D39" s="1010" t="s">
        <v>750</v>
      </c>
      <c r="E39" s="1011"/>
      <c r="F39" s="1012"/>
      <c r="G39" s="1270"/>
      <c r="H39" s="2448"/>
      <c r="I39" s="1283"/>
      <c r="J39" s="1284"/>
      <c r="K39" s="2446"/>
      <c r="L39" s="2448"/>
      <c r="M39" s="2448"/>
    </row>
    <row r="40" spans="1:18" ht="18" customHeight="1">
      <c r="A40" s="285" t="s">
        <v>395</v>
      </c>
      <c r="B40" s="286" t="s">
        <v>771</v>
      </c>
      <c r="C40" s="287">
        <f ca="1">ROUND(C39*(1-((1+F42)/(1+F40))^F41)/(F40-F42),0)</f>
        <v>11274601</v>
      </c>
      <c r="D40" s="309" t="s">
        <v>755</v>
      </c>
      <c r="E40" s="288" t="s">
        <v>756</v>
      </c>
      <c r="F40" s="298">
        <f ca="1">INDIRECT("'数据-取费表'!I"&amp;$G$1)</f>
        <v>5.5E-2</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32</v>
      </c>
      <c r="G41" s="1270"/>
      <c r="H41" s="115"/>
      <c r="I41" s="1283"/>
      <c r="J41" s="1284"/>
      <c r="K41" s="2308"/>
      <c r="L41" s="115"/>
      <c r="M41" s="115"/>
    </row>
    <row r="42" spans="1:18" ht="18" customHeight="1">
      <c r="A42" s="294"/>
      <c r="B42" s="295"/>
      <c r="C42" s="296"/>
      <c r="D42" s="312"/>
      <c r="E42" s="288" t="s">
        <v>763</v>
      </c>
      <c r="F42" s="298">
        <f ca="1">INDIRECT("'数据-取费表'!v"&amp;$G$1)</f>
        <v>0.02</v>
      </c>
      <c r="G42" s="1270"/>
      <c r="H42" s="115"/>
      <c r="I42" s="1283"/>
      <c r="J42" s="1284"/>
      <c r="K42" s="2308"/>
      <c r="L42" s="115"/>
      <c r="M42" s="115"/>
    </row>
    <row r="43" spans="1:18" ht="18" customHeight="1" thickBot="1">
      <c r="A43" s="318" t="s">
        <v>396</v>
      </c>
      <c r="B43" s="319" t="s">
        <v>773</v>
      </c>
      <c r="C43" s="320">
        <f ca="1">ROUND(C40/F43,0)</f>
        <v>20034</v>
      </c>
      <c r="D43" s="321" t="s">
        <v>774</v>
      </c>
      <c r="E43" s="322" t="s">
        <v>775</v>
      </c>
      <c r="F43" s="323">
        <f ca="1">INDIRECT("'数据-取费表'!k"&amp;$G$1)</f>
        <v>562.78</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3338</v>
      </c>
      <c r="B45" s="1285"/>
      <c r="C45" s="1354">
        <f ca="1">ROUND((C68-C40)/10000,4)</f>
        <v>-1144.4718</v>
      </c>
      <c r="D45" s="3102" t="s">
        <v>3339</v>
      </c>
      <c r="E45" s="1285"/>
      <c r="F45" s="1285"/>
      <c r="O45" s="1288" t="s">
        <v>805</v>
      </c>
      <c r="P45" s="1344"/>
      <c r="Q45" s="1344"/>
      <c r="R45" s="1344"/>
    </row>
    <row r="46" spans="1:18" s="1270" customFormat="1" ht="13.5" thickBot="1">
      <c r="A46" s="1289" t="s">
        <v>806</v>
      </c>
      <c r="C46" s="1290">
        <f ca="1">ROUND(C45,0)</f>
        <v>-1144</v>
      </c>
      <c r="D46" s="1291" t="str">
        <f>C2</f>
        <v>万元</v>
      </c>
      <c r="I46" s="1292" t="s">
        <v>807</v>
      </c>
      <c r="J46" s="1293"/>
      <c r="K46" s="1294"/>
      <c r="L46" s="1295">
        <f ca="1">IF(M47="住宅",0,IF(L48&gt;J51,L60,J60))</f>
        <v>164478</v>
      </c>
      <c r="O46" s="1296" t="s">
        <v>808</v>
      </c>
      <c r="P46" s="1297" t="s">
        <v>809</v>
      </c>
      <c r="Q46" s="1298" t="s">
        <v>810</v>
      </c>
      <c r="R46" s="1298" t="s">
        <v>811</v>
      </c>
    </row>
    <row r="47" spans="1:18" s="1270" customFormat="1" ht="13.5" thickBot="1">
      <c r="A47" s="872" t="s">
        <v>684</v>
      </c>
      <c r="B47" s="904" t="s">
        <v>685</v>
      </c>
      <c r="C47" s="904" t="s">
        <v>686</v>
      </c>
      <c r="D47" s="904" t="s">
        <v>687</v>
      </c>
      <c r="E47" s="974" t="s">
        <v>688</v>
      </c>
      <c r="F47" s="975"/>
      <c r="G47" s="671"/>
      <c r="I47" s="1299" t="s">
        <v>812</v>
      </c>
      <c r="J47" s="1300" t="s">
        <v>3421</v>
      </c>
      <c r="K47" s="1301" t="s">
        <v>813</v>
      </c>
      <c r="L47" s="1302">
        <f ca="1">INDIRECT("'数据-取费表'!d"&amp;$G$1)</f>
        <v>40</v>
      </c>
      <c r="M47" s="1266" t="str">
        <f>IF(ISNUMBER(FIND("住宅",C1)),"住宅","非住宅")</f>
        <v>非住宅</v>
      </c>
      <c r="O47" s="1303" t="s">
        <v>403</v>
      </c>
      <c r="P47" s="1304" t="s">
        <v>814</v>
      </c>
      <c r="Q47" s="1305">
        <f ca="1">C40+J29</f>
        <v>11274601</v>
      </c>
      <c r="R47" s="1305" t="s">
        <v>815</v>
      </c>
    </row>
    <row r="48" spans="1:18" s="1270" customFormat="1" ht="28.5" thickBot="1">
      <c r="A48" s="1025" t="s">
        <v>438</v>
      </c>
      <c r="B48" s="286" t="s">
        <v>689</v>
      </c>
      <c r="C48" s="1246">
        <f ca="1">C49+C53+C55</f>
        <v>0</v>
      </c>
      <c r="D48" s="1027"/>
      <c r="E48" s="1028"/>
      <c r="F48" s="888"/>
      <c r="G48" s="671"/>
      <c r="H48" s="672"/>
      <c r="I48" s="1306" t="s">
        <v>816</v>
      </c>
      <c r="J48" s="1307" t="s">
        <v>3422</v>
      </c>
      <c r="K48" s="1308" t="s">
        <v>817</v>
      </c>
      <c r="L48" s="1309">
        <f ca="1">INDIRECT("'数据-取费表'!f"&amp;$G$1)</f>
        <v>32</v>
      </c>
      <c r="O48" s="1303" t="s">
        <v>404</v>
      </c>
      <c r="P48" s="1304" t="s">
        <v>818</v>
      </c>
      <c r="Q48" s="1305">
        <f ca="1">J60</f>
        <v>164478</v>
      </c>
      <c r="R48" s="1305" t="s">
        <v>819</v>
      </c>
    </row>
    <row r="49" spans="1:18" s="1270" customFormat="1" ht="13.5" thickBot="1">
      <c r="A49" s="901" t="s">
        <v>439</v>
      </c>
      <c r="B49" s="1257" t="s">
        <v>776</v>
      </c>
      <c r="C49" s="1029">
        <f ca="1">ROUND(F49*F51*F50*(1-F52),0)</f>
        <v>0</v>
      </c>
      <c r="D49" s="971" t="s">
        <v>692</v>
      </c>
      <c r="E49" s="1258" t="s">
        <v>777</v>
      </c>
      <c r="F49" s="976"/>
      <c r="H49" s="672"/>
      <c r="I49" s="1306" t="s">
        <v>820</v>
      </c>
      <c r="J49" s="1310">
        <v>2023</v>
      </c>
      <c r="K49" s="1308" t="s">
        <v>821</v>
      </c>
      <c r="L49" s="1311"/>
      <c r="O49" s="1312" t="s">
        <v>405</v>
      </c>
      <c r="P49" s="1304" t="s">
        <v>822</v>
      </c>
      <c r="Q49" s="1305">
        <f ca="1">C29</f>
        <v>3843173</v>
      </c>
      <c r="R49" s="1305" t="s">
        <v>815</v>
      </c>
    </row>
    <row r="50" spans="1:18" s="1270" customFormat="1" ht="13.5" thickBot="1">
      <c r="A50" s="902"/>
      <c r="B50" s="905"/>
      <c r="C50" s="906"/>
      <c r="D50" s="879"/>
      <c r="E50" s="972" t="s">
        <v>694</v>
      </c>
      <c r="F50" s="973">
        <f ca="1">F7</f>
        <v>562.78</v>
      </c>
      <c r="H50" s="672"/>
      <c r="I50" s="1306" t="s">
        <v>823</v>
      </c>
      <c r="J50" s="1313">
        <f>SUMPRODUCT((I63:I65=J47)*(J62:L62=J48)*(J63:L65))</f>
        <v>60</v>
      </c>
      <c r="K50" s="1308" t="s">
        <v>824</v>
      </c>
      <c r="L50" s="1311"/>
      <c r="M50" s="1314"/>
      <c r="O50" s="1312" t="s">
        <v>406</v>
      </c>
      <c r="P50" s="1304" t="s">
        <v>825</v>
      </c>
      <c r="Q50" s="1315">
        <f ca="1">J58</f>
        <v>0.433</v>
      </c>
      <c r="R50" s="1305"/>
    </row>
    <row r="51" spans="1:18" s="1270" customFormat="1" ht="13.5" thickBot="1">
      <c r="A51" s="903"/>
      <c r="B51" s="905"/>
      <c r="C51" s="906"/>
      <c r="D51" s="879"/>
      <c r="E51" s="907" t="s">
        <v>695</v>
      </c>
      <c r="F51" s="289">
        <f ca="1">F8</f>
        <v>365</v>
      </c>
      <c r="I51" s="1316" t="s">
        <v>826</v>
      </c>
      <c r="J51" s="1309">
        <f>IF(J49="",J50,J49+J50-YEAR('数据-取费表'!B2))</f>
        <v>58</v>
      </c>
      <c r="K51" s="1317" t="s">
        <v>827</v>
      </c>
      <c r="L51" s="1318">
        <f ca="1">ROUND(-PV(INDIRECT("'数据-取费表'!h"&amp;$G$1),J51,(C39-C13*C76),0),0)</f>
        <v>6336437</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f ca="1">J53</f>
        <v>32</v>
      </c>
      <c r="R52" s="1305" t="s">
        <v>832</v>
      </c>
    </row>
    <row r="53" spans="1:18" s="1270" customFormat="1" ht="30.75" customHeight="1" thickBot="1">
      <c r="A53" s="1026" t="s">
        <v>440</v>
      </c>
      <c r="B53" s="308" t="s">
        <v>697</v>
      </c>
      <c r="C53" s="302">
        <f ca="1">ROUND(IF(F53="押一",C49/12*F11,IF(F53="押二",C49/12*2*F11,IF(F53="押三",C49/12*3*F11,C54*F11))),0)</f>
        <v>0</v>
      </c>
      <c r="D53" s="144" t="s">
        <v>2116</v>
      </c>
      <c r="E53" s="299" t="s">
        <v>698</v>
      </c>
      <c r="F53" s="1031"/>
      <c r="I53" s="1322" t="s">
        <v>833</v>
      </c>
      <c r="J53" s="1983">
        <f ca="1">IF(M47="住宅",IF(D1="——",MAX(J51,L48),MAX(J51,L48-'数据-取费表'!B24)),IF(D1="——",MIN(J51,L48),MIN(J51,L48-'数据-取费表'!B24)))</f>
        <v>32</v>
      </c>
      <c r="K53" s="3339" t="s">
        <v>834</v>
      </c>
      <c r="L53" s="3340"/>
      <c r="O53" s="1303" t="s">
        <v>409</v>
      </c>
      <c r="P53" s="1304" t="s">
        <v>835</v>
      </c>
      <c r="Q53" s="1305">
        <f ca="1">Q47+Q48</f>
        <v>11439079</v>
      </c>
      <c r="R53" s="1305" t="s">
        <v>410</v>
      </c>
    </row>
    <row r="54" spans="1:18" s="1270" customFormat="1" ht="13.5" thickBot="1">
      <c r="A54" s="901"/>
      <c r="B54" s="1355" t="s">
        <v>888</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f ca="1">ROUND(IF(J47="钢混",J57/J50,1-(1-2%)*(J50-J57)/J50),3)</f>
        <v>0.433</v>
      </c>
      <c r="K55" s="1328" t="s">
        <v>838</v>
      </c>
      <c r="L55" s="1329"/>
      <c r="O55" s="1296" t="s">
        <v>808</v>
      </c>
      <c r="P55" s="1297" t="s">
        <v>809</v>
      </c>
      <c r="Q55" s="1298" t="s">
        <v>810</v>
      </c>
      <c r="R55" s="1298" t="s">
        <v>811</v>
      </c>
    </row>
    <row r="56" spans="1:18" s="1270" customFormat="1" ht="36" customHeight="1" thickTop="1" thickBot="1">
      <c r="A56" s="883">
        <v>2</v>
      </c>
      <c r="B56" s="884" t="s">
        <v>701</v>
      </c>
      <c r="C56" s="218">
        <f ca="1">C13</f>
        <v>3727878</v>
      </c>
      <c r="D56" s="1330"/>
      <c r="E56" s="1331"/>
      <c r="F56" s="1323"/>
      <c r="I56" s="1332" t="s">
        <v>839</v>
      </c>
      <c r="J56" s="1333" t="s">
        <v>3423</v>
      </c>
      <c r="K56" s="1306" t="s">
        <v>840</v>
      </c>
      <c r="L56" s="1309" t="str">
        <f ca="1">IF(L48&lt;J51,"——",L48-J51)</f>
        <v>——</v>
      </c>
      <c r="O56" s="1303" t="s">
        <v>403</v>
      </c>
      <c r="P56" s="1304" t="s">
        <v>814</v>
      </c>
      <c r="Q56" s="1305">
        <f ca="1">C40+J29</f>
        <v>11274601</v>
      </c>
      <c r="R56" s="1305" t="s">
        <v>815</v>
      </c>
    </row>
    <row r="57" spans="1:18" s="1270" customFormat="1" ht="24.75" thickBot="1">
      <c r="A57" s="1334"/>
      <c r="B57" s="876" t="s">
        <v>764</v>
      </c>
      <c r="C57" s="224">
        <f ca="1">C29</f>
        <v>3843173</v>
      </c>
      <c r="D57" s="1335"/>
      <c r="E57" s="1336"/>
      <c r="F57" s="1337"/>
      <c r="I57" s="1338" t="s">
        <v>841</v>
      </c>
      <c r="J57" s="1339">
        <f ca="1">IF(OR(M47="住宅",J51&lt;L48,J56="是"),"——",J51-L48)</f>
        <v>26</v>
      </c>
      <c r="K57" s="1306" t="s">
        <v>889</v>
      </c>
      <c r="L57" s="1309" t="str">
        <f ca="1">IF(L48&lt;J51,"——",IF(L55="比较法",L49,IF(L55="基准地价",L50,L51)))</f>
        <v>——</v>
      </c>
      <c r="O57" s="1303" t="s">
        <v>404</v>
      </c>
      <c r="P57" s="1304" t="s">
        <v>843</v>
      </c>
      <c r="Q57" s="1305">
        <f ca="1">L60</f>
        <v>0</v>
      </c>
      <c r="R57" s="1305" t="s">
        <v>844</v>
      </c>
    </row>
    <row r="58" spans="1:18" s="1270" customFormat="1" ht="24.75" thickBot="1">
      <c r="A58" s="301" t="s">
        <v>393</v>
      </c>
      <c r="B58" s="884" t="s">
        <v>711</v>
      </c>
      <c r="C58" s="302">
        <f ca="1">ROUND(C59+C64+C65+C66,0)</f>
        <v>11414</v>
      </c>
      <c r="D58" s="886" t="s">
        <v>712</v>
      </c>
      <c r="E58" s="887"/>
      <c r="F58" s="888"/>
      <c r="I58" s="1338" t="s">
        <v>845</v>
      </c>
      <c r="J58" s="1340">
        <f ca="1">IF(J55&lt;0.4,0.4,J55)</f>
        <v>0.433</v>
      </c>
      <c r="K58" s="1317" t="s">
        <v>892</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0</v>
      </c>
      <c r="D59" s="889" t="s">
        <v>717</v>
      </c>
      <c r="E59" s="890" t="s">
        <v>718</v>
      </c>
      <c r="F59" s="2116">
        <f ca="1">IF(项目基本情况!B11="企业","——",IF('数据-取费表'!B10="住宅",IF(F49*F50*F51/12/(1+'数据-取费表'!F30)&gt;100000,4%,2.5%),IF(F49*F50*F51/12/(1+'数据-取费表'!F30)&gt;100000,12%,7%)))</f>
        <v>7.0000000000000007E-2</v>
      </c>
      <c r="I59" s="1338" t="s">
        <v>848</v>
      </c>
      <c r="J59" s="1339">
        <f ca="1">IF(OR(M47="住宅",J51&lt;L48,J56="是"),"——",ROUND(C29*J58,0))</f>
        <v>1664094</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IF(项目基本情况!B11="自然人","——",ROUND(C48*F60/(1+'数据-取费表'!C42),0))</f>
        <v>0</v>
      </c>
      <c r="D60" s="890" t="s">
        <v>721</v>
      </c>
      <c r="E60" s="876" t="s">
        <v>709</v>
      </c>
      <c r="F60" s="315">
        <f t="shared" ref="F60:F66" si="0">F32</f>
        <v>5.6000000000000001E-2</v>
      </c>
      <c r="I60" s="1341" t="s">
        <v>850</v>
      </c>
      <c r="J60" s="1342">
        <f ca="1">IF(OR(M47="住宅",J51&lt;L48,J56="是"),"0",ROUND(J59/(1+J52)^J53,0))</f>
        <v>164478</v>
      </c>
      <c r="K60" s="1343" t="s">
        <v>851</v>
      </c>
      <c r="L60" s="1342">
        <f ca="1">IF(OR(M47="住宅",L48&lt;J51),0,ROUND(L57*(L58/L59-1),0))</f>
        <v>0</v>
      </c>
      <c r="O60" s="1312" t="s">
        <v>407</v>
      </c>
      <c r="P60" s="1304" t="s">
        <v>852</v>
      </c>
      <c r="Q60" s="1305" t="e">
        <f ca="1">L58</f>
        <v>#DIV/0!</v>
      </c>
      <c r="R60" s="1305" t="s">
        <v>853</v>
      </c>
    </row>
    <row r="61" spans="1:18" s="1270" customFormat="1" ht="13.5" thickBot="1">
      <c r="A61" s="908" t="s">
        <v>778</v>
      </c>
      <c r="B61" s="876" t="s">
        <v>724</v>
      </c>
      <c r="C61" s="21">
        <f ca="1">IF(项目基本情况!B11="自然人","——",IF(D61="按租金收入计税",ROUND(C49*F61/(1+'数据-取费表'!C42),0),IF(D61="按房产原值计税",ROUND(C57*F61*0.7,0),INDIRECT("'数据-取费表'!Aj"&amp;$G$1))))</f>
        <v>0</v>
      </c>
      <c r="D61" s="1256" t="s">
        <v>3322</v>
      </c>
      <c r="E61" s="876" t="s">
        <v>709</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727</v>
      </c>
      <c r="C62" s="22">
        <f ca="1">IF(项目基本情况!B11="自然人","——",ROUND(F62*F63,0))</f>
        <v>0</v>
      </c>
      <c r="D62" s="891" t="s">
        <v>728</v>
      </c>
      <c r="E62" s="876" t="s">
        <v>729</v>
      </c>
      <c r="F62" s="310">
        <f t="shared" si="0"/>
        <v>1.5</v>
      </c>
      <c r="I62" s="1345" t="s">
        <v>855</v>
      </c>
      <c r="J62" s="603" t="s">
        <v>856</v>
      </c>
      <c r="K62" s="603" t="s">
        <v>857</v>
      </c>
      <c r="L62" s="603" t="s">
        <v>858</v>
      </c>
      <c r="M62" s="1346" t="s">
        <v>859</v>
      </c>
      <c r="O62" s="1303" t="s">
        <v>409</v>
      </c>
      <c r="P62" s="1304" t="s">
        <v>835</v>
      </c>
      <c r="Q62" s="1305">
        <f ca="1">Q56+Q57</f>
        <v>11274601</v>
      </c>
      <c r="R62" s="1305" t="s">
        <v>410</v>
      </c>
    </row>
    <row r="63" spans="1:18" s="1270" customFormat="1" ht="13.5" thickBot="1">
      <c r="A63" s="311"/>
      <c r="B63" s="882"/>
      <c r="C63" s="26"/>
      <c r="D63" s="892"/>
      <c r="E63" s="876" t="s">
        <v>733</v>
      </c>
      <c r="F63" s="289">
        <f t="shared" ca="1" si="0"/>
        <v>0</v>
      </c>
      <c r="I63" s="1345" t="s">
        <v>861</v>
      </c>
      <c r="J63" s="603">
        <v>70</v>
      </c>
      <c r="K63" s="603">
        <v>50</v>
      </c>
      <c r="L63" s="603">
        <v>80</v>
      </c>
      <c r="M63" s="1347">
        <v>0.02</v>
      </c>
      <c r="O63" s="1288" t="s">
        <v>862</v>
      </c>
      <c r="P63" s="1267"/>
      <c r="Q63" s="1267"/>
      <c r="R63" s="1267"/>
    </row>
    <row r="64" spans="1:18" s="1270" customFormat="1" ht="13.5" thickBot="1">
      <c r="A64" s="908" t="s">
        <v>402</v>
      </c>
      <c r="B64" s="876" t="s">
        <v>735</v>
      </c>
      <c r="C64" s="21">
        <f ca="1">ROUND(C57*F64,0)</f>
        <v>7686</v>
      </c>
      <c r="D64" s="890" t="s">
        <v>768</v>
      </c>
      <c r="E64" s="876" t="s">
        <v>709</v>
      </c>
      <c r="F64" s="313">
        <f t="shared" ca="1" si="0"/>
        <v>2E-3</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ROUND(C56*F65,0)</f>
        <v>3728</v>
      </c>
      <c r="D65" s="890" t="s">
        <v>740</v>
      </c>
      <c r="E65" s="876" t="s">
        <v>709</v>
      </c>
      <c r="F65" s="314">
        <f t="shared" ca="1" si="0"/>
        <v>1E-3</v>
      </c>
      <c r="I65" s="1345" t="s">
        <v>864</v>
      </c>
      <c r="J65" s="603">
        <v>40</v>
      </c>
      <c r="K65" s="603">
        <v>30</v>
      </c>
      <c r="L65" s="603">
        <v>50</v>
      </c>
      <c r="M65" s="1347">
        <v>0.02</v>
      </c>
      <c r="O65" s="1303" t="s">
        <v>403</v>
      </c>
      <c r="P65" s="1304" t="s">
        <v>814</v>
      </c>
      <c r="Q65" s="1305">
        <f ca="1">C40+J29</f>
        <v>11274601</v>
      </c>
      <c r="R65" s="1305" t="s">
        <v>815</v>
      </c>
    </row>
    <row r="66" spans="1:18" s="1270" customFormat="1" ht="16.5" thickBot="1">
      <c r="A66" s="908" t="s">
        <v>790</v>
      </c>
      <c r="B66" s="876" t="s">
        <v>725</v>
      </c>
      <c r="C66" s="21">
        <f ca="1">ROUND(C48*F66,0)</f>
        <v>0</v>
      </c>
      <c r="D66" s="890" t="s">
        <v>745</v>
      </c>
      <c r="E66" s="876" t="s">
        <v>709</v>
      </c>
      <c r="F66" s="298">
        <f t="shared" ca="1" si="0"/>
        <v>0.01</v>
      </c>
      <c r="O66" s="1303" t="s">
        <v>404</v>
      </c>
      <c r="P66" s="1304" t="s">
        <v>843</v>
      </c>
      <c r="Q66" s="1305">
        <f ca="1">L60</f>
        <v>0</v>
      </c>
      <c r="R66" s="1305" t="s">
        <v>866</v>
      </c>
    </row>
    <row r="67" spans="1:18" s="1270" customFormat="1" ht="16.5" thickBot="1">
      <c r="A67" s="883" t="s">
        <v>394</v>
      </c>
      <c r="B67" s="893" t="s">
        <v>749</v>
      </c>
      <c r="C67" s="302">
        <f ca="1">C48-C58</f>
        <v>-11414</v>
      </c>
      <c r="D67" s="889" t="s">
        <v>750</v>
      </c>
      <c r="E67" s="894"/>
      <c r="F67" s="895"/>
      <c r="O67" s="1312" t="s">
        <v>405</v>
      </c>
      <c r="P67" s="1304" t="s">
        <v>847</v>
      </c>
      <c r="Q67" s="1348">
        <f ca="1">L51</f>
        <v>6336437</v>
      </c>
      <c r="R67" s="1305" t="s">
        <v>867</v>
      </c>
    </row>
    <row r="68" spans="1:18" s="1270" customFormat="1" ht="16.5" thickBot="1">
      <c r="A68" s="873" t="s">
        <v>395</v>
      </c>
      <c r="B68" s="874" t="s">
        <v>771</v>
      </c>
      <c r="C68" s="287">
        <f ca="1">ROUND(C67*(1-((1+F70)/(1+F68))^F69)/(F68-F70),0)</f>
        <v>-170117</v>
      </c>
      <c r="D68" s="891" t="s">
        <v>755</v>
      </c>
      <c r="E68" s="876" t="s">
        <v>756</v>
      </c>
      <c r="F68" s="298">
        <f ca="1">F40</f>
        <v>5.5E-2</v>
      </c>
      <c r="O68" s="1312" t="s">
        <v>406</v>
      </c>
      <c r="P68" s="1349" t="s">
        <v>868</v>
      </c>
      <c r="Q68" s="1305">
        <f ca="1">ROUND(Q69-Q70*Q71,0)</f>
        <v>336695</v>
      </c>
      <c r="R68" s="1305" t="s">
        <v>414</v>
      </c>
    </row>
    <row r="69" spans="1:18" s="1270" customFormat="1" ht="13.5" thickBot="1">
      <c r="A69" s="877"/>
      <c r="B69" s="878"/>
      <c r="C69" s="292"/>
      <c r="D69" s="896" t="s">
        <v>759</v>
      </c>
      <c r="E69" s="876" t="s">
        <v>760</v>
      </c>
      <c r="F69" s="317">
        <f ca="1">F41</f>
        <v>32</v>
      </c>
      <c r="O69" s="1312" t="s">
        <v>411</v>
      </c>
      <c r="P69" s="1349" t="s">
        <v>869</v>
      </c>
      <c r="Q69" s="1305">
        <f ca="1">C39</f>
        <v>597646</v>
      </c>
      <c r="R69" s="1305" t="s">
        <v>815</v>
      </c>
    </row>
    <row r="70" spans="1:18" s="1270" customFormat="1" ht="13.5" thickBot="1">
      <c r="A70" s="880"/>
      <c r="B70" s="881"/>
      <c r="C70" s="296"/>
      <c r="D70" s="892"/>
      <c r="E70" s="876" t="s">
        <v>763</v>
      </c>
      <c r="F70" s="970"/>
      <c r="O70" s="1312" t="s">
        <v>412</v>
      </c>
      <c r="P70" s="1349" t="s">
        <v>870</v>
      </c>
      <c r="Q70" s="1305">
        <f ca="1">C13</f>
        <v>3727878</v>
      </c>
      <c r="R70" s="1305" t="s">
        <v>815</v>
      </c>
    </row>
    <row r="71" spans="1:18" s="1270" customFormat="1" ht="13.5" thickBot="1">
      <c r="A71" s="897" t="s">
        <v>396</v>
      </c>
      <c r="B71" s="898" t="s">
        <v>773</v>
      </c>
      <c r="C71" s="320">
        <f ca="1">ROUND(C68/F71,0)</f>
        <v>-302</v>
      </c>
      <c r="D71" s="899" t="s">
        <v>774</v>
      </c>
      <c r="E71" s="900" t="s">
        <v>775</v>
      </c>
      <c r="F71" s="323">
        <f ca="1">F43</f>
        <v>562.78</v>
      </c>
      <c r="O71" s="1312" t="s">
        <v>413</v>
      </c>
      <c r="P71" s="1349" t="s">
        <v>871</v>
      </c>
      <c r="Q71" s="1315">
        <f ca="1">C76</f>
        <v>7.0000000000000007E-2</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260951</v>
      </c>
      <c r="D75" s="1270"/>
      <c r="E75" s="1270"/>
      <c r="F75" s="1270"/>
      <c r="K75" s="1287"/>
      <c r="L75" s="1270"/>
      <c r="O75" s="1303" t="s">
        <v>409</v>
      </c>
      <c r="P75" s="1304" t="s">
        <v>835</v>
      </c>
      <c r="Q75" s="1305">
        <f ca="1">Q65+Q66</f>
        <v>11274601</v>
      </c>
      <c r="R75" s="1305" t="s">
        <v>410</v>
      </c>
    </row>
    <row r="76" spans="1:18">
      <c r="B76" s="326" t="s">
        <v>793</v>
      </c>
      <c r="C76" s="327">
        <f ca="1">INDIRECT("'数据-取费表'!j"&amp;$G$1)</f>
        <v>7.0000000000000007E-2</v>
      </c>
      <c r="I76" s="1270"/>
      <c r="J76" s="1270"/>
      <c r="K76" s="1287"/>
      <c r="L76" s="1270"/>
    </row>
    <row r="77" spans="1:18">
      <c r="B77" s="328" t="s">
        <v>794</v>
      </c>
      <c r="C77" s="329"/>
      <c r="I77" s="1270"/>
      <c r="J77" s="1270"/>
      <c r="K77" s="1287"/>
      <c r="L77" s="1270"/>
    </row>
    <row r="78" spans="1:18">
      <c r="B78" s="256" t="s">
        <v>795</v>
      </c>
      <c r="C78" s="330"/>
    </row>
    <row r="79" spans="1:18">
      <c r="B79" s="324" t="s">
        <v>796</v>
      </c>
      <c r="C79" s="260">
        <f ca="1">1-C80</f>
        <v>0.56299999999999994</v>
      </c>
    </row>
    <row r="80" spans="1:18">
      <c r="B80" s="324" t="s">
        <v>797</v>
      </c>
      <c r="C80" s="260">
        <f ca="1">ROUND(C75/C39,3)</f>
        <v>0.437</v>
      </c>
    </row>
    <row r="81" spans="2:3">
      <c r="B81" s="256" t="s">
        <v>798</v>
      </c>
      <c r="C81" s="224"/>
    </row>
    <row r="82" spans="2:3">
      <c r="B82" s="259" t="s">
        <v>799</v>
      </c>
      <c r="C82" s="261">
        <f ca="1">1-C83</f>
        <v>0.66900000000000004</v>
      </c>
    </row>
    <row r="83" spans="2:3">
      <c r="B83" s="259" t="s">
        <v>800</v>
      </c>
      <c r="C83" s="260">
        <f ca="1">ROUND(C13/C40,3)</f>
        <v>0.33100000000000002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xr:uid="{72A69D79-6B4A-4D77-8D06-0E1D5ECA5917}">
      <formula1>"比较法,基准地价,收益还原"</formula1>
    </dataValidation>
    <dataValidation type="list" allowBlank="1" showInputMessage="1" showErrorMessage="1" sqref="J56" xr:uid="{46049116-D38C-48BC-97DE-523B79E80728}">
      <formula1>估价范围判定</formula1>
    </dataValidation>
    <dataValidation type="list" allowBlank="1" showInputMessage="1" showErrorMessage="1" sqref="J48" xr:uid="{6C42C103-92F1-4793-87A0-82019730CD2F}">
      <formula1>"非生产用房,生产用房,受腐蚀的生产用房"</formula1>
    </dataValidation>
    <dataValidation type="list" allowBlank="1" showInputMessage="1" showErrorMessage="1" sqref="J47" xr:uid="{F0C129F1-0F05-4B77-A9EE-837A280918BF}">
      <formula1>"钢,钢混,砖混"</formula1>
    </dataValidation>
    <dataValidation type="list" allowBlank="1" showInputMessage="1" showErrorMessage="1" sqref="C1" xr:uid="{EFF9B608-6F0D-489A-AA62-B99712F91A24}">
      <formula1>项目类型</formula1>
    </dataValidation>
    <dataValidation type="list" allowBlank="1" showInputMessage="1" showErrorMessage="1" sqref="D33 D61" xr:uid="{FA05C1EA-5012-4598-B0BA-F99DCFCC6E33}">
      <formula1>"按租金收入计税,按房产原值计税,按票据"</formula1>
    </dataValidation>
    <dataValidation type="list" allowBlank="1" showInputMessage="1" showErrorMessage="1" sqref="K19" xr:uid="{5A1C4A12-8328-40B3-9256-6F929AA48870}">
      <formula1>"按租金收入计税,按房产原值计税"</formula1>
    </dataValidation>
    <dataValidation type="list" allowBlank="1" showInputMessage="1" showErrorMessage="1" sqref="F10 F53 M10" xr:uid="{0DE57ACC-4B26-4433-837B-DCA02BDB93E3}">
      <formula1>"押一,押二,押三,自定义"</formula1>
    </dataValidation>
    <dataValidation type="list" allowBlank="1" showInputMessage="1" showErrorMessage="1" sqref="D1" xr:uid="{77F51907-9C23-4700-BCFA-FAB37E49D11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895</v>
      </c>
    </row>
    <row r="3" spans="1:1" ht="18">
      <c r="A3" s="1359" t="str">
        <f>项目基本情况!B5&amp;"："</f>
        <v>：</v>
      </c>
    </row>
    <row r="4" spans="1:1" ht="18">
      <c r="A4" s="1360" t="str">
        <f>"受贵公司委托，我公司对"&amp;项目基本情况!S1&amp;"进行了预评估。"</f>
        <v>受贵公司委托，我公司对房地产抵押价值进行了预评估。</v>
      </c>
    </row>
    <row r="5" spans="1:1" ht="18.75">
      <c r="A5" s="1361" t="s">
        <v>896</v>
      </c>
    </row>
    <row r="6" spans="1:1" ht="18.75">
      <c r="A6" s="1362" t="s">
        <v>897</v>
      </c>
    </row>
    <row r="7" spans="1:1" ht="36">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估价对象为房地产，为所有。根据《国有土地使用证》[]，估价对象（分摊）出让国有建设用地使用权面积为0平方米，建筑面积为3532.06平方米。</v>
      </c>
    </row>
    <row r="8" spans="1:1" ht="57.75">
      <c r="A8" s="1363" t="s">
        <v>898</v>
      </c>
    </row>
    <row r="9" spans="1:1" ht="18.75">
      <c r="A9" s="1362" t="s">
        <v>899</v>
      </c>
    </row>
    <row r="10" spans="1:1" ht="54">
      <c r="A10" s="136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估价对象为房地产,属开发建设的，该项目尚在开发建设中。根据《国有土地使用证》[]，估价对象（分摊）出让国有建设用地使用权面积为0平方米，规划建筑面积为3532.06平方米。</v>
      </c>
    </row>
    <row r="11" spans="1:1" ht="76.5">
      <c r="A11" s="1363" t="s">
        <v>900</v>
      </c>
    </row>
    <row r="12" spans="1:1" ht="18.75">
      <c r="A12" s="1361" t="s">
        <v>901</v>
      </c>
    </row>
    <row r="13" spans="1:1" ht="38.25" customHeight="1">
      <c r="A13" s="136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902</v>
      </c>
    </row>
    <row r="15" spans="1:1" ht="18">
      <c r="A15" s="1364" t="str">
        <f>TEXT(项目基本情况!D3,"yyyy年m月d日;;")&amp;IF(项目基本情况!D3=项目基本情况!B3,"（评估专业人员实地查勘之日）","")</f>
        <v>2025年3月11日（评估专业人员实地查勘之日）</v>
      </c>
    </row>
    <row r="16" spans="1:1" ht="18.75">
      <c r="A16" s="1359" t="s">
        <v>903</v>
      </c>
    </row>
    <row r="17" spans="1:1" ht="75">
      <c r="A17" s="1360" t="s">
        <v>904</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893</v>
      </c>
    </row>
    <row r="24" spans="1:1" ht="18">
      <c r="A24" s="1365" t="str">
        <f>"本次评估采用的主估价方法为"&amp;'结果表-商业'!K4&amp;"和"&amp;'结果表-商业'!L4&amp;"。"</f>
        <v>本次评估采用的主估价方法为比较法和收益法。</v>
      </c>
    </row>
    <row r="25" spans="1:1" ht="18">
      <c r="A25" s="1365"/>
    </row>
    <row r="26" spans="1:1" ht="18.75">
      <c r="A26" s="1366"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29D9-8B30-41A9-9806-2AB88D58C8F9}">
  <sheetPr>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t="s">
        <v>21</v>
      </c>
      <c r="D1" s="636"/>
      <c r="E1" s="636"/>
      <c r="F1" s="1598" t="s">
        <v>1260</v>
      </c>
      <c r="G1" s="1431" t="s">
        <v>3431</v>
      </c>
      <c r="H1" s="1598" t="str">
        <f>IF(G1="现房","——","估价对象范围")</f>
        <v>——</v>
      </c>
      <c r="I1" s="1599" t="s">
        <v>3432</v>
      </c>
    </row>
    <row r="2" spans="1:12" ht="21.75" customHeight="1" thickBot="1">
      <c r="A2" s="3276" t="str">
        <f>项目基本情况!S2</f>
        <v>房地产</v>
      </c>
      <c r="B2" s="3277"/>
      <c r="C2" s="3277"/>
      <c r="D2" s="3277"/>
      <c r="E2" s="3277"/>
      <c r="F2" s="3277"/>
      <c r="G2" s="3277"/>
      <c r="H2" s="3277"/>
      <c r="I2" s="3278"/>
    </row>
    <row r="3" spans="1:12" ht="12.75">
      <c r="A3" s="3280" t="s">
        <v>1261</v>
      </c>
      <c r="B3" s="3281"/>
      <c r="C3" s="3281"/>
      <c r="D3" s="3281"/>
      <c r="E3" s="3281"/>
      <c r="F3" s="3281"/>
      <c r="G3" s="3281"/>
      <c r="H3" s="3281"/>
      <c r="I3" s="3281"/>
    </row>
    <row r="4" spans="1:12" ht="14.25">
      <c r="A4" s="1601" t="s">
        <v>1262</v>
      </c>
      <c r="B4" s="1602" t="s">
        <v>1263</v>
      </c>
      <c r="C4" s="1603" t="s">
        <v>3445</v>
      </c>
      <c r="D4" s="1603" t="s">
        <v>3414</v>
      </c>
      <c r="E4" s="3282" t="s">
        <v>1264</v>
      </c>
      <c r="F4" s="3283"/>
      <c r="G4" s="3283"/>
      <c r="H4" s="3283"/>
      <c r="I4" s="3284"/>
      <c r="K4" s="132" t="str">
        <f>IF(ISNUMBER(FIND("比较法",'结果表-办公'!C4)),"比较法",IF(ISNUMBER(FIND("成本法",'结果表-办公'!C4)),"成本法",IF(ISNUMBER(FIND("假设开发法",'结果表-办公'!C4)),"假设开发法",IF(ISNUMBER(FIND("收益法",'结果表-办公'!C4)),"收益法","基准地价系数修正法"))))</f>
        <v>比较法</v>
      </c>
      <c r="L4" s="1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56" t="s">
        <v>1265</v>
      </c>
      <c r="B5" s="3243">
        <v>25</v>
      </c>
      <c r="C5" s="3259"/>
      <c r="D5" s="3279"/>
      <c r="E5" s="117" t="s">
        <v>1266</v>
      </c>
      <c r="F5" s="1604"/>
      <c r="G5" s="1604"/>
      <c r="H5" s="1604"/>
      <c r="I5" s="1259"/>
    </row>
    <row r="6" spans="1:12" ht="12.75">
      <c r="A6" s="3256"/>
      <c r="B6" s="3243"/>
      <c r="C6" s="3260"/>
      <c r="D6" s="3279"/>
      <c r="E6" s="117" t="s">
        <v>1267</v>
      </c>
      <c r="F6" s="1604"/>
      <c r="G6" s="1604"/>
      <c r="H6" s="1604"/>
      <c r="I6" s="1259"/>
    </row>
    <row r="7" spans="1:12" ht="12.75">
      <c r="A7" s="3256"/>
      <c r="B7" s="3243"/>
      <c r="C7" s="3261"/>
      <c r="D7" s="3279"/>
      <c r="E7" s="117" t="s">
        <v>1268</v>
      </c>
      <c r="F7" s="1604"/>
      <c r="G7" s="1604"/>
      <c r="H7" s="1604"/>
      <c r="I7" s="1259"/>
    </row>
    <row r="8" spans="1:12" ht="12.75">
      <c r="A8" s="3256" t="s">
        <v>1269</v>
      </c>
      <c r="B8" s="3243">
        <v>15</v>
      </c>
      <c r="C8" s="3259"/>
      <c r="D8" s="3279"/>
      <c r="E8" s="117" t="s">
        <v>1270</v>
      </c>
      <c r="F8" s="1604"/>
      <c r="G8" s="1604"/>
      <c r="H8" s="1604"/>
      <c r="I8" s="1259"/>
    </row>
    <row r="9" spans="1:12" ht="12.75">
      <c r="A9" s="3256"/>
      <c r="B9" s="3243"/>
      <c r="C9" s="3261"/>
      <c r="D9" s="3279"/>
      <c r="E9" s="117" t="s">
        <v>1271</v>
      </c>
      <c r="F9" s="1604"/>
      <c r="G9" s="1604"/>
      <c r="H9" s="1604"/>
      <c r="I9" s="1259"/>
    </row>
    <row r="10" spans="1:12" ht="12.75">
      <c r="A10" s="3256" t="s">
        <v>1272</v>
      </c>
      <c r="B10" s="3243">
        <v>15</v>
      </c>
      <c r="C10" s="3259"/>
      <c r="D10" s="3279"/>
      <c r="E10" s="117" t="s">
        <v>1273</v>
      </c>
      <c r="F10" s="1604"/>
      <c r="G10" s="1604"/>
      <c r="H10" s="1604"/>
      <c r="I10" s="1259"/>
    </row>
    <row r="11" spans="1:12" ht="12.75">
      <c r="A11" s="3256"/>
      <c r="B11" s="3243"/>
      <c r="C11" s="3261"/>
      <c r="D11" s="3279"/>
      <c r="E11" s="117" t="s">
        <v>1274</v>
      </c>
      <c r="F11" s="1604"/>
      <c r="G11" s="1604"/>
      <c r="H11" s="1604"/>
      <c r="I11" s="1259"/>
    </row>
    <row r="12" spans="1:12" ht="12.75">
      <c r="A12" s="3256" t="s">
        <v>1275</v>
      </c>
      <c r="B12" s="3243">
        <v>15</v>
      </c>
      <c r="C12" s="3259"/>
      <c r="D12" s="3279"/>
      <c r="E12" s="117" t="s">
        <v>1276</v>
      </c>
      <c r="F12" s="1604"/>
      <c r="G12" s="1604"/>
      <c r="H12" s="1604"/>
      <c r="I12" s="1259"/>
    </row>
    <row r="13" spans="1:12" ht="12.75">
      <c r="A13" s="3256"/>
      <c r="B13" s="3243"/>
      <c r="C13" s="3261"/>
      <c r="D13" s="3279"/>
      <c r="E13" s="117" t="s">
        <v>1277</v>
      </c>
      <c r="F13" s="1604"/>
      <c r="G13" s="1604"/>
      <c r="H13" s="1604"/>
      <c r="I13" s="1259"/>
    </row>
    <row r="14" spans="1:12" ht="12.75">
      <c r="A14" s="3256" t="s">
        <v>1278</v>
      </c>
      <c r="B14" s="3243">
        <v>30</v>
      </c>
      <c r="C14" s="3259">
        <v>5</v>
      </c>
      <c r="D14" s="3279">
        <v>5</v>
      </c>
      <c r="E14" s="117" t="s">
        <v>1279</v>
      </c>
      <c r="F14" s="1604"/>
      <c r="G14" s="1604"/>
      <c r="H14" s="1604"/>
      <c r="I14" s="1259"/>
    </row>
    <row r="15" spans="1:12" ht="12.75">
      <c r="A15" s="3256"/>
      <c r="B15" s="3243"/>
      <c r="C15" s="3260"/>
      <c r="D15" s="3279"/>
      <c r="E15" s="117" t="s">
        <v>1280</v>
      </c>
      <c r="F15" s="1604"/>
      <c r="G15" s="1604"/>
      <c r="H15" s="1604"/>
      <c r="I15" s="1259"/>
    </row>
    <row r="16" spans="1:12" ht="12.75">
      <c r="A16" s="3256"/>
      <c r="B16" s="3243"/>
      <c r="C16" s="3261"/>
      <c r="D16" s="3279"/>
      <c r="E16" s="117" t="s">
        <v>1281</v>
      </c>
      <c r="F16" s="1604"/>
      <c r="G16" s="1604"/>
      <c r="H16" s="1604"/>
      <c r="I16" s="1259"/>
    </row>
    <row r="17" spans="1:36" ht="15">
      <c r="A17" s="1605" t="s">
        <v>1282</v>
      </c>
      <c r="B17" s="54"/>
      <c r="C17" s="118">
        <f>SUM(C5:C16)</f>
        <v>5</v>
      </c>
      <c r="D17" s="118">
        <f>SUM(D5:D16)</f>
        <v>5</v>
      </c>
      <c r="E17" s="115"/>
      <c r="F17" s="115"/>
      <c r="G17" s="115"/>
      <c r="H17" s="115"/>
      <c r="I17" s="115"/>
      <c r="K17" s="288"/>
      <c r="L17" s="288" t="s">
        <v>1283</v>
      </c>
      <c r="M17" s="288" t="s">
        <v>1284</v>
      </c>
    </row>
    <row r="18" spans="1:36" ht="31.9" customHeight="1" thickBot="1">
      <c r="A18" s="1606" t="s">
        <v>1285</v>
      </c>
      <c r="B18" s="1520"/>
      <c r="C18" s="119">
        <f>ROUND(C17/SUM(C17:D17),2)</f>
        <v>0.5</v>
      </c>
      <c r="D18" s="119">
        <f>1-C18</f>
        <v>0.5</v>
      </c>
      <c r="E18" s="3266" t="s">
        <v>2128</v>
      </c>
      <c r="F18" s="3267"/>
      <c r="G18" s="3267"/>
      <c r="H18" s="3267"/>
      <c r="I18" s="3267"/>
      <c r="K18" s="288" t="s">
        <v>1286</v>
      </c>
      <c r="L18" s="288">
        <f>IF(C1="",'数据-汇总表'!E3,SUMIF(项目类型,C1,'数据-汇总表'!E17:E26)+SUMIF(项目类型,C1,'数据-汇总表'!I17:I26))</f>
        <v>2519.2800000000002</v>
      </c>
      <c r="M18" s="288">
        <f>IF(C1="",'数据-汇总表'!E3,SUMIF(项目类型,C1,'数据-汇总表'!E17:E26))</f>
        <v>2519.2800000000002</v>
      </c>
    </row>
    <row r="19" spans="1:36" ht="15">
      <c r="A19" s="1607" t="s">
        <v>1287</v>
      </c>
      <c r="B19" s="1608" t="s">
        <v>1288</v>
      </c>
      <c r="C19" s="120">
        <f ca="1">SUMIF(INDIRECT("'"&amp;C4&amp;"'"&amp;"!A:A"),'结果表-办公'!B19,INDIRECT("'"&amp;C4&amp;"'"&amp;"!B:B"))</f>
        <v>4650.8428000000004</v>
      </c>
      <c r="D19" s="121">
        <f ca="1">SUMIF(INDIRECT("'"&amp;D4&amp;"'"&amp;"!A:A"),'结果表-办公'!B19,INDIRECT("'"&amp;D4&amp;"'"&amp;"!B:B"))</f>
        <v>4050.7451999999998</v>
      </c>
      <c r="E19" s="1607" t="s">
        <v>1289</v>
      </c>
      <c r="F19" s="1608" t="s">
        <v>1288</v>
      </c>
      <c r="G19" s="122">
        <f ca="1">ROUND(C19*$C$18+D19*$D$18,0)</f>
        <v>4351</v>
      </c>
      <c r="H19" s="1609" t="s">
        <v>1290</v>
      </c>
      <c r="I19" s="115"/>
      <c r="K19" s="288" t="s">
        <v>1291</v>
      </c>
      <c r="L19" s="288">
        <f>IF(C1="",'数据-汇总表'!D3,SUMIF(项目类型,C1,'数据-汇总表'!D17:D26)+SUMIF(项目类型,C1,'数据-汇总表'!H17:H27))</f>
        <v>0</v>
      </c>
      <c r="M19" s="288">
        <f>IF(C1="",'数据-汇总表'!D3,SUMIF(项目类型,C1,'数据-汇总表'!D17:D26))</f>
        <v>0</v>
      </c>
    </row>
    <row r="20" spans="1:36" ht="15">
      <c r="A20" s="1610"/>
      <c r="B20" s="43" t="s">
        <v>1292</v>
      </c>
      <c r="C20" s="123">
        <f ca="1">SUMIF(INDIRECT("'"&amp;C4&amp;"'"&amp;"!A:A"),'结果表-办公'!B20,INDIRECT("'"&amp;C4&amp;"'"&amp;"!B:B"))</f>
        <v>18461</v>
      </c>
      <c r="D20" s="124">
        <f ca="1">SUMIF(INDIRECT("'"&amp;D4&amp;"'"&amp;"!A:A"),'结果表-办公'!B20,INDIRECT("'"&amp;D4&amp;"'"&amp;"!B:B"))</f>
        <v>16079</v>
      </c>
      <c r="E20" s="1610"/>
      <c r="F20" s="43" t="s">
        <v>1292</v>
      </c>
      <c r="G20" s="125">
        <f ca="1">ROUND(C20*$C$18+D20*$D$18,0)</f>
        <v>17270</v>
      </c>
      <c r="H20" s="742" t="s">
        <v>1293</v>
      </c>
      <c r="I20" s="115"/>
    </row>
    <row r="21" spans="1:36" ht="15" customHeight="1" thickBot="1">
      <c r="A21" s="442"/>
      <c r="B21" s="93" t="s">
        <v>1294</v>
      </c>
      <c r="C21" s="668" t="e">
        <f ca="1">ROUND(C19*10000/L19,0)</f>
        <v>#DIV/0!</v>
      </c>
      <c r="D21" s="669" t="e">
        <f ca="1">ROUND(D19*10000/L19,0)</f>
        <v>#DIV/0!</v>
      </c>
      <c r="E21" s="442"/>
      <c r="F21" s="93" t="s">
        <v>1294</v>
      </c>
      <c r="G21" s="126" t="e">
        <f ca="1">ROUND(G19*10000/L19,0)</f>
        <v>#DIV/0!</v>
      </c>
      <c r="H21" s="1611" t="s">
        <v>1293</v>
      </c>
      <c r="I21" s="115"/>
    </row>
    <row r="22" spans="1:36" ht="15" thickBot="1">
      <c r="A22" s="1542" t="s">
        <v>1295</v>
      </c>
      <c r="B22" s="1612"/>
      <c r="C22" s="1613"/>
      <c r="D22" s="670">
        <f ca="1">IF(C19&lt;D19,D19/C19-1,C19/D19-1)</f>
        <v>0.14814498823574507</v>
      </c>
      <c r="E22" s="115"/>
      <c r="F22" s="115"/>
      <c r="G22" s="115"/>
      <c r="H22" s="115"/>
      <c r="I22" s="115"/>
    </row>
    <row r="23" spans="1:36" ht="13.5" thickBot="1">
      <c r="A23" s="636"/>
      <c r="B23" s="636"/>
      <c r="C23" s="636"/>
      <c r="D23" s="636"/>
      <c r="E23" s="115"/>
      <c r="F23" s="115"/>
      <c r="G23" s="115"/>
      <c r="H23" s="115"/>
      <c r="I23" s="115"/>
    </row>
    <row r="24" spans="1:36" ht="14.25">
      <c r="A24" s="3250" t="s">
        <v>1296</v>
      </c>
      <c r="B24" s="1608" t="s">
        <v>1288</v>
      </c>
      <c r="C24" s="122">
        <f>IF(B30=0,0,D30)</f>
        <v>0</v>
      </c>
      <c r="D24" s="1614"/>
      <c r="E24" s="115"/>
      <c r="F24" s="115"/>
      <c r="G24" s="115"/>
      <c r="H24" s="115"/>
      <c r="I24" s="115"/>
    </row>
    <row r="25" spans="1:36" ht="14.25">
      <c r="A25" s="3251"/>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2129</v>
      </c>
      <c r="F30" s="115"/>
      <c r="G30" s="115"/>
      <c r="H30" s="115"/>
      <c r="I30" s="115"/>
    </row>
    <row r="31" spans="1:36" s="2110" customFormat="1" ht="26.45" customHeight="1" thickTop="1" thickBot="1">
      <c r="A31" s="2105"/>
      <c r="B31" s="2106"/>
      <c r="C31" s="2106"/>
      <c r="D31" s="2106"/>
      <c r="E31" s="2106"/>
      <c r="F31" s="2106"/>
      <c r="G31" s="2106"/>
      <c r="H31" s="2106"/>
      <c r="I31" s="2107" t="s">
        <v>2130</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17270</v>
      </c>
      <c r="D32" s="1618"/>
      <c r="E32" s="115"/>
      <c r="F32" s="115"/>
      <c r="G32" s="115"/>
      <c r="H32" s="115"/>
      <c r="I32" s="115"/>
    </row>
    <row r="33" spans="1:15" ht="15">
      <c r="A33" s="722" t="s">
        <v>1303</v>
      </c>
      <c r="B33" s="117"/>
      <c r="C33" s="1619"/>
      <c r="D33" s="1620"/>
      <c r="E33" s="1621" t="s">
        <v>1304</v>
      </c>
      <c r="F33" s="1622" t="str">
        <f>IF(D32="楼面单价","取值（单价）","取值（总价）")</f>
        <v>取值（总价）</v>
      </c>
      <c r="G33" s="115"/>
      <c r="H33" s="115"/>
      <c r="I33" s="115"/>
    </row>
    <row r="34" spans="1:15" ht="15">
      <c r="A34" s="1623"/>
      <c r="B34" s="1624"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5" t="s">
        <v>1306</v>
      </c>
      <c r="F34" s="1221"/>
      <c r="G34" s="115"/>
      <c r="H34" s="115"/>
      <c r="I34" s="115"/>
    </row>
    <row r="35" spans="1:15" ht="15.75" thickBot="1">
      <c r="A35" s="1626"/>
      <c r="B35" s="1627"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8" t="s">
        <v>1308</v>
      </c>
      <c r="F35" s="140"/>
      <c r="G35" s="115"/>
      <c r="H35" s="115"/>
      <c r="I35" s="115"/>
    </row>
    <row r="36" spans="1:15" ht="15.75" thickBot="1">
      <c r="A36" s="3270" t="s">
        <v>1309</v>
      </c>
      <c r="B36" s="1629" t="s">
        <v>1310</v>
      </c>
      <c r="C36" s="131"/>
      <c r="D36" s="1630"/>
      <c r="E36" s="1545"/>
      <c r="F36" s="1631"/>
      <c r="G36" s="115"/>
      <c r="H36" s="115"/>
      <c r="I36" s="115"/>
    </row>
    <row r="37" spans="1:15" ht="15.75" thickBot="1">
      <c r="A37" s="3271"/>
      <c r="B37" s="1533" t="s">
        <v>1311</v>
      </c>
      <c r="C37" s="133"/>
      <c r="D37" s="1049"/>
      <c r="E37" s="1049"/>
      <c r="F37" s="1631"/>
      <c r="G37" s="115"/>
      <c r="H37" s="115"/>
      <c r="I37" s="115"/>
    </row>
    <row r="38" spans="1:15" ht="15.75" thickBot="1">
      <c r="A38" s="3272"/>
      <c r="B38" s="1632" t="s">
        <v>1312</v>
      </c>
      <c r="C38" s="631"/>
      <c r="D38" s="1633" t="s">
        <v>1313</v>
      </c>
      <c r="E38" s="1049"/>
      <c r="F38" s="1631"/>
      <c r="G38" s="115"/>
      <c r="H38" s="115"/>
      <c r="I38" s="115"/>
    </row>
    <row r="39" spans="1:15" ht="15">
      <c r="A39" s="1610" t="s">
        <v>1314</v>
      </c>
      <c r="B39" s="1634" t="s">
        <v>1298</v>
      </c>
      <c r="C39" s="1635" t="s">
        <v>1299</v>
      </c>
      <c r="D39" s="1635" t="s">
        <v>1317</v>
      </c>
      <c r="E39" s="1636" t="s">
        <v>1300</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247" t="s">
        <v>1323</v>
      </c>
      <c r="B45" s="3248"/>
      <c r="C45" s="3249"/>
      <c r="D45" s="141" t="e">
        <f ca="1">ROUND(H101*F45,0)</f>
        <v>#REF!</v>
      </c>
      <c r="E45" s="142" t="s">
        <v>1324</v>
      </c>
      <c r="F45" s="143">
        <v>1</v>
      </c>
      <c r="G45" s="144" t="s">
        <v>1325</v>
      </c>
      <c r="H45" s="115"/>
      <c r="I45" s="115"/>
      <c r="J45" s="3325" t="s">
        <v>1326</v>
      </c>
      <c r="K45" s="3325"/>
      <c r="L45" s="3325"/>
      <c r="M45" s="3325"/>
      <c r="N45" s="3325"/>
      <c r="O45" s="3325"/>
    </row>
    <row r="46" spans="1:15" ht="14.25" customHeight="1">
      <c r="A46" s="3244" t="s">
        <v>1327</v>
      </c>
      <c r="B46" s="3245"/>
      <c r="C46" s="3245"/>
      <c r="D46" s="3245"/>
      <c r="E46" s="3245"/>
      <c r="F46" s="3245"/>
      <c r="G46" s="3246"/>
      <c r="H46" s="1645"/>
      <c r="I46" s="145"/>
      <c r="J46" s="2287">
        <v>1</v>
      </c>
      <c r="K46" s="3306" t="s">
        <v>1328</v>
      </c>
      <c r="L46" s="3306"/>
      <c r="M46" s="3326"/>
      <c r="N46" s="3326"/>
      <c r="O46" s="3326"/>
    </row>
    <row r="47" spans="1:15" ht="12" customHeight="1">
      <c r="A47" s="146" t="s">
        <v>1329</v>
      </c>
      <c r="B47" s="147"/>
      <c r="C47" s="148"/>
      <c r="D47" s="1002" t="s">
        <v>1330</v>
      </c>
      <c r="E47" s="288" t="s">
        <v>1331</v>
      </c>
      <c r="F47" s="149" t="s">
        <v>1332</v>
      </c>
      <c r="G47" s="2310" t="s">
        <v>1333</v>
      </c>
      <c r="H47" s="2311"/>
      <c r="I47" s="145"/>
      <c r="J47" s="2287">
        <v>2</v>
      </c>
      <c r="K47" s="3306" t="s">
        <v>1334</v>
      </c>
      <c r="L47" s="3306"/>
      <c r="M47" s="3327">
        <f>'数据-取费表'!B2</f>
        <v>45727</v>
      </c>
      <c r="N47" s="3327"/>
      <c r="O47" s="3327"/>
    </row>
    <row r="48" spans="1:15" ht="25.5">
      <c r="A48" s="3275" t="s">
        <v>1335</v>
      </c>
      <c r="B48" s="3258"/>
      <c r="C48" s="3258"/>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1336</v>
      </c>
      <c r="H48" s="2314"/>
      <c r="I48" s="1645"/>
      <c r="J48" s="2287">
        <v>3</v>
      </c>
      <c r="K48" s="3306" t="s">
        <v>1337</v>
      </c>
      <c r="L48" s="3306"/>
      <c r="M48" s="3328" t="e">
        <f ca="1">H101</f>
        <v>#REF!</v>
      </c>
      <c r="N48" s="3328"/>
      <c r="O48" s="3328"/>
    </row>
    <row r="49" spans="1:35" ht="25.5" customHeight="1">
      <c r="A49" s="2129" t="s">
        <v>1338</v>
      </c>
      <c r="B49" s="3242" t="s">
        <v>1339</v>
      </c>
      <c r="C49" s="3242"/>
      <c r="D49" s="1456">
        <v>0</v>
      </c>
      <c r="E49" s="309" t="s">
        <v>1340</v>
      </c>
      <c r="F49" s="2210" t="s">
        <v>28</v>
      </c>
      <c r="G49" s="3312"/>
      <c r="H49" s="2111" t="s">
        <v>2131</v>
      </c>
      <c r="I49" s="2112"/>
      <c r="J49" s="2287">
        <v>4</v>
      </c>
      <c r="K49" s="3306" t="str">
        <f>IF(项目基本情况!E8="房地产抵押价值","房地产抵押价值","抵押担保权已注销时的房地产抵押价值")</f>
        <v>房地产抵押价值</v>
      </c>
      <c r="L49" s="3306"/>
      <c r="M49" s="3328" t="e">
        <f ca="1">IF(项目基本情况!E8="房地产抵押价值",H107,H109)</f>
        <v>#REF!</v>
      </c>
      <c r="N49" s="3328"/>
      <c r="O49" s="3328"/>
    </row>
    <row r="50" spans="1:35" ht="25.5" customHeight="1">
      <c r="A50" s="2315"/>
      <c r="B50" s="3242" t="s">
        <v>1341</v>
      </c>
      <c r="C50" s="3242"/>
      <c r="D50" s="2166"/>
      <c r="E50" s="316"/>
      <c r="F50" s="2210"/>
      <c r="G50" s="3313"/>
      <c r="H50" s="2113" t="s">
        <v>2132</v>
      </c>
      <c r="I50" s="2112"/>
      <c r="J50" s="3325" t="s">
        <v>1342</v>
      </c>
      <c r="K50" s="3325"/>
      <c r="L50" s="3325"/>
      <c r="M50" s="3325"/>
      <c r="N50" s="3325"/>
      <c r="O50" s="3325"/>
    </row>
    <row r="51" spans="1:35" ht="20.45" customHeight="1">
      <c r="A51" s="2316"/>
      <c r="B51" s="3242" t="s">
        <v>1343</v>
      </c>
      <c r="C51" s="3242"/>
      <c r="D51" s="1002"/>
      <c r="E51" s="312"/>
      <c r="F51" s="2210"/>
      <c r="G51" s="3314"/>
      <c r="H51" s="2113" t="s">
        <v>2133</v>
      </c>
      <c r="I51" s="2112"/>
      <c r="J51" s="2288" t="s">
        <v>1344</v>
      </c>
      <c r="K51" s="3306" t="s">
        <v>1345</v>
      </c>
      <c r="L51" s="3306"/>
      <c r="M51" s="2288" t="s">
        <v>1346</v>
      </c>
      <c r="N51" s="2288" t="s">
        <v>1347</v>
      </c>
      <c r="O51" s="2288" t="s">
        <v>1348</v>
      </c>
    </row>
    <row r="52" spans="1:35" ht="24" customHeight="1">
      <c r="A52" s="2130" t="s">
        <v>1349</v>
      </c>
      <c r="B52" s="3242" t="s">
        <v>1350</v>
      </c>
      <c r="C52" s="3242"/>
      <c r="D52" s="1002" t="e">
        <f ca="1">ROUND(D45*'数据-取费表'!B41/(1+'数据-取费表'!C42),0)</f>
        <v>#REF!</v>
      </c>
      <c r="E52" s="1234" t="s">
        <v>1351</v>
      </c>
      <c r="F52" s="2317">
        <f>'数据-取费表'!B41</f>
        <v>5.6000000000000001E-2</v>
      </c>
      <c r="G52" s="2318"/>
      <c r="H52" s="2308"/>
      <c r="I52" s="1646"/>
      <c r="J52" s="2287">
        <v>1</v>
      </c>
      <c r="K52" s="3307" t="s">
        <v>1352</v>
      </c>
      <c r="L52" s="3307"/>
      <c r="M52" s="2289" t="b">
        <f>D48</f>
        <v>0</v>
      </c>
      <c r="N52" s="2287" t="str">
        <f>E48</f>
        <v>销售额×税（费）率</v>
      </c>
      <c r="O52" s="2290">
        <f>F48</f>
        <v>5.6000000000000001E-2</v>
      </c>
    </row>
    <row r="53" spans="1:35" ht="12" customHeight="1">
      <c r="A53" s="2130" t="s">
        <v>1353</v>
      </c>
      <c r="B53" s="3268" t="s">
        <v>2279</v>
      </c>
      <c r="C53" s="3269"/>
      <c r="D53" s="1002" t="e">
        <f ca="1">ROUND(D45*'数据-取费表'!B41/(1+'数据-取费表'!C42),0)</f>
        <v>#REF!</v>
      </c>
      <c r="E53" s="1234" t="s">
        <v>1351</v>
      </c>
      <c r="F53" s="2317">
        <f>'数据-取费表'!B41</f>
        <v>5.6000000000000001E-2</v>
      </c>
      <c r="G53" s="2318"/>
      <c r="H53" s="2308"/>
      <c r="I53" s="1646"/>
      <c r="J53" s="2287">
        <v>2</v>
      </c>
      <c r="K53" s="3307" t="s">
        <v>1354</v>
      </c>
      <c r="L53" s="3307"/>
      <c r="M53" s="2289" t="e">
        <f t="shared" ref="M53:O54" ca="1" si="0">D55</f>
        <v>#REF!</v>
      </c>
      <c r="N53" s="2287" t="str">
        <f t="shared" si="0"/>
        <v>销售额×税（费）率</v>
      </c>
      <c r="O53" s="2290" t="str">
        <f t="shared" si="0"/>
        <v>免征</v>
      </c>
    </row>
    <row r="54" spans="1:35" ht="12" customHeight="1">
      <c r="A54" s="2130" t="s">
        <v>1355</v>
      </c>
      <c r="B54" s="3268" t="s">
        <v>2280</v>
      </c>
      <c r="C54" s="3269"/>
      <c r="D54" s="1002" t="e">
        <f ca="1">C68</f>
        <v>#REF!</v>
      </c>
      <c r="E54" s="312" t="s">
        <v>1356</v>
      </c>
      <c r="F54" s="2317">
        <f>'数据-取费表'!B41</f>
        <v>5.6000000000000001E-2</v>
      </c>
      <c r="G54" s="2318"/>
      <c r="H54" s="2319"/>
      <c r="I54" s="1646"/>
      <c r="J54" s="2287">
        <v>3</v>
      </c>
      <c r="K54" s="3307" t="s">
        <v>1357</v>
      </c>
      <c r="L54" s="3307"/>
      <c r="M54" s="2289" t="e">
        <f t="shared" ca="1" si="0"/>
        <v>#REF!</v>
      </c>
      <c r="N54" s="2287" t="str">
        <f t="shared" si="0"/>
        <v>增值额×税（费）率</v>
      </c>
      <c r="O54" s="2291" t="str">
        <f t="shared" si="0"/>
        <v>免征</v>
      </c>
    </row>
    <row r="55" spans="1:35" ht="24" customHeight="1">
      <c r="A55" s="3257" t="s">
        <v>1358</v>
      </c>
      <c r="B55" s="3258"/>
      <c r="C55" s="3258"/>
      <c r="D55" s="12" t="e">
        <f ca="1">IF(H55="个人住宅",0,ROUND(D45*I55,0))</f>
        <v>#REF!</v>
      </c>
      <c r="E55" s="1234" t="s">
        <v>1359</v>
      </c>
      <c r="F55" s="2317" t="str">
        <f>IF(H55="正常",I55,"免征")</f>
        <v>免征</v>
      </c>
      <c r="G55" s="2318"/>
      <c r="H55" s="2314"/>
      <c r="I55" s="151">
        <f>'数据-取费表'!B49</f>
        <v>5.0000000000000001E-4</v>
      </c>
      <c r="J55" s="2287">
        <f>IF(H59="非个人房产","",4)</f>
        <v>4</v>
      </c>
      <c r="K55" s="3307" t="str">
        <f>IF(H59="非个人房产","——","个人所得税")</f>
        <v>个人所得税</v>
      </c>
      <c r="L55" s="3307"/>
      <c r="M55" s="2292" t="e">
        <f ca="1">D59</f>
        <v>#REF!</v>
      </c>
      <c r="N55" s="1860" t="str">
        <f>E59</f>
        <v>差额计税</v>
      </c>
      <c r="O55" s="2293">
        <f>F59</f>
        <v>0.01</v>
      </c>
    </row>
    <row r="56" spans="1:35" ht="24.75">
      <c r="A56" s="3257" t="s">
        <v>1360</v>
      </c>
      <c r="B56" s="3258"/>
      <c r="C56" s="3258"/>
      <c r="D56" s="12" t="e">
        <f ca="1">IF(H56="个人住宅",D57,D58)</f>
        <v>#REF!</v>
      </c>
      <c r="E56" s="1234" t="s">
        <v>1361</v>
      </c>
      <c r="F56" s="2317" t="str">
        <f>IF(H56="正常",F58,"免征")</f>
        <v>免征</v>
      </c>
      <c r="G56" s="2320" t="s">
        <v>1362</v>
      </c>
      <c r="H56" s="2321"/>
      <c r="I56" s="1647"/>
      <c r="J56" s="2287" t="str">
        <f>IF(项目基本情况!K6="上海银行",IF(J55="",4,J55+1),"")</f>
        <v/>
      </c>
      <c r="K56" s="3330" t="str">
        <f>IF(项目基本情况!K6="上海银行","其他处置费用","")</f>
        <v/>
      </c>
      <c r="L56" s="3331"/>
      <c r="M56" s="2289" t="str">
        <f>IF(项目基本情况!K6="上海银行",M69,"")</f>
        <v/>
      </c>
      <c r="N56" s="3330" t="str">
        <f>IF(项目基本情况!K6="上海银行","包含处置中涉及的律师、诉讼、拍卖、评估等费用","")</f>
        <v/>
      </c>
      <c r="O56" s="3333"/>
    </row>
    <row r="57" spans="1:35" ht="12.75">
      <c r="A57" s="2130" t="s">
        <v>1338</v>
      </c>
      <c r="B57" s="3268" t="s">
        <v>1363</v>
      </c>
      <c r="C57" s="3269"/>
      <c r="D57" s="1456">
        <v>0</v>
      </c>
      <c r="E57" s="309" t="s">
        <v>1340</v>
      </c>
      <c r="F57" s="288"/>
      <c r="G57" s="2318"/>
      <c r="H57" s="2322"/>
      <c r="I57" s="1647"/>
      <c r="J57" s="3307">
        <f>IF(AND(J55="",J56=""),4,IF(项目基本情况!K6="上海银行",'结果表-办公'!J56+1,'结果表-办公'!J55+1))</f>
        <v>5</v>
      </c>
      <c r="K57" s="3307" t="s">
        <v>1364</v>
      </c>
      <c r="L57" s="2294" t="s">
        <v>1365</v>
      </c>
      <c r="M57" s="2295"/>
      <c r="N57" s="2296">
        <f ca="1">SUMIF(M52:M56,"&lt;9e307")</f>
        <v>0</v>
      </c>
      <c r="O57" s="2297"/>
      <c r="P57" s="2439" t="e">
        <f ca="1">N57/M49</f>
        <v>#REF!</v>
      </c>
    </row>
    <row r="58" spans="1:35" ht="24.75">
      <c r="A58" s="2130" t="s">
        <v>1349</v>
      </c>
      <c r="B58" s="3268" t="s">
        <v>1366</v>
      </c>
      <c r="C58" s="3242"/>
      <c r="D58" s="12" t="e">
        <f ca="1">IF(H58="转让取得",C81,C97)</f>
        <v>#REF!</v>
      </c>
      <c r="E58" s="1234" t="s">
        <v>1361</v>
      </c>
      <c r="F58" s="288" t="s">
        <v>28</v>
      </c>
      <c r="G58" s="2318"/>
      <c r="H58" s="2321"/>
      <c r="I58" s="1647"/>
      <c r="J58" s="3307"/>
      <c r="K58" s="3307"/>
      <c r="L58" s="2294" t="s">
        <v>1367</v>
      </c>
      <c r="M58" s="2298"/>
      <c r="N58" s="2299" t="str">
        <f ca="1">NUMBERSTRING(INT(N57*10000),2)&amp;"元整"</f>
        <v>零元整</v>
      </c>
      <c r="O58" s="2300"/>
    </row>
    <row r="59" spans="1:35" ht="24.75" thickBot="1">
      <c r="A59" s="3310" t="s">
        <v>1368</v>
      </c>
      <c r="B59" s="3311"/>
      <c r="C59" s="3311"/>
      <c r="D59" s="2323" t="e">
        <f ca="1">IF(H59="非个人房产","——",IF(H59="个人住宅（满五唯一有凭证）",0,IF(H59="个人其他（无凭证）",ROUND(D45*F59,0),ROUND(C67*F59,0))))</f>
        <v>#REF!</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1362</v>
      </c>
      <c r="H59" s="2115"/>
      <c r="I59" s="2114" t="s">
        <v>2134</v>
      </c>
      <c r="J59" s="3308">
        <f>J57+1</f>
        <v>6</v>
      </c>
      <c r="K59" s="3307" t="s">
        <v>1369</v>
      </c>
      <c r="L59" s="2287" t="s">
        <v>1365</v>
      </c>
      <c r="M59" s="2301"/>
      <c r="N59" s="2302" t="e">
        <f ca="1">M49-N57</f>
        <v>#REF!</v>
      </c>
      <c r="O59" s="2303"/>
    </row>
    <row r="60" spans="1:35" ht="12" customHeight="1">
      <c r="A60" s="1648"/>
      <c r="B60" s="636"/>
      <c r="C60" s="636"/>
      <c r="D60" s="636"/>
      <c r="E60" s="1444"/>
      <c r="F60" s="1647"/>
      <c r="G60" s="1647"/>
      <c r="H60" s="145"/>
      <c r="I60" s="115"/>
      <c r="J60" s="3309"/>
      <c r="K60" s="3307"/>
      <c r="L60" s="2294" t="s">
        <v>1367</v>
      </c>
      <c r="M60" s="2298"/>
      <c r="N60" s="2299" t="e">
        <f ca="1">NUMBERSTRING(INT(N59*10000),2)&amp;"元整"</f>
        <v>#REF!</v>
      </c>
      <c r="O60" s="2300"/>
    </row>
    <row r="61" spans="1:35" ht="13.5" thickBot="1">
      <c r="A61" s="3255" t="s">
        <v>1370</v>
      </c>
      <c r="B61" s="3255"/>
      <c r="C61" s="3255"/>
      <c r="D61" s="3255"/>
      <c r="E61" s="3255"/>
      <c r="F61" s="1647"/>
      <c r="G61" s="1647"/>
      <c r="H61" s="145"/>
      <c r="I61" s="115"/>
      <c r="J61" s="2287">
        <f>J59+1</f>
        <v>7</v>
      </c>
      <c r="K61" s="3307" t="s">
        <v>1371</v>
      </c>
      <c r="L61" s="3307"/>
      <c r="M61" s="2304"/>
      <c r="N61" s="2305" t="e">
        <f ca="1">ROUND(N59*10000/'数据-汇总表'!E3,0)</f>
        <v>#REF!</v>
      </c>
      <c r="O61" s="2306"/>
    </row>
    <row r="62" spans="1:35" ht="12.75">
      <c r="A62" s="3273" t="s">
        <v>1372</v>
      </c>
      <c r="B62" s="3274"/>
      <c r="C62" s="1842"/>
      <c r="D62" s="1842" t="s">
        <v>1373</v>
      </c>
      <c r="E62" s="152" t="s">
        <v>1374</v>
      </c>
      <c r="F62" s="1647"/>
      <c r="G62" s="1647"/>
      <c r="H62" s="145"/>
      <c r="I62" s="115"/>
    </row>
    <row r="63" spans="1:35" ht="12.75">
      <c r="A63" s="159" t="s">
        <v>330</v>
      </c>
      <c r="B63" s="153" t="s">
        <v>1375</v>
      </c>
      <c r="C63" s="2327" t="e">
        <f ca="1">ROUND((C64+C65)/(1+'数据-取费表'!C42),0)</f>
        <v>#REF!</v>
      </c>
      <c r="D63" s="153"/>
      <c r="E63" s="154"/>
      <c r="F63" s="1647"/>
      <c r="G63" s="1647"/>
      <c r="H63" s="145"/>
      <c r="I63" s="115"/>
      <c r="J63" s="3332" t="s">
        <v>1376</v>
      </c>
      <c r="K63" s="1223" t="s">
        <v>1377</v>
      </c>
      <c r="L63" s="1223" t="e">
        <f ca="1">IF(M49&gt;10000,M49*0.5%,IF(AND(M49&gt;1000,M49&lt;=10000),M49*1%,IF(AND(M49&gt;100,M49&lt;=1000),M49*3%,IF(AND(M49&gt;10,M49&lt;=100),M49*5%,M49*8%))))</f>
        <v>#REF!</v>
      </c>
      <c r="M63" s="288" t="e">
        <f ca="1">ROUND(L63,1)</f>
        <v>#REF!</v>
      </c>
      <c r="N63" s="2307"/>
      <c r="Z63" s="1600"/>
      <c r="AI63" s="1539"/>
    </row>
    <row r="64" spans="1:35" ht="14.25" customHeight="1">
      <c r="A64" s="155" t="s">
        <v>325</v>
      </c>
      <c r="B64" s="156" t="s">
        <v>1378</v>
      </c>
      <c r="C64" s="2328" t="e">
        <f ca="1">D45</f>
        <v>#REF!</v>
      </c>
      <c r="D64" s="156" t="s">
        <v>26</v>
      </c>
      <c r="E64" s="158"/>
      <c r="F64" s="1647"/>
      <c r="G64" s="1647"/>
      <c r="H64" s="145"/>
      <c r="I64" s="115"/>
      <c r="J64" s="3332"/>
      <c r="K64" s="1223" t="s">
        <v>1379</v>
      </c>
      <c r="L64" s="1223" t="e">
        <f ca="1">IF(M49&gt;2000,M49*0.5%,IF(AND(M49&gt;1000,M49&lt;=2000),M49*0.6%,IF(AND(M49&gt;500,M49&lt;=1000),M49*0.7%,IF(AND(M49&gt;200,M49&lt;=500),M49*0.8%,IF(AND(M49&gt;100,M49&lt;=200),M49*0.9%,IF(AND(M49&gt;50,M49&lt;=100),M49*1%,IF(AND(M49&gt;20,M49&lt;=50),M49*1.5%,IF(AND(M49&gt;10,M49&lt;=20),M49*2%,IF(AND(M49&gt;1,M49&lt;=10),M49*2.5%)))))))))</f>
        <v>#REF!</v>
      </c>
      <c r="M64" s="288" t="e">
        <f t="shared" ref="M64:M65" ca="1" si="1">ROUND(L64,1)</f>
        <v>#REF!</v>
      </c>
      <c r="N64" s="2308" t="s">
        <v>1380</v>
      </c>
      <c r="Z64" s="1600"/>
      <c r="AI64" s="1539"/>
    </row>
    <row r="65" spans="1:35" ht="14.25" customHeight="1">
      <c r="A65" s="155" t="s">
        <v>326</v>
      </c>
      <c r="B65" s="156" t="s">
        <v>1381</v>
      </c>
      <c r="C65" s="2329"/>
      <c r="D65" s="156"/>
      <c r="E65" s="158"/>
      <c r="F65" s="1647"/>
      <c r="G65" s="1647"/>
      <c r="H65" s="145"/>
      <c r="I65" s="115"/>
      <c r="J65" s="3332"/>
      <c r="K65" s="1223" t="s">
        <v>1382</v>
      </c>
      <c r="L65" s="1223" t="e">
        <f ca="1">IF(M49&gt;1000,M49*0.1%,IF(AND(M49&gt;500,M49&lt;=1000),M49*0.5%,IF(AND(M49&gt;50,M49&lt;=500),M49*1%,IF(AND(M49&gt;1,M49&lt;=50),M49*1.5%))))</f>
        <v>#REF!</v>
      </c>
      <c r="M65" s="288" t="e">
        <f t="shared" ca="1" si="1"/>
        <v>#REF!</v>
      </c>
      <c r="N65" s="2308" t="s">
        <v>1380</v>
      </c>
      <c r="Z65" s="1600"/>
      <c r="AI65" s="1539"/>
    </row>
    <row r="66" spans="1:35" ht="14.25" customHeight="1">
      <c r="A66" s="159" t="s">
        <v>327</v>
      </c>
      <c r="B66" s="160" t="s">
        <v>1383</v>
      </c>
      <c r="C66" s="2330"/>
      <c r="D66" s="160" t="s">
        <v>26</v>
      </c>
      <c r="E66" s="1229" t="s">
        <v>668</v>
      </c>
      <c r="F66" s="1647"/>
      <c r="G66" s="1647"/>
      <c r="H66" s="145"/>
      <c r="I66" s="115"/>
      <c r="J66" s="3332"/>
      <c r="K66" s="1223" t="s">
        <v>1384</v>
      </c>
      <c r="L66" s="1223" t="e">
        <f ca="1">M49*0.5%</f>
        <v>#REF!</v>
      </c>
      <c r="M66" s="288" t="e">
        <f ca="1">IF(L66&gt;0.5,0.5,ROUND(L66,0))</f>
        <v>#REF!</v>
      </c>
      <c r="N66" s="2308" t="s">
        <v>1385</v>
      </c>
      <c r="Z66" s="1600"/>
      <c r="AI66" s="1539"/>
    </row>
    <row r="67" spans="1:35" ht="14.25" customHeight="1">
      <c r="A67" s="159" t="s">
        <v>328</v>
      </c>
      <c r="B67" s="160" t="s">
        <v>1386</v>
      </c>
      <c r="C67" s="2331" t="e">
        <f ca="1">C63-C66</f>
        <v>#REF!</v>
      </c>
      <c r="D67" s="156" t="s">
        <v>26</v>
      </c>
      <c r="E67" s="158"/>
      <c r="F67" s="1647"/>
      <c r="G67" s="1647"/>
      <c r="H67" s="145"/>
      <c r="I67" s="115"/>
      <c r="J67" s="3332"/>
      <c r="K67" s="1223" t="s">
        <v>1387</v>
      </c>
      <c r="L67" s="1223" t="e">
        <f ca="1">IF(M49&gt;=10000,(8.25+(M49-10000)*0.01%),IF(AND(M49&gt;=8000,M49&lt;10000),(7.85+(M49-8000)*0.02%),IF(AND(M49&gt;=5000,M49&lt;8000),(6.65+(M49-5000)*0.04%),IF(AND(M49&gt;=2000,M49&lt;5000),(4.25+(PM49-2000)*0.08%),IF(AND(M49&gt;=1000,M49&lt;2000),(2.75+(M49-1000)*0.15%),IF(AND(M49&gt;=100,M49&lt;1000),(0.5+(M49-100)*0.25%),IF(AND(M49&gt;0,M49&lt;100),M49*0.5%)))))))</f>
        <v>#REF!</v>
      </c>
      <c r="M67" s="288" t="e">
        <f ca="1">ROUND(L67*0.9,1)</f>
        <v>#REF!</v>
      </c>
      <c r="N67" s="2307"/>
      <c r="Z67" s="1600"/>
      <c r="AI67" s="1539"/>
    </row>
    <row r="68" spans="1:35" ht="14.25" customHeight="1" thickBot="1">
      <c r="A68" s="162" t="s">
        <v>329</v>
      </c>
      <c r="B68" s="163" t="s">
        <v>1388</v>
      </c>
      <c r="C68" s="2332" t="e">
        <f ca="1">IF(C67&lt;=0,0,ROUND(C67*D68,0))</f>
        <v>#REF!</v>
      </c>
      <c r="D68" s="2333">
        <f>'数据-取费表'!B41</f>
        <v>5.6000000000000001E-2</v>
      </c>
      <c r="E68" s="164"/>
      <c r="F68" s="1647"/>
      <c r="G68" s="1647"/>
      <c r="H68" s="145"/>
      <c r="I68" s="115"/>
      <c r="J68" s="3332"/>
      <c r="K68" s="1223" t="s">
        <v>1389</v>
      </c>
      <c r="L68" s="1223" t="e">
        <f ca="1">IF(M49&gt;10000,M49*0.5%,IF(AND(M49&gt;5000,M49&lt;=10000),M49*1%,IF(AND(M49&gt;1000,M49&lt;=5000),M49*2%,IF(AND(M49&gt;200,M49&lt;=1000),M49*3%,M49*5%))))</f>
        <v>#REF!</v>
      </c>
      <c r="M68" s="288" t="e">
        <f ca="1">ROUND(L68,1)</f>
        <v>#REF!</v>
      </c>
      <c r="N68" s="2307"/>
      <c r="Z68" s="1600"/>
      <c r="AI68" s="1539"/>
    </row>
    <row r="69" spans="1:35" ht="16.5" customHeight="1">
      <c r="A69" s="1649"/>
      <c r="B69" s="1650"/>
      <c r="C69" s="1651"/>
      <c r="D69" s="1652"/>
      <c r="E69" s="1653"/>
      <c r="F69" s="1444"/>
      <c r="G69" s="1444"/>
      <c r="H69" s="1445"/>
      <c r="I69" s="636"/>
      <c r="J69" s="3332"/>
      <c r="K69" s="1223" t="s">
        <v>1390</v>
      </c>
      <c r="L69" s="1223"/>
      <c r="M69" s="288" t="e">
        <f ca="1">ROUND(SUM(M63:M68),0)</f>
        <v>#REF!</v>
      </c>
      <c r="N69" s="2309" t="e">
        <f ca="1">M69/M49</f>
        <v>#REF!</v>
      </c>
      <c r="Z69" s="1600"/>
      <c r="AI69" s="1539"/>
    </row>
    <row r="70" spans="1:35" s="632" customFormat="1" ht="15" thickBot="1">
      <c r="A70" s="3294" t="s">
        <v>1391</v>
      </c>
      <c r="B70" s="3295"/>
      <c r="C70" s="3295"/>
      <c r="D70" s="3295"/>
      <c r="E70" s="3295"/>
      <c r="F70" s="3295"/>
      <c r="G70" s="3295"/>
      <c r="H70" s="3295"/>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3" t="s">
        <v>1372</v>
      </c>
      <c r="B71" s="3274"/>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t="e">
        <f ca="1">ROUND(D45/(1+'数据-取费表'!C42),0)</f>
        <v>#REF!</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t="e">
        <f ca="1">C74+C78</f>
        <v>#REF!</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268" t="s">
        <v>1399</v>
      </c>
      <c r="F76" s="3242"/>
      <c r="G76" s="3242"/>
      <c r="H76" s="3293"/>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t="e">
        <f ca="1">ROUND(D45*D78/(1+'数据-取费表'!C42),0)</f>
        <v>#REF!</v>
      </c>
      <c r="D78" s="2340">
        <f>'数据-取费表'!B43</f>
        <v>6.000000000000001E-3</v>
      </c>
      <c r="E78" s="3252" t="s">
        <v>1403</v>
      </c>
      <c r="F78" s="3253"/>
      <c r="G78" s="3253"/>
      <c r="H78" s="3262"/>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328</v>
      </c>
      <c r="B79" s="160" t="s">
        <v>1404</v>
      </c>
      <c r="C79" s="2331" t="e">
        <f ca="1">C72-C73</f>
        <v>#REF!</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t="e">
        <f ca="1">IF(C79&lt;=0,0,C79/C73)</f>
        <v>#REF!</v>
      </c>
      <c r="D80" s="156" t="s">
        <v>26</v>
      </c>
      <c r="E80" s="12" t="e">
        <f ca="1">IF(C80&gt;=200%,"增值额超过扣除项目金额200%",IF(C80&gt;=100%,"增值额超过扣除项目金额100%，未超过200%",IF(C80&gt;=50%,"增值额超过扣除项目金额50%，未超过100%",IF(C80&lt;50%,"增值额未超过扣除项目金额50%"))))</f>
        <v>#REF!</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t="e">
        <f ca="1">ROUND(IF(C79&lt;=0,0,IF(C80&gt;=200%,C79*60%-C73*35%,IF(C80&gt;=100%,C79*50%-C73*15%,IF(C80&gt;=50%,C79*40%-C73*5%,IF(C80&lt;50%,C79*30%,0))))),0)</f>
        <v>#REF!</v>
      </c>
      <c r="D81" s="2343"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94" t="s">
        <v>1407</v>
      </c>
      <c r="B83" s="3295"/>
      <c r="C83" s="3295"/>
      <c r="D83" s="3295"/>
      <c r="E83" s="3295"/>
      <c r="F83" s="3295"/>
      <c r="G83" s="3295"/>
      <c r="H83" s="3295"/>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3" t="s">
        <v>1372</v>
      </c>
      <c r="B84" s="3274"/>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t="e">
        <f ca="1">ROUND(D45/(1+'数据-取费表'!C42),0)</f>
        <v>#REF!</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t="e">
        <f ca="1">IF(H88="仅含出让金",C87+C90+C91+C92+C93+C94,C87+C91+C92+C93+C94)</f>
        <v>#REF!</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c r="D88" s="2340"/>
      <c r="E88" s="179" t="s">
        <v>1410</v>
      </c>
      <c r="F88" s="2125"/>
      <c r="G88" s="180" t="s">
        <v>1411</v>
      </c>
      <c r="H88" s="1661"/>
      <c r="I88" s="1658"/>
      <c r="J88" s="2285" t="s">
        <v>2276</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0</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334" t="s">
        <v>2126</v>
      </c>
      <c r="H90" s="3335"/>
      <c r="I90" s="1658"/>
      <c r="J90" s="2285" t="s">
        <v>2277</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IF(H91="——",成本法!C33,I91)</f>
        <v>0</v>
      </c>
      <c r="D91" s="2340"/>
      <c r="E91" s="3252" t="s">
        <v>1416</v>
      </c>
      <c r="F91" s="3253"/>
      <c r="G91" s="3253"/>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ROUND((C87+C90+C91)*D92,0)</f>
        <v>0</v>
      </c>
      <c r="D92" s="2346"/>
      <c r="E92" s="3252" t="s">
        <v>1419</v>
      </c>
      <c r="F92" s="3253"/>
      <c r="G92" s="3253"/>
      <c r="H92" s="3262"/>
      <c r="I92" s="1658"/>
      <c r="J92" s="2286" t="s">
        <v>2278</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t="e">
        <f ca="1">ROUND(D45*D93/(1+'数据-取费表'!C42),0)</f>
        <v>#REF!</v>
      </c>
      <c r="D93" s="2340">
        <f>'数据-取费表'!B43</f>
        <v>6.000000000000001E-3</v>
      </c>
      <c r="E93" s="3252" t="s">
        <v>1403</v>
      </c>
      <c r="F93" s="3253"/>
      <c r="G93" s="3253"/>
      <c r="H93" s="3262"/>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ROUND((C87+C90+C91)*D94,0)</f>
        <v>0</v>
      </c>
      <c r="D94" s="2340">
        <v>0.2</v>
      </c>
      <c r="E94" s="3263" t="s">
        <v>1423</v>
      </c>
      <c r="F94" s="3264"/>
      <c r="G94" s="3264"/>
      <c r="H94" s="3265"/>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328</v>
      </c>
      <c r="B95" s="160" t="s">
        <v>1404</v>
      </c>
      <c r="C95" s="2331" t="e">
        <f ca="1">ROUND(C85-C86,0)</f>
        <v>#REF!</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t="e">
        <f ca="1">IF(C95&lt;=0,0,C95/C86)</f>
        <v>#REF!</v>
      </c>
      <c r="D96" s="156" t="s">
        <v>26</v>
      </c>
      <c r="E96" s="12" t="e">
        <f ca="1">IF(C96&gt;=200%,"增值额超过扣除项目金额200%",IF(C96&gt;=100%,"增值额超过扣除项目金额100%，未超过200%",IF(C96&gt;=50%,"增值额超过扣除项目金额50%，未超过100%",IF(C96&lt;50%,"增值额未超过扣除项目金额50%"))))</f>
        <v>#REF!</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t="e">
        <f ca="1">ROUND(IF(C95&lt;=0,0,IF(C96&gt;=200%,C95*60%-C86*35%,IF(C96&gt;=100%,C95*50%-C86*15%,IF(C96&gt;=50%,C95*40%-C86*5%,IF(C96&lt;50%,C95*30%,0))))),0)</f>
        <v>#REF!</v>
      </c>
      <c r="D97" s="2343"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236" t="s">
        <v>1425</v>
      </c>
      <c r="B100" s="3237"/>
      <c r="C100" s="3237"/>
      <c r="D100" s="3254"/>
      <c r="E100" s="3237" t="s">
        <v>1426</v>
      </c>
      <c r="F100" s="3237"/>
      <c r="G100" s="3237"/>
      <c r="H100" s="3254"/>
      <c r="I100" s="115"/>
    </row>
    <row r="101" spans="1:35" ht="18.75" customHeight="1">
      <c r="A101" s="3315" t="s">
        <v>1427</v>
      </c>
      <c r="B101" s="3316"/>
      <c r="C101" s="2348" t="str">
        <f>C4</f>
        <v>比较法-办公</v>
      </c>
      <c r="D101" s="2349" t="str">
        <f>D4</f>
        <v>收益法-办公</v>
      </c>
      <c r="E101" s="3329" t="s">
        <v>1428</v>
      </c>
      <c r="F101" s="3286"/>
      <c r="G101" s="1664" t="s">
        <v>1429</v>
      </c>
      <c r="H101" s="2358" t="e">
        <f ca="1">H118</f>
        <v>#REF!</v>
      </c>
      <c r="I101" s="115"/>
    </row>
    <row r="102" spans="1:35" ht="18.75" customHeight="1">
      <c r="A102" s="3288" t="s">
        <v>1430</v>
      </c>
      <c r="B102" s="2347" t="s">
        <v>1429</v>
      </c>
      <c r="C102" s="2348">
        <f ca="1">IF(D32="楼面单价",ROUND(C19,0),C19)</f>
        <v>4650.8428000000004</v>
      </c>
      <c r="D102" s="2349">
        <f ca="1">IF(D32="楼面单价",ROUND(D19,0),D19)</f>
        <v>4050.7451999999998</v>
      </c>
      <c r="E102" s="3329"/>
      <c r="F102" s="3286"/>
      <c r="G102" s="1664" t="s">
        <v>1431</v>
      </c>
      <c r="H102" s="2318" t="e">
        <f ca="1">I118</f>
        <v>#REF!</v>
      </c>
      <c r="I102" s="115"/>
    </row>
    <row r="103" spans="1:35" ht="42.75" customHeight="1">
      <c r="A103" s="3288"/>
      <c r="B103" s="2347" t="s">
        <v>1431</v>
      </c>
      <c r="C103" s="2350">
        <f ca="1">C20</f>
        <v>18461</v>
      </c>
      <c r="D103" s="2351">
        <f ca="1">D20</f>
        <v>16079</v>
      </c>
      <c r="E103" s="3323" t="s">
        <v>1432</v>
      </c>
      <c r="F103" s="3324"/>
      <c r="G103" s="1665" t="s">
        <v>1433</v>
      </c>
      <c r="H103" s="2358">
        <f>IF(D36="正常操作",H104+H105+H106,H105+H106)</f>
        <v>0</v>
      </c>
      <c r="I103" s="115"/>
    </row>
    <row r="104" spans="1:35" ht="18.75" customHeight="1">
      <c r="A104" s="3288" t="s">
        <v>1434</v>
      </c>
      <c r="B104" s="2352" t="s">
        <v>1429</v>
      </c>
      <c r="C104" s="2353" t="e">
        <f ca="1">H118</f>
        <v>#REF!</v>
      </c>
      <c r="D104" s="2354"/>
      <c r="E104" s="1533" t="s">
        <v>1435</v>
      </c>
      <c r="F104" s="1526"/>
      <c r="G104" s="1665" t="s">
        <v>1433</v>
      </c>
      <c r="H104" s="2359">
        <f>IF(D36="同一抵押权人同一抵押物续贷",C36&amp;"（续贷，未扣减，详见特别提示）",C36)</f>
        <v>0</v>
      </c>
      <c r="I104" s="115"/>
    </row>
    <row r="105" spans="1:35" ht="18.75" customHeight="1" thickBot="1">
      <c r="A105" s="3289"/>
      <c r="B105" s="2355" t="s">
        <v>1431</v>
      </c>
      <c r="C105" s="2356" t="e">
        <f ca="1">I118</f>
        <v>#REF!</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285" t="str">
        <f>IF(项目基本情况!E8="已注销","——","3.房地产抵押价值")</f>
        <v>3.房地产抵押价值</v>
      </c>
      <c r="F107" s="3286"/>
      <c r="G107" s="1664" t="s">
        <v>1429</v>
      </c>
      <c r="H107" s="2358" t="e">
        <f ca="1">IF(E107="——","——",H101-H103)</f>
        <v>#REF!</v>
      </c>
      <c r="I107" s="115"/>
    </row>
    <row r="108" spans="1:35" ht="18.75" customHeight="1">
      <c r="A108" s="115"/>
      <c r="B108" s="115"/>
      <c r="C108" s="115"/>
      <c r="D108" s="115"/>
      <c r="E108" s="3285"/>
      <c r="F108" s="3286"/>
      <c r="G108" s="1664" t="s">
        <v>1431</v>
      </c>
      <c r="H108" s="2318" t="e">
        <f ca="1">IF(H107=H101,H102,ROUND(H107*10000/'数据-汇总表'!E3,0))</f>
        <v>#REF!</v>
      </c>
      <c r="I108" s="115"/>
    </row>
    <row r="109" spans="1:35" ht="18.75" customHeight="1">
      <c r="A109" s="115"/>
      <c r="B109" s="115"/>
      <c r="C109" s="115"/>
      <c r="D109" s="115"/>
      <c r="E109" s="3285" t="str">
        <f>IF(项目基本情况!E8="已注销及未注销","4.抵押担保权已注销时的房地产抵押价值",IF(项目基本情况!E8="已注销","3.抵押担保权已注销时的房地产抵押价值","——"))</f>
        <v>——</v>
      </c>
      <c r="F109" s="3286"/>
      <c r="G109" s="1664" t="s">
        <v>1429</v>
      </c>
      <c r="H109" s="2361" t="str">
        <f>IF(E109="——","——",H101-H105-H106)</f>
        <v>——</v>
      </c>
      <c r="I109" s="115"/>
    </row>
    <row r="110" spans="1:35" ht="18.75" customHeight="1">
      <c r="A110" s="115"/>
      <c r="B110" s="115"/>
      <c r="C110" s="115"/>
      <c r="D110" s="115"/>
      <c r="E110" s="3285"/>
      <c r="F110" s="3286"/>
      <c r="G110" s="1664" t="s">
        <v>1431</v>
      </c>
      <c r="H110" s="2318" t="str">
        <f>IF(H109="——","——",ROUND(H109*10000/'数据-汇总表'!E3,0))</f>
        <v>——</v>
      </c>
      <c r="I110" s="115"/>
    </row>
    <row r="111" spans="1:35" ht="18.75" customHeight="1">
      <c r="A111" s="115"/>
      <c r="B111" s="115"/>
      <c r="C111" s="115"/>
      <c r="D111" s="115"/>
      <c r="E111" s="3317" t="str">
        <f>IF(项目基本情况!E9="抵押净值",IF(OR(项目基本情况!E8="已注销",项目基本情况!E8="房地产抵押价值"),"4.抵押净值","5.抵押净值"),"——")</f>
        <v>——</v>
      </c>
      <c r="F111" s="3287"/>
      <c r="G111" s="1664" t="s">
        <v>1429</v>
      </c>
      <c r="H111" s="2358" t="str">
        <f>IF(E111="——","——",N59)</f>
        <v>——</v>
      </c>
      <c r="I111" s="115"/>
    </row>
    <row r="112" spans="1:35" ht="18.75" customHeight="1" thickBot="1">
      <c r="A112" s="115"/>
      <c r="B112" s="115"/>
      <c r="C112" s="115"/>
      <c r="D112" s="115"/>
      <c r="E112" s="3318"/>
      <c r="F112" s="3319"/>
      <c r="G112" s="1667" t="s">
        <v>1431</v>
      </c>
      <c r="H112" s="2362" t="str">
        <f>IF(E111="——","——",N61)</f>
        <v>——</v>
      </c>
      <c r="I112" s="115"/>
    </row>
    <row r="113" spans="1:27" ht="18.75" customHeight="1">
      <c r="A113" s="115"/>
      <c r="B113" s="115"/>
      <c r="C113" s="115"/>
      <c r="D113" s="115"/>
      <c r="E113" s="3290" t="s">
        <v>1437</v>
      </c>
      <c r="F113" s="3290"/>
      <c r="G113" s="3290"/>
      <c r="H113" s="3290"/>
      <c r="I113" s="115"/>
    </row>
    <row r="114" spans="1:27" ht="3.75" customHeight="1">
      <c r="A114" s="636"/>
      <c r="B114" s="636"/>
      <c r="C114" s="636"/>
      <c r="D114" s="636"/>
      <c r="E114" s="1648"/>
      <c r="F114" s="1648"/>
      <c r="G114" s="1648"/>
      <c r="H114" s="1648"/>
      <c r="I114" s="636"/>
    </row>
    <row r="115" spans="1:27" ht="18.75" customHeight="1">
      <c r="A115" s="3300" t="s">
        <v>1439</v>
      </c>
      <c r="B115" s="3301"/>
      <c r="C115" s="3301"/>
      <c r="D115" s="3301"/>
      <c r="E115" s="3301"/>
      <c r="F115" s="3301"/>
      <c r="G115" s="3301"/>
      <c r="H115" s="3301"/>
      <c r="I115" s="3302"/>
    </row>
    <row r="116" spans="1:27" ht="27" customHeight="1">
      <c r="A116" s="3256" t="s">
        <v>1440</v>
      </c>
      <c r="B116" s="3291" t="s">
        <v>1441</v>
      </c>
      <c r="C116" s="3291" t="s">
        <v>1442</v>
      </c>
      <c r="D116" s="3304" t="s">
        <v>1443</v>
      </c>
      <c r="E116" s="3305"/>
      <c r="F116" s="3299" t="s">
        <v>1444</v>
      </c>
      <c r="G116" s="3299"/>
      <c r="H116" s="3256" t="s">
        <v>1445</v>
      </c>
      <c r="I116" s="3256"/>
    </row>
    <row r="117" spans="1:27" ht="18.75" customHeight="1">
      <c r="A117" s="3256"/>
      <c r="B117" s="3292"/>
      <c r="C117" s="3292"/>
      <c r="D117" s="2127" t="s">
        <v>1446</v>
      </c>
      <c r="E117" s="2127" t="s">
        <v>1447</v>
      </c>
      <c r="F117" s="2127" t="s">
        <v>1446</v>
      </c>
      <c r="G117" s="2127" t="s">
        <v>1448</v>
      </c>
      <c r="H117" s="2127" t="s">
        <v>1446</v>
      </c>
      <c r="I117" s="2127" t="s">
        <v>1448</v>
      </c>
    </row>
    <row r="118" spans="1:27" ht="24.75" customHeight="1">
      <c r="A118" s="2363" t="str">
        <f>项目基本情况!S2</f>
        <v>房地产</v>
      </c>
      <c r="B118" s="2127">
        <f>M18</f>
        <v>2519.2800000000002</v>
      </c>
      <c r="C118" s="2127">
        <f>M19</f>
        <v>0</v>
      </c>
      <c r="D118" s="2127" t="e">
        <f ca="1">ROUND(IF(D32="总价",C34,E118*B118/10000),0)</f>
        <v>#REF!</v>
      </c>
      <c r="E118" s="2127" t="e">
        <f ca="1">ROUND(IF(C33="自定义",IF(D32="楼面单价",C34,D118*10000/B118),I118-G118),0)</f>
        <v>#REF!</v>
      </c>
      <c r="F118" s="2127" t="e">
        <f ca="1">ROUND(IF(D32="总价",C35,G118*B118/10000),0)</f>
        <v>#REF!</v>
      </c>
      <c r="G118" s="2127" t="e">
        <f ca="1">ROUND(IF(D32="楼面单价",C35,F118*10000/B118),0)</f>
        <v>#REF!</v>
      </c>
      <c r="H118" s="2127" t="e">
        <f ca="1">ROUND(IF(D32="总价",C32,I118*B118/10000),0)</f>
        <v>#REF!</v>
      </c>
      <c r="I118" s="2127" t="e">
        <f ca="1">ROUND(IF(D32="楼面单价",C32,H118*10000/B118),0)</f>
        <v>#REF!</v>
      </c>
    </row>
    <row r="119" spans="1:27" ht="18.75" customHeight="1">
      <c r="A119" s="3256" t="s">
        <v>1449</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96" t="s">
        <v>1449</v>
      </c>
      <c r="B121" s="3297"/>
      <c r="C121" s="3298"/>
      <c r="D121" s="3296" t="str">
        <f>IF(D120=0,"零元整",NUMBERSTRING(INT(D120*10000),2)&amp;"元整")</f>
        <v>零元整</v>
      </c>
      <c r="E121" s="3297"/>
      <c r="F121" s="3297"/>
      <c r="G121" s="3297"/>
      <c r="H121" s="3297"/>
      <c r="I121" s="3298"/>
      <c r="AA121" s="67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74"/>
    </row>
    <row r="123" spans="1:27" ht="18.75" customHeight="1">
      <c r="A123" s="3256" t="s">
        <v>1449</v>
      </c>
      <c r="B123" s="3256"/>
      <c r="C123" s="3256"/>
      <c r="D123" s="3296" t="e">
        <f ca="1">NUMBERSTRING(INT(D122*10000),2)&amp;"元整"</f>
        <v>#REF!</v>
      </c>
      <c r="E123" s="3297"/>
      <c r="F123" s="3297"/>
      <c r="G123" s="3297"/>
      <c r="H123" s="3297"/>
      <c r="I123" s="3298"/>
      <c r="AA123" s="674"/>
    </row>
    <row r="124" spans="1:27" ht="18.75" customHeight="1">
      <c r="A124" s="3287" t="str">
        <f>IF(项目基本情况!B9="房地产市场价值","",MID(E109,3,LEN(E109)-2))</f>
        <v/>
      </c>
      <c r="B124" s="3287"/>
      <c r="C124" s="3287"/>
      <c r="D124" s="3320" t="str">
        <f>H109</f>
        <v>——</v>
      </c>
      <c r="E124" s="3321"/>
      <c r="F124" s="3321"/>
      <c r="G124" s="3321"/>
      <c r="H124" s="3321"/>
      <c r="I124" s="3322"/>
      <c r="AA124" s="674"/>
    </row>
    <row r="125" spans="1:27" ht="18.75" customHeight="1">
      <c r="A125" s="3256" t="s">
        <v>1449</v>
      </c>
      <c r="B125" s="3256"/>
      <c r="C125" s="3256"/>
      <c r="D125" s="3296" t="e">
        <f>NUMBERSTRING(INT(D124*10000),2)&amp;"元整"</f>
        <v>#VALUE!</v>
      </c>
      <c r="E125" s="3297"/>
      <c r="F125" s="3297"/>
      <c r="G125" s="3297"/>
      <c r="H125" s="3297"/>
      <c r="I125" s="3298"/>
      <c r="AA125" s="674"/>
    </row>
    <row r="126" spans="1:27" ht="18.75" customHeight="1">
      <c r="A126" s="3287" t="str">
        <f>IF(项目基本情况!B9="房地产市场价值","",MID(E111,3,LEN(E111)-2))</f>
        <v/>
      </c>
      <c r="B126" s="3287"/>
      <c r="C126" s="3287"/>
      <c r="D126" s="3320" t="str">
        <f>H111</f>
        <v>——</v>
      </c>
      <c r="E126" s="3321"/>
      <c r="F126" s="3321"/>
      <c r="G126" s="3321"/>
      <c r="H126" s="3321"/>
      <c r="I126" s="3322"/>
      <c r="AA126" s="674"/>
    </row>
    <row r="127" spans="1:27" ht="18.75" customHeight="1">
      <c r="A127" s="3256" t="s">
        <v>1449</v>
      </c>
      <c r="B127" s="3256"/>
      <c r="C127" s="3256"/>
      <c r="D127" s="3296" t="e">
        <f>NUMBERSTRING(INT(D126*10000),2)&amp;"元整"</f>
        <v>#VALUE!</v>
      </c>
      <c r="E127" s="3297"/>
      <c r="F127" s="3297"/>
      <c r="G127" s="3297"/>
      <c r="H127" s="3297"/>
      <c r="I127" s="3298"/>
      <c r="AA127" s="674"/>
    </row>
    <row r="128" spans="1:27" ht="21.75" customHeight="1">
      <c r="A128" s="3303" t="s">
        <v>1450</v>
      </c>
      <c r="B128" s="3303"/>
      <c r="C128" s="3303"/>
      <c r="D128" s="3303"/>
      <c r="E128" s="3303"/>
      <c r="F128" s="3303"/>
      <c r="G128" s="3303"/>
      <c r="H128" s="3303"/>
      <c r="I128" s="3303"/>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D92" xr:uid="{D20B8747-64CF-4BBE-A316-3E64810AEBA5}">
      <formula1>"0,5%,10%"</formula1>
    </dataValidation>
    <dataValidation type="list" allowBlank="1" showInputMessage="1" showErrorMessage="1" sqref="H59" xr:uid="{55BFCF15-E87D-43FE-9A29-67445C3103AA}">
      <formula1>"非个人房产,个人住宅（满五唯一有凭证）,个人其他（有凭证）,个人其他（无凭证）"</formula1>
    </dataValidation>
    <dataValidation type="list" allowBlank="1" showInputMessage="1" showErrorMessage="1" sqref="E103" xr:uid="{763142EC-3A10-4E4A-B3AC-69553A6C5FCC}">
      <formula1>"2.估价师知悉的法定优先受偿款,2.估价师知悉的除抵押担保权以外的法定优先受偿款"</formula1>
    </dataValidation>
    <dataValidation type="list" allowBlank="1" showInputMessage="1" showErrorMessage="1" sqref="G77" xr:uid="{C2C30EAC-5A50-4E28-A26B-793F0C8BD66A}">
      <formula1>"个人住宅,2016年5月1日前购买,2016年5月1日后购买"</formula1>
    </dataValidation>
    <dataValidation type="list" allowBlank="1" showInputMessage="1" showErrorMessage="1" sqref="C1" xr:uid="{83B3A696-A40A-4C08-9687-5D7C8F331688}">
      <formula1>项目类型</formula1>
    </dataValidation>
    <dataValidation type="list" allowBlank="1" showInputMessage="1" showErrorMessage="1" sqref="I1" xr:uid="{6DB4E4EC-F146-4CFF-8E2D-7DDB84CC4593}">
      <formula1>"项目局部,项目全部,——"</formula1>
    </dataValidation>
    <dataValidation type="list" showInputMessage="1" showErrorMessage="1" sqref="G1" xr:uid="{3FD113F8-B9E3-4375-919D-082464981378}">
      <formula1>"现房,在建,土地,-"</formula1>
    </dataValidation>
    <dataValidation type="list" allowBlank="1" showInputMessage="1" showErrorMessage="1" sqref="C129" xr:uid="{CF3AA2B4-380D-42A6-820F-7845A438AE9A}">
      <formula1>"无,有"</formula1>
    </dataValidation>
    <dataValidation type="list" allowBlank="1" showInputMessage="1" showErrorMessage="1" sqref="F116:G116" xr:uid="{4A9AB14A-50F9-42EB-8A0D-7A2249F385E0}">
      <formula1>"建筑物价值,在建建筑物价值,建筑物/在建建筑物价值"</formula1>
    </dataValidation>
    <dataValidation type="list" allowBlank="1" showInputMessage="1" showErrorMessage="1" sqref="D116:E116" xr:uid="{2B447804-0373-4684-A1DD-DDFAA3A364E7}">
      <formula1>"出让国有建设用地使用权价值,划拨国有建设用地使用权价值"</formula1>
    </dataValidation>
    <dataValidation type="list" allowBlank="1" showInputMessage="1" showErrorMessage="1" sqref="C116:C117" xr:uid="{C6A4DA1E-583B-425C-A58E-C103A5A2523D}">
      <formula1>"土地面积,分摊土地面积,（分摊）土地面积"</formula1>
    </dataValidation>
    <dataValidation type="list" allowBlank="1" showInputMessage="1" showErrorMessage="1" sqref="B116:B117" xr:uid="{2A251940-F68E-4805-ADC0-23D101FB0C4B}">
      <formula1>"建筑面积,规划建筑面积,（规划）建筑面积"</formula1>
    </dataValidation>
    <dataValidation type="list" allowBlank="1" showInputMessage="1" showErrorMessage="1" sqref="D36" xr:uid="{02FB7371-301A-47F6-9866-7F1429EEF7CA}">
      <formula1>"同一抵押权人同一抵押物续贷,注销后放款,正常操作"</formula1>
    </dataValidation>
    <dataValidation type="list" allowBlank="1" showInputMessage="1" showErrorMessage="1" sqref="F75" xr:uid="{5020080D-4959-4149-9082-BCD224CA041B}">
      <formula1>"买卖合同,购房发票"</formula1>
    </dataValidation>
    <dataValidation type="list" allowBlank="1" showInputMessage="1" showErrorMessage="1" sqref="H88" xr:uid="{057FE3F4-0687-4533-9FF7-16DD8D013C25}">
      <formula1>"仅含出让金,出让金+开发费"</formula1>
    </dataValidation>
    <dataValidation type="list" allowBlank="1" showInputMessage="1" showErrorMessage="1" sqref="H91" xr:uid="{58C33D94-A66B-4D4E-A844-22AC754073AB}">
      <formula1>"企业提供（在右侧录入）,——"</formula1>
    </dataValidation>
    <dataValidation type="list" allowBlank="1" showInputMessage="1" showErrorMessage="1" sqref="C33" xr:uid="{C2459C5A-76E6-4315-B1DD-F4E5C51CDD76}">
      <formula1>"成本比率,收益比率,自定义"</formula1>
    </dataValidation>
    <dataValidation type="list" allowBlank="1" showInputMessage="1" showErrorMessage="1" sqref="F45" xr:uid="{6D354E32-ADAA-4537-8555-C908CEFCAE09}">
      <formula1>"100%,70%,56%"</formula1>
    </dataValidation>
    <dataValidation type="list" allowBlank="1" showInputMessage="1" showErrorMessage="1" sqref="D32" xr:uid="{A2C81792-2F3F-4C88-A8DB-F34B02333446}">
      <formula1>"总价,楼面单价"</formula1>
    </dataValidation>
    <dataValidation type="list" allowBlank="1" showInputMessage="1" showErrorMessage="1" sqref="H58" xr:uid="{EDBBC39D-73E8-415C-A2EF-1653B27B3FE3}">
      <formula1>"转让取得,自行开发建设"</formula1>
    </dataValidation>
    <dataValidation type="list" allowBlank="1" showInputMessage="1" showErrorMessage="1" sqref="H48" xr:uid="{32E2E680-0792-457D-9487-222F31AE1598}">
      <formula1>"情况1,情况2,情况3,情况4"</formula1>
    </dataValidation>
    <dataValidation type="list" allowBlank="1" showInputMessage="1" showErrorMessage="1" sqref="H55:H56" xr:uid="{EAFC269D-61B7-4BDE-B647-17ABB2D727E1}">
      <formula1>"个人住宅,正常"</formula1>
    </dataValidation>
    <dataValidation type="list" allowBlank="1" showInputMessage="1" showErrorMessage="1" sqref="C4:D4 D33" xr:uid="{DF9FA99F-3AC4-4EDF-A570-9096E42A82B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0" zoomScale="85" zoomScaleNormal="70" zoomScaleSheetLayoutView="85" workbookViewId="0">
      <selection activeCell="K41" sqref="K4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1807</v>
      </c>
      <c r="C1" s="1119" t="s">
        <v>1659</v>
      </c>
      <c r="D1" s="1120" t="s">
        <v>21</v>
      </c>
      <c r="E1" s="3103" t="s">
        <v>3394</v>
      </c>
      <c r="F1" s="1712" t="s">
        <v>3395</v>
      </c>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f>IF(E1="项目模式",IF(C2="——",ROUND(C50*D3/10000,0),ROUND(C50*D3/10000,0)-D2),IF(E1="单套模式",IF(C2="——",ROUND(C50*D3/10000,4),ROUND(C50*D3/10000,4)-D2)))</f>
        <v>4650.8428000000004</v>
      </c>
      <c r="C2" s="1714" t="s">
        <v>43</v>
      </c>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f>IF(C2="——",C50,ROUND(B2*10000/D3,0))</f>
        <v>18461</v>
      </c>
      <c r="C3" s="337" t="s">
        <v>1765</v>
      </c>
      <c r="D3" s="336">
        <f>IF(D1="",'数据-汇总表'!E3,SUMIF('数据-汇总表'!$C19:$C33,D1,'数据-汇总表'!$E19:$E33))</f>
        <v>2519.2800000000002</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420" t="s">
        <v>1772</v>
      </c>
      <c r="Q4" s="3421"/>
      <c r="R4" s="3424" t="s">
        <v>1768</v>
      </c>
      <c r="S4" s="3425"/>
      <c r="T4" s="3424" t="s">
        <v>1769</v>
      </c>
      <c r="U4" s="3425"/>
      <c r="V4" s="3426" t="s">
        <v>1770</v>
      </c>
      <c r="W4" s="3426"/>
      <c r="X4" s="1786"/>
      <c r="Y4" s="3424" t="s">
        <v>1772</v>
      </c>
      <c r="Z4" s="3425"/>
      <c r="AA4" s="3429" t="s">
        <v>1768</v>
      </c>
      <c r="AB4" s="3429" t="s">
        <v>1769</v>
      </c>
      <c r="AC4" s="3417" t="s">
        <v>1770</v>
      </c>
    </row>
    <row r="5" spans="1:29" ht="15.75" thickBot="1">
      <c r="A5" s="341"/>
      <c r="B5" s="342"/>
      <c r="C5" s="3401" t="s">
        <v>1670</v>
      </c>
      <c r="D5" s="3402"/>
      <c r="E5" s="3430" t="s">
        <v>3424</v>
      </c>
      <c r="F5" s="3409"/>
      <c r="G5" s="3427" t="s">
        <v>3427</v>
      </c>
      <c r="H5" s="3402"/>
      <c r="I5" s="3427" t="s">
        <v>3444</v>
      </c>
      <c r="J5" s="3402"/>
      <c r="K5" s="530"/>
      <c r="L5" s="2461"/>
      <c r="M5" s="2462"/>
      <c r="N5" s="2462"/>
      <c r="O5" s="2462"/>
      <c r="P5" s="3422"/>
      <c r="Q5" s="3390"/>
      <c r="R5" s="3395"/>
      <c r="S5" s="3396"/>
      <c r="T5" s="3395"/>
      <c r="U5" s="3396"/>
      <c r="V5" s="3369"/>
      <c r="W5" s="3369"/>
      <c r="X5" s="1243"/>
      <c r="Y5" s="3395"/>
      <c r="Z5" s="3396"/>
      <c r="AA5" s="3381"/>
      <c r="AB5" s="3381"/>
      <c r="AC5" s="3418"/>
    </row>
    <row r="6" spans="1:29" ht="15.75" hidden="1" thickBot="1">
      <c r="A6" s="343"/>
      <c r="B6" s="344"/>
      <c r="C6" s="3399" t="s">
        <v>1674</v>
      </c>
      <c r="D6" s="3400"/>
      <c r="E6" s="3406" t="s">
        <v>1674</v>
      </c>
      <c r="F6" s="3407"/>
      <c r="G6" s="3399" t="s">
        <v>1674</v>
      </c>
      <c r="H6" s="3400"/>
      <c r="I6" s="3399" t="s">
        <v>1674</v>
      </c>
      <c r="J6" s="3400"/>
      <c r="K6" s="530" t="s">
        <v>1675</v>
      </c>
      <c r="L6" s="2461"/>
      <c r="M6" s="2462"/>
      <c r="N6" s="2462"/>
      <c r="O6" s="2462"/>
      <c r="P6" s="3423"/>
      <c r="Q6" s="3392"/>
      <c r="R6" s="3395"/>
      <c r="S6" s="3396"/>
      <c r="T6" s="3397"/>
      <c r="U6" s="3398"/>
      <c r="V6" s="3369"/>
      <c r="W6" s="3369"/>
      <c r="X6" s="1243"/>
      <c r="Y6" s="3397"/>
      <c r="Z6" s="3398"/>
      <c r="AA6" s="3382"/>
      <c r="AB6" s="3382"/>
      <c r="AC6" s="3419"/>
    </row>
    <row r="7" spans="1:29" s="101" customFormat="1" ht="15.75" thickBot="1">
      <c r="A7" s="345" t="s">
        <v>1676</v>
      </c>
      <c r="B7" s="346"/>
      <c r="C7" s="347">
        <f>'数据-取费表'!B2</f>
        <v>45727</v>
      </c>
      <c r="D7" s="348">
        <v>100</v>
      </c>
      <c r="E7" s="349">
        <f>C7</f>
        <v>45727</v>
      </c>
      <c r="F7" s="350">
        <f>SUMIF(59:59,YEAR(E7)&amp;"-"&amp;MONTH(E7),60:60)</f>
        <v>100</v>
      </c>
      <c r="G7" s="349">
        <f>E7</f>
        <v>45727</v>
      </c>
      <c r="H7" s="348">
        <f>SUMIF(59:59,YEAR(G7)&amp;"-"&amp;MONTH(G7),60:60)</f>
        <v>100</v>
      </c>
      <c r="I7" s="349">
        <f>G7</f>
        <v>45727</v>
      </c>
      <c r="J7" s="348">
        <f>SUMIF(59:59,YEAR(I7)&amp;"-"&amp;MONTH(I7),60:60)</f>
        <v>100</v>
      </c>
      <c r="K7" s="38"/>
      <c r="L7" s="2463"/>
      <c r="M7" s="2416"/>
      <c r="N7" s="2416"/>
      <c r="O7" s="2416"/>
      <c r="P7" s="3428" t="s">
        <v>1677</v>
      </c>
      <c r="Q7" s="3405"/>
      <c r="R7" s="654" t="s">
        <v>14</v>
      </c>
      <c r="S7" s="655">
        <f t="shared" ref="S7:S15" si="0">F7</f>
        <v>100</v>
      </c>
      <c r="T7" s="654" t="s">
        <v>14</v>
      </c>
      <c r="U7" s="655">
        <f t="shared" ref="U7:U15" si="1">H7</f>
        <v>100</v>
      </c>
      <c r="V7" s="654" t="s">
        <v>14</v>
      </c>
      <c r="W7" s="655">
        <f t="shared" ref="W7:W15" si="2">J7</f>
        <v>100</v>
      </c>
      <c r="X7" s="656"/>
      <c r="Y7" s="3403" t="s">
        <v>1677</v>
      </c>
      <c r="Z7" s="3404"/>
      <c r="AA7" s="50">
        <f>D7/F7</f>
        <v>1</v>
      </c>
      <c r="AB7" s="50">
        <f>D7/H7</f>
        <v>1</v>
      </c>
      <c r="AC7" s="784">
        <f>D7/J7</f>
        <v>1</v>
      </c>
    </row>
    <row r="8" spans="1:29" s="101" customFormat="1" ht="15.75" thickBot="1">
      <c r="A8" s="345" t="s">
        <v>1678</v>
      </c>
      <c r="B8" s="346"/>
      <c r="C8" s="351" t="s">
        <v>3402</v>
      </c>
      <c r="D8" s="348">
        <v>100</v>
      </c>
      <c r="E8" s="351" t="s">
        <v>3402</v>
      </c>
      <c r="F8" s="350">
        <f>SUMIF(62:62,E8,63:63)-SUMIF(62:62,C8,63:63)+100</f>
        <v>100</v>
      </c>
      <c r="G8" s="351" t="s">
        <v>3402</v>
      </c>
      <c r="H8" s="348">
        <f>SUMIF(62:62,G8,63:63)-SUMIF(62:62,C8,63:63)+100</f>
        <v>100</v>
      </c>
      <c r="I8" s="351" t="s">
        <v>3402</v>
      </c>
      <c r="J8" s="348">
        <f>SUMIF(62:62,I8,63:63)-SUMIF(62:62,C8,63:63)+100</f>
        <v>100</v>
      </c>
      <c r="K8" s="38"/>
      <c r="L8" s="2463"/>
      <c r="M8" s="2416"/>
      <c r="N8" s="2416"/>
      <c r="O8" s="2416"/>
      <c r="P8" s="3428" t="s">
        <v>1680</v>
      </c>
      <c r="Q8" s="3404"/>
      <c r="R8" s="654" t="s">
        <v>14</v>
      </c>
      <c r="S8" s="655">
        <f t="shared" si="0"/>
        <v>100</v>
      </c>
      <c r="T8" s="654" t="s">
        <v>14</v>
      </c>
      <c r="U8" s="655">
        <f t="shared" si="1"/>
        <v>100</v>
      </c>
      <c r="V8" s="654" t="s">
        <v>14</v>
      </c>
      <c r="W8" s="655">
        <f t="shared" si="2"/>
        <v>100</v>
      </c>
      <c r="X8" s="656"/>
      <c r="Y8" s="3403" t="s">
        <v>1680</v>
      </c>
      <c r="Z8" s="3404"/>
      <c r="AA8" s="50">
        <f t="shared" ref="AA8:AA47" si="3">D8/F8</f>
        <v>1</v>
      </c>
      <c r="AB8" s="50">
        <f t="shared" ref="AB8:AB47" si="4">D8/H8</f>
        <v>1</v>
      </c>
      <c r="AC8" s="784">
        <f t="shared" ref="AC8:AC47" si="5">D8/J8</f>
        <v>1</v>
      </c>
    </row>
    <row r="9" spans="1:29" s="101" customFormat="1">
      <c r="A9" s="352" t="s">
        <v>1681</v>
      </c>
      <c r="B9" s="60" t="s">
        <v>1682</v>
      </c>
      <c r="C9" s="3127" t="s">
        <v>3434</v>
      </c>
      <c r="D9" s="59">
        <v>100</v>
      </c>
      <c r="E9" s="355" t="s">
        <v>21</v>
      </c>
      <c r="F9" s="59">
        <f>SUMIF(64:64,E9,65:65)-SUMIF(64:64,C9,65:65)+100</f>
        <v>100</v>
      </c>
      <c r="G9" s="355" t="s">
        <v>21</v>
      </c>
      <c r="H9" s="59">
        <f>SUMIF(64:64,G9,65:65)-SUMIF(64:64,C9,65:65)+100</f>
        <v>100</v>
      </c>
      <c r="I9" s="355" t="s">
        <v>21</v>
      </c>
      <c r="J9" s="59">
        <f>SUMIF(64:64,I9,65:65)-SUMIF(64:64,C9,65:65)+100</f>
        <v>100</v>
      </c>
      <c r="K9" s="38"/>
      <c r="L9" s="2463"/>
      <c r="M9" s="2416"/>
      <c r="N9" s="2416"/>
      <c r="O9" s="2416"/>
      <c r="P9" s="3379"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784">
        <f t="shared" si="5"/>
        <v>1</v>
      </c>
    </row>
    <row r="10" spans="1:29" s="359" customFormat="1" ht="27.75" thickBot="1">
      <c r="A10" s="356"/>
      <c r="B10" s="357" t="s">
        <v>1685</v>
      </c>
      <c r="C10" s="3104" t="str">
        <f>'比较法-车位'!C10</f>
        <v>40-50</v>
      </c>
      <c r="D10" s="113">
        <v>100</v>
      </c>
      <c r="E10" s="3104" t="str">
        <f>'比较法-车位'!G10</f>
        <v>30-40</v>
      </c>
      <c r="F10" s="113">
        <f>SUMIF(66:66,E10,67:67)-SUMIF(66:66,C10,67:67)+100</f>
        <v>98</v>
      </c>
      <c r="G10" s="3105" t="s">
        <v>3425</v>
      </c>
      <c r="H10" s="113">
        <f>SUMIF(66:66,G10,67:67)-SUMIF(66:66,C10,67:67)+100</f>
        <v>98</v>
      </c>
      <c r="I10" s="3104" t="s">
        <v>3425</v>
      </c>
      <c r="J10" s="113">
        <f>SUMIF(66:66,I10,67:67)-SUMIF(66:66,C10,67:67)+100</f>
        <v>98</v>
      </c>
      <c r="K10" s="38"/>
      <c r="L10" s="2464"/>
      <c r="M10" s="2465"/>
      <c r="N10" s="2465"/>
      <c r="O10" s="2465"/>
      <c r="P10" s="3379"/>
      <c r="Q10" s="523" t="str">
        <f t="shared" si="6"/>
        <v>土地使用年限（年）</v>
      </c>
      <c r="R10" s="654" t="s">
        <v>14</v>
      </c>
      <c r="S10" s="655">
        <f t="shared" si="0"/>
        <v>98</v>
      </c>
      <c r="T10" s="654" t="s">
        <v>14</v>
      </c>
      <c r="U10" s="655">
        <f t="shared" si="1"/>
        <v>98</v>
      </c>
      <c r="V10" s="654" t="s">
        <v>14</v>
      </c>
      <c r="W10" s="655">
        <f t="shared" si="2"/>
        <v>98</v>
      </c>
      <c r="X10" s="656"/>
      <c r="Y10" s="3243"/>
      <c r="Z10" s="50" t="str">
        <f t="shared" si="7"/>
        <v>土地使用年限（年）</v>
      </c>
      <c r="AA10" s="50">
        <f t="shared" si="3"/>
        <v>1.0204081632653061</v>
      </c>
      <c r="AB10" s="50">
        <f t="shared" si="4"/>
        <v>1.0204081632653061</v>
      </c>
      <c r="AC10" s="784">
        <f t="shared" si="5"/>
        <v>1.0204081632653061</v>
      </c>
    </row>
    <row r="11" spans="1:29" ht="15" hidden="1">
      <c r="A11" s="360"/>
      <c r="B11" s="357" t="s">
        <v>1686</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79"/>
      <c r="Q11" s="523" t="str">
        <f t="shared" si="6"/>
        <v>容积率</v>
      </c>
      <c r="R11" s="654" t="s">
        <v>14</v>
      </c>
      <c r="S11" s="655">
        <f t="shared" si="0"/>
        <v>100</v>
      </c>
      <c r="T11" s="654" t="s">
        <v>14</v>
      </c>
      <c r="U11" s="655">
        <f t="shared" si="1"/>
        <v>100</v>
      </c>
      <c r="V11" s="654" t="s">
        <v>14</v>
      </c>
      <c r="W11" s="655">
        <f t="shared" si="2"/>
        <v>100</v>
      </c>
      <c r="X11" s="656"/>
      <c r="Y11" s="3243"/>
      <c r="Z11" s="50" t="str">
        <f t="shared" si="7"/>
        <v>容积率</v>
      </c>
      <c r="AA11" s="50">
        <f t="shared" si="3"/>
        <v>1</v>
      </c>
      <c r="AB11" s="50">
        <f t="shared" si="4"/>
        <v>1</v>
      </c>
      <c r="AC11" s="784">
        <f t="shared" si="5"/>
        <v>1</v>
      </c>
    </row>
    <row r="12" spans="1:29" s="101" customFormat="1" ht="15" hidden="1">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79"/>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784">
        <f>D12/J12</f>
        <v>1</v>
      </c>
    </row>
    <row r="13" spans="1:29" ht="15" hidden="1">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79"/>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784">
        <f t="shared" si="5"/>
        <v>1</v>
      </c>
    </row>
    <row r="14" spans="1:29" ht="15.75" hidden="1"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79"/>
      <c r="Q14" s="523">
        <f t="shared" si="6"/>
        <v>111</v>
      </c>
      <c r="R14" s="654" t="s">
        <v>14</v>
      </c>
      <c r="S14" s="655">
        <f t="shared" si="0"/>
        <v>100</v>
      </c>
      <c r="T14" s="654" t="s">
        <v>14</v>
      </c>
      <c r="U14" s="655">
        <f t="shared" si="1"/>
        <v>100</v>
      </c>
      <c r="V14" s="654" t="s">
        <v>14</v>
      </c>
      <c r="W14" s="655">
        <f t="shared" si="2"/>
        <v>100</v>
      </c>
      <c r="X14" s="656"/>
      <c r="Y14" s="3243"/>
      <c r="Z14" s="50">
        <f t="shared" si="7"/>
        <v>111</v>
      </c>
      <c r="AA14" s="50">
        <f t="shared" si="3"/>
        <v>1</v>
      </c>
      <c r="AB14" s="50">
        <f t="shared" si="4"/>
        <v>1</v>
      </c>
      <c r="AC14" s="784">
        <f t="shared" si="5"/>
        <v>1</v>
      </c>
    </row>
    <row r="15" spans="1:29" ht="15">
      <c r="A15" s="372" t="s">
        <v>1687</v>
      </c>
      <c r="B15" s="547" t="s">
        <v>1808</v>
      </c>
      <c r="C15" s="1788">
        <f>估价对象房地状况!C5</f>
        <v>0</v>
      </c>
      <c r="D15" s="373">
        <v>100</v>
      </c>
      <c r="E15" s="376"/>
      <c r="F15" s="373">
        <f>SUMIF(77:77,E16,78:78)-SUMIF(77:77,C16,78:78)+100</f>
        <v>100</v>
      </c>
      <c r="G15" s="374"/>
      <c r="H15" s="373">
        <f>SUMIF(77:77,G16,78:78)-SUMIF(77:77,C16,78:78)+100</f>
        <v>100</v>
      </c>
      <c r="I15" s="374"/>
      <c r="J15" s="373">
        <f>SUMIF(77:77,I16,78:78)-SUMIF(77:77,C16,78:78)+100</f>
        <v>103</v>
      </c>
      <c r="K15" s="533">
        <v>3</v>
      </c>
      <c r="L15" s="2467"/>
      <c r="M15" s="2462"/>
      <c r="N15" s="2462"/>
      <c r="O15" s="2462"/>
      <c r="P15" s="3377" t="s">
        <v>1688</v>
      </c>
      <c r="Q15" s="1241" t="str">
        <f t="shared" si="6"/>
        <v>办公集聚程度</v>
      </c>
      <c r="R15" s="657" t="s">
        <v>14</v>
      </c>
      <c r="S15" s="658">
        <f t="shared" si="0"/>
        <v>100</v>
      </c>
      <c r="T15" s="657" t="s">
        <v>14</v>
      </c>
      <c r="U15" s="658">
        <f t="shared" si="1"/>
        <v>100</v>
      </c>
      <c r="V15" s="657" t="s">
        <v>14</v>
      </c>
      <c r="W15" s="658">
        <f t="shared" si="2"/>
        <v>103</v>
      </c>
      <c r="X15" s="1243"/>
      <c r="Y15" s="3370" t="s">
        <v>1688</v>
      </c>
      <c r="Z15" s="1242" t="str">
        <f t="shared" si="7"/>
        <v>办公集聚程度</v>
      </c>
      <c r="AA15" s="1242">
        <f t="shared" si="3"/>
        <v>1</v>
      </c>
      <c r="AB15" s="1242">
        <f t="shared" si="4"/>
        <v>1</v>
      </c>
      <c r="AC15" s="1789">
        <f t="shared" si="5"/>
        <v>0.970873786407767</v>
      </c>
    </row>
    <row r="16" spans="1:29" ht="15">
      <c r="A16" s="360"/>
      <c r="B16" s="548"/>
      <c r="C16" s="1735" t="s">
        <v>3428</v>
      </c>
      <c r="D16" s="380"/>
      <c r="E16" s="379" t="s">
        <v>3428</v>
      </c>
      <c r="F16" s="380"/>
      <c r="G16" s="379" t="s">
        <v>3428</v>
      </c>
      <c r="H16" s="382"/>
      <c r="I16" s="379" t="s">
        <v>3429</v>
      </c>
      <c r="J16" s="380"/>
      <c r="K16" s="534"/>
      <c r="L16" s="2467"/>
      <c r="M16" s="2462"/>
      <c r="N16" s="2462"/>
      <c r="O16" s="2462"/>
      <c r="P16" s="3378"/>
      <c r="Q16" s="1241"/>
      <c r="R16" s="657"/>
      <c r="S16" s="658"/>
      <c r="T16" s="657"/>
      <c r="U16" s="658"/>
      <c r="V16" s="657"/>
      <c r="W16" s="658"/>
      <c r="X16" s="1243"/>
      <c r="Y16" s="3371"/>
      <c r="Z16" s="1242"/>
      <c r="AA16" s="1242">
        <v>1</v>
      </c>
      <c r="AB16" s="1242">
        <v>1</v>
      </c>
      <c r="AC16" s="1789">
        <v>1</v>
      </c>
    </row>
    <row r="17" spans="1:29" ht="15">
      <c r="A17" s="360"/>
      <c r="B17" s="549" t="s">
        <v>1256</v>
      </c>
      <c r="C17" s="1790">
        <f>估价对象房地状况!C6</f>
        <v>0</v>
      </c>
      <c r="D17" s="382">
        <v>100</v>
      </c>
      <c r="E17" s="386"/>
      <c r="F17" s="382">
        <f>SUMIF(79:79,E18,80:80)-SUMIF(79:79,C18,80:80)+100</f>
        <v>103</v>
      </c>
      <c r="G17" s="386"/>
      <c r="H17" s="387">
        <f>SUMIF(79:79,G18,80:80)-SUMIF(79:79,C18,80:80)+100</f>
        <v>103</v>
      </c>
      <c r="I17" s="386"/>
      <c r="J17" s="387">
        <f>SUMIF(79:79,I18,80:80)-SUMIF(79:79,C18,80:80)+100</f>
        <v>103</v>
      </c>
      <c r="K17" s="533">
        <v>3</v>
      </c>
      <c r="L17" s="2467"/>
      <c r="M17" s="2462"/>
      <c r="N17" s="2462"/>
      <c r="O17" s="2462"/>
      <c r="P17" s="3378"/>
      <c r="Q17" s="1241" t="str">
        <f>B17</f>
        <v>交通便捷度</v>
      </c>
      <c r="R17" s="657" t="s">
        <v>14</v>
      </c>
      <c r="S17" s="658">
        <f>F17</f>
        <v>103</v>
      </c>
      <c r="T17" s="657" t="s">
        <v>14</v>
      </c>
      <c r="U17" s="658">
        <f>H17</f>
        <v>103</v>
      </c>
      <c r="V17" s="657" t="s">
        <v>14</v>
      </c>
      <c r="W17" s="658">
        <f>J17</f>
        <v>103</v>
      </c>
      <c r="X17" s="1243"/>
      <c r="Y17" s="3371"/>
      <c r="Z17" s="1242" t="str">
        <f>Q17</f>
        <v>交通便捷度</v>
      </c>
      <c r="AA17" s="1242">
        <f t="shared" si="3"/>
        <v>0.970873786407767</v>
      </c>
      <c r="AB17" s="1242">
        <f t="shared" si="4"/>
        <v>0.970873786407767</v>
      </c>
      <c r="AC17" s="1789">
        <f t="shared" si="5"/>
        <v>0.970873786407767</v>
      </c>
    </row>
    <row r="18" spans="1:29" ht="15">
      <c r="A18" s="360"/>
      <c r="B18" s="394"/>
      <c r="C18" s="1791" t="s">
        <v>3428</v>
      </c>
      <c r="D18" s="382"/>
      <c r="E18" s="1733" t="s">
        <v>3429</v>
      </c>
      <c r="F18" s="382"/>
      <c r="G18" s="1733" t="s">
        <v>3429</v>
      </c>
      <c r="H18" s="380"/>
      <c r="I18" s="1733" t="s">
        <v>3429</v>
      </c>
      <c r="J18" s="380"/>
      <c r="K18" s="534"/>
      <c r="L18" s="2467"/>
      <c r="M18" s="2462"/>
      <c r="N18" s="2462"/>
      <c r="O18" s="2462"/>
      <c r="P18" s="3378"/>
      <c r="Q18" s="1241"/>
      <c r="R18" s="657"/>
      <c r="S18" s="658"/>
      <c r="T18" s="657"/>
      <c r="U18" s="658"/>
      <c r="V18" s="657"/>
      <c r="W18" s="658"/>
      <c r="X18" s="1243"/>
      <c r="Y18" s="3371"/>
      <c r="Z18" s="1242"/>
      <c r="AA18" s="1242">
        <v>1</v>
      </c>
      <c r="AB18" s="1242">
        <v>1</v>
      </c>
      <c r="AC18" s="1789">
        <v>1</v>
      </c>
    </row>
    <row r="19" spans="1:29" ht="15">
      <c r="A19" s="360"/>
      <c r="B19" s="549" t="s">
        <v>1809</v>
      </c>
      <c r="C19" s="1790">
        <f>估价对象房地状况!C7</f>
        <v>0</v>
      </c>
      <c r="D19" s="387">
        <v>100</v>
      </c>
      <c r="E19" s="391"/>
      <c r="F19" s="387">
        <f>SUMIF(81:81,E20,82:82)-SUMIF(81:81,C20,82:82)+100</f>
        <v>100</v>
      </c>
      <c r="G19" s="391"/>
      <c r="H19" s="382">
        <f>SUMIF(81:81,G20,82:82)-SUMIF(81:81,C20,82:82)+100</f>
        <v>100</v>
      </c>
      <c r="I19" s="391"/>
      <c r="J19" s="382">
        <f>SUMIF(81:81,I20,82:82)-SUMIF(81:81,C20,82:82)+100</f>
        <v>100</v>
      </c>
      <c r="K19" s="533">
        <v>3</v>
      </c>
      <c r="L19" s="2467"/>
      <c r="M19" s="2462"/>
      <c r="N19" s="2462"/>
      <c r="O19" s="2462"/>
      <c r="P19" s="3378"/>
      <c r="Q19" s="1241" t="str">
        <f>B19</f>
        <v>公共配套设施</v>
      </c>
      <c r="R19" s="657" t="s">
        <v>14</v>
      </c>
      <c r="S19" s="658">
        <f>F19</f>
        <v>100</v>
      </c>
      <c r="T19" s="657" t="s">
        <v>14</v>
      </c>
      <c r="U19" s="658">
        <f>H19</f>
        <v>100</v>
      </c>
      <c r="V19" s="657" t="s">
        <v>14</v>
      </c>
      <c r="W19" s="658">
        <f>J19</f>
        <v>100</v>
      </c>
      <c r="X19" s="1243"/>
      <c r="Y19" s="3371"/>
      <c r="Z19" s="1242" t="str">
        <f>Q19</f>
        <v>公共配套设施</v>
      </c>
      <c r="AA19" s="1242">
        <f t="shared" si="3"/>
        <v>1</v>
      </c>
      <c r="AB19" s="1242">
        <f t="shared" si="4"/>
        <v>1</v>
      </c>
      <c r="AC19" s="1789">
        <f t="shared" si="5"/>
        <v>1</v>
      </c>
    </row>
    <row r="20" spans="1:29" ht="15">
      <c r="A20" s="360"/>
      <c r="B20" s="394"/>
      <c r="C20" s="1735" t="s">
        <v>3429</v>
      </c>
      <c r="D20" s="380"/>
      <c r="E20" s="1728" t="s">
        <v>3429</v>
      </c>
      <c r="F20" s="380"/>
      <c r="G20" s="1728" t="s">
        <v>3429</v>
      </c>
      <c r="H20" s="380"/>
      <c r="I20" s="1728" t="s">
        <v>3429</v>
      </c>
      <c r="J20" s="380"/>
      <c r="K20" s="534"/>
      <c r="L20" s="2467"/>
      <c r="M20" s="2462"/>
      <c r="N20" s="2462"/>
      <c r="O20" s="2462"/>
      <c r="P20" s="3378"/>
      <c r="Q20" s="1241"/>
      <c r="R20" s="657"/>
      <c r="S20" s="658"/>
      <c r="T20" s="657"/>
      <c r="U20" s="658"/>
      <c r="V20" s="657"/>
      <c r="W20" s="658"/>
      <c r="X20" s="1243"/>
      <c r="Y20" s="3371"/>
      <c r="Z20" s="1242"/>
      <c r="AA20" s="1242">
        <v>1</v>
      </c>
      <c r="AB20" s="1242">
        <v>1</v>
      </c>
      <c r="AC20" s="1789">
        <v>1</v>
      </c>
    </row>
    <row r="21" spans="1:29" ht="15">
      <c r="A21" s="360"/>
      <c r="B21" s="550" t="s">
        <v>1810</v>
      </c>
      <c r="C21" s="1790">
        <f>估价对象房地状况!C8</f>
        <v>0</v>
      </c>
      <c r="D21" s="382">
        <v>100</v>
      </c>
      <c r="E21" s="391"/>
      <c r="F21" s="387">
        <f>SUMIF(83:83,E22,84:84)-SUMIF(83:83,C22,84:84)+100</f>
        <v>100</v>
      </c>
      <c r="G21" s="391"/>
      <c r="H21" s="382">
        <f>SUMIF(83:83,G22,84:84)-SUMIF(83:83,C22,84:84)+100</f>
        <v>100</v>
      </c>
      <c r="I21" s="391"/>
      <c r="J21" s="382">
        <f>SUMIF(83:83,I22,84:84)-SUMIF(83:83,C22,84:84)+100</f>
        <v>100</v>
      </c>
      <c r="K21" s="533">
        <v>2</v>
      </c>
      <c r="L21" s="2467"/>
      <c r="M21" s="2462"/>
      <c r="N21" s="2462"/>
      <c r="O21" s="2462"/>
      <c r="P21" s="3378"/>
      <c r="Q21" s="1241" t="str">
        <f>B21</f>
        <v>基础设施水平</v>
      </c>
      <c r="R21" s="657" t="s">
        <v>14</v>
      </c>
      <c r="S21" s="658">
        <f>F21</f>
        <v>100</v>
      </c>
      <c r="T21" s="657" t="s">
        <v>14</v>
      </c>
      <c r="U21" s="658">
        <f>H21</f>
        <v>100</v>
      </c>
      <c r="V21" s="657" t="s">
        <v>14</v>
      </c>
      <c r="W21" s="658">
        <f>J21</f>
        <v>100</v>
      </c>
      <c r="X21" s="1243"/>
      <c r="Y21" s="3371"/>
      <c r="Z21" s="1242" t="str">
        <f>Q21</f>
        <v>基础设施水平</v>
      </c>
      <c r="AA21" s="1242">
        <f t="shared" ref="AA21" si="8">D21/F21</f>
        <v>1</v>
      </c>
      <c r="AB21" s="1242">
        <f t="shared" ref="AB21" si="9">D21/H21</f>
        <v>1</v>
      </c>
      <c r="AC21" s="1789">
        <f t="shared" ref="AC21" si="10">D21/J21</f>
        <v>1</v>
      </c>
    </row>
    <row r="22" spans="1:29" ht="15">
      <c r="A22" s="360"/>
      <c r="B22" s="550"/>
      <c r="C22" s="1791" t="s">
        <v>3430</v>
      </c>
      <c r="D22" s="380"/>
      <c r="E22" s="379" t="s">
        <v>3430</v>
      </c>
      <c r="F22" s="380"/>
      <c r="G22" s="379" t="s">
        <v>3430</v>
      </c>
      <c r="H22" s="380"/>
      <c r="I22" s="379" t="s">
        <v>3430</v>
      </c>
      <c r="J22" s="380"/>
      <c r="K22" s="1042"/>
      <c r="L22" s="2467"/>
      <c r="M22" s="2462"/>
      <c r="N22" s="2462"/>
      <c r="O22" s="2462"/>
      <c r="P22" s="3378"/>
      <c r="Q22" s="1241"/>
      <c r="R22" s="657"/>
      <c r="S22" s="658"/>
      <c r="T22" s="657"/>
      <c r="U22" s="658"/>
      <c r="V22" s="657"/>
      <c r="W22" s="658"/>
      <c r="X22" s="1243"/>
      <c r="Y22" s="3371"/>
      <c r="Z22" s="1242"/>
      <c r="AA22" s="1242">
        <v>1</v>
      </c>
      <c r="AB22" s="1242">
        <v>1</v>
      </c>
      <c r="AC22" s="1789">
        <v>1</v>
      </c>
    </row>
    <row r="23" spans="1:29" ht="15">
      <c r="A23" s="360"/>
      <c r="B23" s="549" t="s">
        <v>1811</v>
      </c>
      <c r="C23" s="1790">
        <f>估价对象房地状况!C9</f>
        <v>0</v>
      </c>
      <c r="D23" s="382">
        <v>100</v>
      </c>
      <c r="E23" s="386"/>
      <c r="F23" s="382">
        <f>SUMIF(85:85,E24,86:86)-SUMIF(85:85,C24,86:86)+100</f>
        <v>100</v>
      </c>
      <c r="G23" s="386"/>
      <c r="H23" s="382">
        <f>SUMIF(85:85,G24,86:86)-SUMIF(85:85,C24,86:86)+100</f>
        <v>100</v>
      </c>
      <c r="I23" s="386"/>
      <c r="J23" s="382">
        <f>SUMIF(85:85,I24,86:86)-SUMIF(85:85,C24,86:86)+100</f>
        <v>100</v>
      </c>
      <c r="K23" s="533">
        <v>3</v>
      </c>
      <c r="L23" s="2467"/>
      <c r="M23" s="2462"/>
      <c r="N23" s="2462"/>
      <c r="O23" s="2462"/>
      <c r="P23" s="3378"/>
      <c r="Q23" s="1241" t="str">
        <f>B23</f>
        <v>环境质量</v>
      </c>
      <c r="R23" s="657" t="s">
        <v>14</v>
      </c>
      <c r="S23" s="658">
        <f>F23</f>
        <v>100</v>
      </c>
      <c r="T23" s="657" t="s">
        <v>14</v>
      </c>
      <c r="U23" s="658">
        <f>H23</f>
        <v>100</v>
      </c>
      <c r="V23" s="657" t="s">
        <v>14</v>
      </c>
      <c r="W23" s="658">
        <f>J23</f>
        <v>100</v>
      </c>
      <c r="X23" s="1243"/>
      <c r="Y23" s="3371"/>
      <c r="Z23" s="1242" t="str">
        <f>Q23</f>
        <v>环境质量</v>
      </c>
      <c r="AA23" s="1242">
        <f t="shared" si="3"/>
        <v>1</v>
      </c>
      <c r="AB23" s="1242">
        <f t="shared" si="4"/>
        <v>1</v>
      </c>
      <c r="AC23" s="1789">
        <f t="shared" si="5"/>
        <v>1</v>
      </c>
    </row>
    <row r="24" spans="1:29" ht="15">
      <c r="A24" s="360"/>
      <c r="B24" s="550"/>
      <c r="C24" s="1735" t="s">
        <v>3428</v>
      </c>
      <c r="D24" s="380"/>
      <c r="E24" s="1728" t="s">
        <v>3428</v>
      </c>
      <c r="F24" s="380"/>
      <c r="G24" s="1728" t="s">
        <v>3428</v>
      </c>
      <c r="H24" s="380"/>
      <c r="I24" s="1728" t="s">
        <v>3428</v>
      </c>
      <c r="J24" s="380"/>
      <c r="K24" s="534"/>
      <c r="L24" s="2467"/>
      <c r="M24" s="2462"/>
      <c r="N24" s="2462"/>
      <c r="O24" s="2462"/>
      <c r="P24" s="3378"/>
      <c r="Q24" s="1241"/>
      <c r="R24" s="657"/>
      <c r="S24" s="658"/>
      <c r="T24" s="657"/>
      <c r="U24" s="658"/>
      <c r="V24" s="657"/>
      <c r="W24" s="658"/>
      <c r="X24" s="1243"/>
      <c r="Y24" s="3371"/>
      <c r="Z24" s="1242"/>
      <c r="AA24" s="1242">
        <v>1</v>
      </c>
      <c r="AB24" s="1242">
        <v>1</v>
      </c>
      <c r="AC24" s="1789">
        <v>1</v>
      </c>
    </row>
    <row r="25" spans="1:29" ht="27" hidden="1">
      <c r="A25" s="341"/>
      <c r="B25" s="549" t="s">
        <v>1812</v>
      </c>
      <c r="C25" s="1739"/>
      <c r="D25" s="367">
        <v>100</v>
      </c>
      <c r="E25" s="366"/>
      <c r="F25" s="367">
        <f>SUMIF(87:87,E26,88:88)-SUMIF(87:87,C26,88:88)+100</f>
        <v>100</v>
      </c>
      <c r="G25" s="366"/>
      <c r="H25" s="367">
        <f>SUMIF(87:87,G26,88:88)-SUMIF(87:87,C26,88:88)+100</f>
        <v>100</v>
      </c>
      <c r="I25" s="366"/>
      <c r="J25" s="367">
        <f>SUMIF(87:87,I26,88:88)-SUMIF(87:87,C26,88:88)+100</f>
        <v>100</v>
      </c>
      <c r="K25" s="533"/>
      <c r="L25" s="2467"/>
      <c r="M25" s="2462"/>
      <c r="N25" s="2462"/>
      <c r="O25" s="2462"/>
      <c r="P25" s="3378"/>
      <c r="Q25" s="1241" t="str">
        <f>B25</f>
        <v>毗邻道路的类型与等级</v>
      </c>
      <c r="R25" s="657" t="s">
        <v>14</v>
      </c>
      <c r="S25" s="658">
        <f>F25</f>
        <v>100</v>
      </c>
      <c r="T25" s="657" t="s">
        <v>14</v>
      </c>
      <c r="U25" s="658">
        <f>H25</f>
        <v>100</v>
      </c>
      <c r="V25" s="657" t="s">
        <v>14</v>
      </c>
      <c r="W25" s="658">
        <f>J25</f>
        <v>100</v>
      </c>
      <c r="X25" s="1243"/>
      <c r="Y25" s="3371"/>
      <c r="Z25" s="1242" t="str">
        <f>Q25</f>
        <v>毗邻道路的类型与等级</v>
      </c>
      <c r="AA25" s="1242">
        <f t="shared" si="3"/>
        <v>1</v>
      </c>
      <c r="AB25" s="1242">
        <f t="shared" si="4"/>
        <v>1</v>
      </c>
      <c r="AC25" s="1789">
        <f t="shared" si="5"/>
        <v>1</v>
      </c>
    </row>
    <row r="26" spans="1:29" ht="15" hidden="1">
      <c r="A26" s="341"/>
      <c r="B26" s="394"/>
      <c r="C26" s="551"/>
      <c r="D26" s="367"/>
      <c r="E26" s="535"/>
      <c r="F26" s="367"/>
      <c r="G26" s="535"/>
      <c r="H26" s="367"/>
      <c r="I26" s="535"/>
      <c r="J26" s="367"/>
      <c r="K26" s="534"/>
      <c r="L26" s="2467"/>
      <c r="M26" s="2462"/>
      <c r="N26" s="2462"/>
      <c r="O26" s="2462"/>
      <c r="P26" s="3378"/>
      <c r="Q26" s="1241"/>
      <c r="R26" s="657"/>
      <c r="S26" s="658"/>
      <c r="T26" s="657"/>
      <c r="U26" s="658"/>
      <c r="V26" s="657"/>
      <c r="W26" s="658"/>
      <c r="X26" s="1243"/>
      <c r="Y26" s="3371"/>
      <c r="Z26" s="1242"/>
      <c r="AA26" s="1242">
        <v>1</v>
      </c>
      <c r="AB26" s="1242">
        <v>1</v>
      </c>
      <c r="AC26" s="1789">
        <v>1</v>
      </c>
    </row>
    <row r="27" spans="1:29" ht="15.75" thickBot="1">
      <c r="A27" s="360"/>
      <c r="B27" s="394" t="s">
        <v>1780</v>
      </c>
      <c r="C27" s="3145" t="s">
        <v>3436</v>
      </c>
      <c r="D27" s="367">
        <v>100</v>
      </c>
      <c r="E27" s="3146" t="s">
        <v>3437</v>
      </c>
      <c r="F27" s="367">
        <f>SUMIF(89:89,E27,90:90)-SUMIF(89:89,C27,90:90)+100</f>
        <v>98</v>
      </c>
      <c r="G27" s="3146" t="s">
        <v>3435</v>
      </c>
      <c r="H27" s="367">
        <f>SUMIF(89:89,G27,90:90)-SUMIF(89:89,C27,90:90)+100</f>
        <v>100</v>
      </c>
      <c r="I27" s="3146" t="s">
        <v>3435</v>
      </c>
      <c r="J27" s="367">
        <f>SUMIF(89:89,I27,90:90)-SUMIF(89:89,C27,90:90)+100</f>
        <v>100</v>
      </c>
      <c r="K27" s="531">
        <v>2</v>
      </c>
      <c r="L27" s="2467"/>
      <c r="M27" s="2462"/>
      <c r="N27" s="2462"/>
      <c r="O27" s="2462"/>
      <c r="P27" s="3378"/>
      <c r="Q27" s="1241" t="str">
        <f t="shared" ref="Q27:Q47" si="11">B27</f>
        <v>楼层</v>
      </c>
      <c r="R27" s="657" t="s">
        <v>14</v>
      </c>
      <c r="S27" s="658">
        <f>F27</f>
        <v>98</v>
      </c>
      <c r="T27" s="657" t="s">
        <v>14</v>
      </c>
      <c r="U27" s="658">
        <f>H27</f>
        <v>100</v>
      </c>
      <c r="V27" s="657" t="s">
        <v>14</v>
      </c>
      <c r="W27" s="658">
        <f>J27</f>
        <v>100</v>
      </c>
      <c r="X27" s="1243"/>
      <c r="Y27" s="3371"/>
      <c r="Z27" s="1242" t="str">
        <f>Q27</f>
        <v>楼层</v>
      </c>
      <c r="AA27" s="1242">
        <f t="shared" si="3"/>
        <v>1.0204081632653061</v>
      </c>
      <c r="AB27" s="1242">
        <f t="shared" si="4"/>
        <v>1</v>
      </c>
      <c r="AC27" s="1789">
        <f t="shared" si="5"/>
        <v>1</v>
      </c>
    </row>
    <row r="28" spans="1:29" s="101" customFormat="1" ht="15" hidden="1">
      <c r="A28" s="363"/>
      <c r="B28" s="549" t="s">
        <v>1813</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78"/>
      <c r="Q28" s="523" t="str">
        <f t="shared" si="11"/>
        <v>朝向</v>
      </c>
      <c r="R28" s="654" t="s">
        <v>14</v>
      </c>
      <c r="S28" s="655">
        <f>F28</f>
        <v>100</v>
      </c>
      <c r="T28" s="654" t="s">
        <v>14</v>
      </c>
      <c r="U28" s="655">
        <f>H28</f>
        <v>100</v>
      </c>
      <c r="V28" s="654" t="s">
        <v>14</v>
      </c>
      <c r="W28" s="655">
        <f>J28</f>
        <v>100</v>
      </c>
      <c r="X28" s="656"/>
      <c r="Y28" s="3371"/>
      <c r="Z28" s="50" t="str">
        <f>Q28</f>
        <v>朝向</v>
      </c>
      <c r="AA28" s="1242">
        <f>D28/F28</f>
        <v>1</v>
      </c>
      <c r="AB28" s="1242">
        <f>D28/H28</f>
        <v>1</v>
      </c>
      <c r="AC28" s="1789">
        <f>D28/J28</f>
        <v>1</v>
      </c>
    </row>
    <row r="29" spans="1:29" ht="15" hidden="1">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78"/>
      <c r="Q29" s="1241">
        <f t="shared" si="11"/>
        <v>111</v>
      </c>
      <c r="R29" s="657" t="s">
        <v>14</v>
      </c>
      <c r="S29" s="658">
        <f t="shared" ref="S29:S47" si="12">F29</f>
        <v>100</v>
      </c>
      <c r="T29" s="657" t="s">
        <v>14</v>
      </c>
      <c r="U29" s="658">
        <f t="shared" ref="U29:U47" si="13">H29</f>
        <v>100</v>
      </c>
      <c r="V29" s="657" t="s">
        <v>14</v>
      </c>
      <c r="W29" s="658">
        <f t="shared" ref="W29:W47" si="14">J29</f>
        <v>100</v>
      </c>
      <c r="X29" s="1243"/>
      <c r="Y29" s="3371"/>
      <c r="Z29" s="1242">
        <f t="shared" ref="Z29:Z47" si="15">Q29</f>
        <v>111</v>
      </c>
      <c r="AA29" s="1242">
        <f t="shared" si="3"/>
        <v>1</v>
      </c>
      <c r="AB29" s="1242">
        <f t="shared" si="4"/>
        <v>1</v>
      </c>
      <c r="AC29" s="1789">
        <f t="shared" si="5"/>
        <v>1</v>
      </c>
    </row>
    <row r="30" spans="1:29" ht="15" hidden="1">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78"/>
      <c r="Q30" s="1241">
        <f t="shared" si="11"/>
        <v>111</v>
      </c>
      <c r="R30" s="657" t="s">
        <v>14</v>
      </c>
      <c r="S30" s="658">
        <f t="shared" si="12"/>
        <v>100</v>
      </c>
      <c r="T30" s="657" t="s">
        <v>14</v>
      </c>
      <c r="U30" s="658">
        <f t="shared" si="13"/>
        <v>100</v>
      </c>
      <c r="V30" s="657" t="s">
        <v>14</v>
      </c>
      <c r="W30" s="658">
        <f t="shared" si="14"/>
        <v>100</v>
      </c>
      <c r="X30" s="1243"/>
      <c r="Y30" s="3371"/>
      <c r="Z30" s="1242">
        <f t="shared" si="15"/>
        <v>111</v>
      </c>
      <c r="AA30" s="1242">
        <f t="shared" si="3"/>
        <v>1</v>
      </c>
      <c r="AB30" s="1242">
        <f t="shared" si="4"/>
        <v>1</v>
      </c>
      <c r="AC30" s="1789">
        <f t="shared" si="5"/>
        <v>1</v>
      </c>
    </row>
    <row r="31" spans="1:29" ht="15" hidden="1">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78"/>
      <c r="Q31" s="1241">
        <f t="shared" si="11"/>
        <v>111</v>
      </c>
      <c r="R31" s="657" t="s">
        <v>14</v>
      </c>
      <c r="S31" s="658">
        <f t="shared" si="12"/>
        <v>100</v>
      </c>
      <c r="T31" s="657" t="s">
        <v>14</v>
      </c>
      <c r="U31" s="658">
        <f t="shared" si="13"/>
        <v>100</v>
      </c>
      <c r="V31" s="657" t="s">
        <v>14</v>
      </c>
      <c r="W31" s="658">
        <f t="shared" si="14"/>
        <v>100</v>
      </c>
      <c r="X31" s="1243"/>
      <c r="Y31" s="3371"/>
      <c r="Z31" s="1242">
        <f t="shared" si="15"/>
        <v>111</v>
      </c>
      <c r="AA31" s="1242">
        <f t="shared" si="3"/>
        <v>1</v>
      </c>
      <c r="AB31" s="1242">
        <f t="shared" si="4"/>
        <v>1</v>
      </c>
      <c r="AC31" s="1789">
        <f t="shared" si="5"/>
        <v>1</v>
      </c>
    </row>
    <row r="32" spans="1:29" ht="15.75" hidden="1"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78"/>
      <c r="Q32" s="1241">
        <f t="shared" si="11"/>
        <v>111</v>
      </c>
      <c r="R32" s="657" t="s">
        <v>14</v>
      </c>
      <c r="S32" s="658">
        <f t="shared" si="12"/>
        <v>100</v>
      </c>
      <c r="T32" s="657" t="s">
        <v>14</v>
      </c>
      <c r="U32" s="658">
        <f t="shared" si="13"/>
        <v>100</v>
      </c>
      <c r="V32" s="657" t="s">
        <v>14</v>
      </c>
      <c r="W32" s="658">
        <f t="shared" si="14"/>
        <v>100</v>
      </c>
      <c r="X32" s="1243"/>
      <c r="Y32" s="3371"/>
      <c r="Z32" s="1242">
        <f t="shared" si="15"/>
        <v>111</v>
      </c>
      <c r="AA32" s="1242">
        <f t="shared" si="3"/>
        <v>1</v>
      </c>
      <c r="AB32" s="1242">
        <f t="shared" si="4"/>
        <v>1</v>
      </c>
      <c r="AC32" s="1789">
        <f t="shared" si="5"/>
        <v>1</v>
      </c>
    </row>
    <row r="33" spans="1:29" ht="15">
      <c r="A33" s="372" t="s">
        <v>1691</v>
      </c>
      <c r="B33" s="60" t="s">
        <v>1814</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72" t="s">
        <v>1693</v>
      </c>
      <c r="Q33" s="1241" t="str">
        <f t="shared" si="11"/>
        <v>建筑类型</v>
      </c>
      <c r="R33" s="657" t="s">
        <v>14</v>
      </c>
      <c r="S33" s="658">
        <f t="shared" si="12"/>
        <v>100</v>
      </c>
      <c r="T33" s="657" t="s">
        <v>14</v>
      </c>
      <c r="U33" s="658">
        <f t="shared" si="13"/>
        <v>100</v>
      </c>
      <c r="V33" s="657" t="s">
        <v>14</v>
      </c>
      <c r="W33" s="658">
        <f t="shared" si="14"/>
        <v>100</v>
      </c>
      <c r="X33" s="1243"/>
      <c r="Y33" s="3375" t="s">
        <v>1693</v>
      </c>
      <c r="Z33" s="1242" t="str">
        <f t="shared" si="15"/>
        <v>建筑类型</v>
      </c>
      <c r="AA33" s="1242">
        <f t="shared" si="3"/>
        <v>1</v>
      </c>
      <c r="AB33" s="1242">
        <f t="shared" si="4"/>
        <v>1</v>
      </c>
      <c r="AC33" s="1789">
        <f t="shared" si="5"/>
        <v>1</v>
      </c>
    </row>
    <row r="34" spans="1:29" s="401" customFormat="1" ht="15">
      <c r="A34" s="399"/>
      <c r="B34" s="357" t="s">
        <v>1694</v>
      </c>
      <c r="C34" s="400">
        <v>630</v>
      </c>
      <c r="D34" s="113">
        <v>100</v>
      </c>
      <c r="E34" s="362">
        <v>179</v>
      </c>
      <c r="F34" s="357">
        <f>LOOKUP(E34,104:104,105:105)-LOOKUP(C34,104:104,105:105)+100</f>
        <v>102</v>
      </c>
      <c r="G34" s="361">
        <v>111.09</v>
      </c>
      <c r="H34" s="113">
        <f>LOOKUP(G34,104:104,105:105)-LOOKUP(C34,104:104,105:105)+100</f>
        <v>102</v>
      </c>
      <c r="I34" s="361">
        <v>132.81</v>
      </c>
      <c r="J34" s="113">
        <f>LOOKUP(I34,104:104,105:105)-LOOKUP(C34,104:104,105:105)+100</f>
        <v>102</v>
      </c>
      <c r="K34" s="532"/>
      <c r="L34" s="2466"/>
      <c r="M34" s="2468"/>
      <c r="N34" s="2468"/>
      <c r="O34" s="2468"/>
      <c r="P34" s="3373"/>
      <c r="Q34" s="524" t="str">
        <f t="shared" si="11"/>
        <v>项目建筑规模</v>
      </c>
      <c r="R34" s="659" t="s">
        <v>14</v>
      </c>
      <c r="S34" s="660">
        <f t="shared" si="12"/>
        <v>102</v>
      </c>
      <c r="T34" s="659" t="s">
        <v>14</v>
      </c>
      <c r="U34" s="660">
        <f t="shared" si="13"/>
        <v>102</v>
      </c>
      <c r="V34" s="659" t="s">
        <v>14</v>
      </c>
      <c r="W34" s="660">
        <f t="shared" si="14"/>
        <v>102</v>
      </c>
      <c r="X34" s="661"/>
      <c r="Y34" s="3375"/>
      <c r="Z34" s="662" t="str">
        <f t="shared" si="15"/>
        <v>项目建筑规模</v>
      </c>
      <c r="AA34" s="1242">
        <f t="shared" si="3"/>
        <v>0.98039215686274506</v>
      </c>
      <c r="AB34" s="1242">
        <f t="shared" si="4"/>
        <v>0.98039215686274506</v>
      </c>
      <c r="AC34" s="1789">
        <f t="shared" si="5"/>
        <v>0.98039215686274506</v>
      </c>
    </row>
    <row r="35" spans="1:29" ht="15">
      <c r="A35" s="402"/>
      <c r="B35" s="357" t="s">
        <v>1695</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73"/>
      <c r="Q35" s="1241" t="str">
        <f t="shared" si="11"/>
        <v>建筑结构</v>
      </c>
      <c r="R35" s="657" t="s">
        <v>14</v>
      </c>
      <c r="S35" s="658">
        <f t="shared" si="12"/>
        <v>100</v>
      </c>
      <c r="T35" s="657" t="s">
        <v>14</v>
      </c>
      <c r="U35" s="658">
        <f t="shared" si="13"/>
        <v>100</v>
      </c>
      <c r="V35" s="657" t="s">
        <v>14</v>
      </c>
      <c r="W35" s="658">
        <f t="shared" si="14"/>
        <v>100</v>
      </c>
      <c r="X35" s="1243"/>
      <c r="Y35" s="3375"/>
      <c r="Z35" s="1242" t="str">
        <f t="shared" si="15"/>
        <v>建筑结构</v>
      </c>
      <c r="AA35" s="1242">
        <f t="shared" si="3"/>
        <v>1</v>
      </c>
      <c r="AB35" s="1242">
        <f t="shared" si="4"/>
        <v>1</v>
      </c>
      <c r="AC35" s="1789">
        <f t="shared" si="5"/>
        <v>1</v>
      </c>
    </row>
    <row r="36" spans="1:29" ht="15">
      <c r="A36" s="402"/>
      <c r="B36" s="357" t="s">
        <v>1782</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73"/>
      <c r="Q36" s="1241" t="str">
        <f t="shared" si="11"/>
        <v>公共部分装修</v>
      </c>
      <c r="R36" s="657" t="s">
        <v>14</v>
      </c>
      <c r="S36" s="658">
        <f t="shared" si="12"/>
        <v>100</v>
      </c>
      <c r="T36" s="657" t="s">
        <v>14</v>
      </c>
      <c r="U36" s="658">
        <f t="shared" si="13"/>
        <v>100</v>
      </c>
      <c r="V36" s="657" t="s">
        <v>14</v>
      </c>
      <c r="W36" s="658">
        <f t="shared" si="14"/>
        <v>100</v>
      </c>
      <c r="X36" s="1243"/>
      <c r="Y36" s="3375"/>
      <c r="Z36" s="1242" t="str">
        <f t="shared" si="15"/>
        <v>公共部分装修</v>
      </c>
      <c r="AA36" s="1242">
        <f t="shared" si="3"/>
        <v>1</v>
      </c>
      <c r="AB36" s="1242">
        <f t="shared" si="4"/>
        <v>1</v>
      </c>
      <c r="AC36" s="1789">
        <f t="shared" si="5"/>
        <v>1</v>
      </c>
    </row>
    <row r="37" spans="1:29" ht="15">
      <c r="A37" s="402"/>
      <c r="B37" s="357" t="s">
        <v>1783</v>
      </c>
      <c r="C37" s="404">
        <f>'数据-取费表'!N6</f>
        <v>0.97</v>
      </c>
      <c r="D37" s="367">
        <v>100</v>
      </c>
      <c r="E37" s="404">
        <f>'比较法-车位'!G29</f>
        <v>0.87</v>
      </c>
      <c r="F37" s="393">
        <f>LOOKUP(E37,111:111,112:112)-LOOKUP(C37,111:111,112:112)+100</f>
        <v>99</v>
      </c>
      <c r="G37" s="404">
        <f>ROUND(1-(2025-2011)/60,2)</f>
        <v>0.77</v>
      </c>
      <c r="H37" s="393">
        <f>LOOKUP(G37,111:111,112:112)-LOOKUP(C37,111:111,112:112)+100</f>
        <v>98</v>
      </c>
      <c r="I37" s="404">
        <f>ROUND(1-(2025-2013)/60,2)</f>
        <v>0.8</v>
      </c>
      <c r="J37" s="367">
        <f>LOOKUP(I37,111:111,112:112)-LOOKUP(C37,111:111,112:112)+100</f>
        <v>99</v>
      </c>
      <c r="K37" s="531">
        <v>1</v>
      </c>
      <c r="L37" s="2467"/>
      <c r="M37" s="2462"/>
      <c r="N37" s="2462"/>
      <c r="O37" s="2462"/>
      <c r="P37" s="3373"/>
      <c r="Q37" s="1241" t="str">
        <f t="shared" si="11"/>
        <v>成新度</v>
      </c>
      <c r="R37" s="657" t="s">
        <v>14</v>
      </c>
      <c r="S37" s="658">
        <f t="shared" si="12"/>
        <v>99</v>
      </c>
      <c r="T37" s="657" t="s">
        <v>14</v>
      </c>
      <c r="U37" s="658">
        <f t="shared" si="13"/>
        <v>98</v>
      </c>
      <c r="V37" s="657" t="s">
        <v>14</v>
      </c>
      <c r="W37" s="658">
        <f t="shared" si="14"/>
        <v>99</v>
      </c>
      <c r="X37" s="1243"/>
      <c r="Y37" s="3375"/>
      <c r="Z37" s="1242" t="str">
        <f t="shared" si="15"/>
        <v>成新度</v>
      </c>
      <c r="AA37" s="1242">
        <f t="shared" si="3"/>
        <v>1.0101010101010102</v>
      </c>
      <c r="AB37" s="1242">
        <f t="shared" si="4"/>
        <v>1.0204081632653061</v>
      </c>
      <c r="AC37" s="1789">
        <f t="shared" si="5"/>
        <v>1.0101010101010102</v>
      </c>
    </row>
    <row r="38" spans="1:29" s="101" customFormat="1" ht="15">
      <c r="A38" s="403"/>
      <c r="B38" s="357" t="s">
        <v>1815</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73"/>
      <c r="Q38" s="523" t="str">
        <f t="shared" si="11"/>
        <v>写字楼等级</v>
      </c>
      <c r="R38" s="654" t="s">
        <v>14</v>
      </c>
      <c r="S38" s="655">
        <f t="shared" si="12"/>
        <v>100</v>
      </c>
      <c r="T38" s="654" t="s">
        <v>14</v>
      </c>
      <c r="U38" s="655">
        <f t="shared" si="13"/>
        <v>100</v>
      </c>
      <c r="V38" s="654" t="s">
        <v>14</v>
      </c>
      <c r="W38" s="655">
        <f t="shared" si="14"/>
        <v>100</v>
      </c>
      <c r="X38" s="656"/>
      <c r="Y38" s="3375"/>
      <c r="Z38" s="50" t="str">
        <f t="shared" si="15"/>
        <v>写字楼等级</v>
      </c>
      <c r="AA38" s="50">
        <f t="shared" si="3"/>
        <v>1</v>
      </c>
      <c r="AB38" s="50">
        <f t="shared" si="4"/>
        <v>1</v>
      </c>
      <c r="AC38" s="784">
        <f t="shared" si="5"/>
        <v>1</v>
      </c>
    </row>
    <row r="39" spans="1:29" ht="15">
      <c r="A39" s="402"/>
      <c r="B39" s="357" t="s">
        <v>1816</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73" t="s">
        <v>1693</v>
      </c>
      <c r="Q39" s="1241" t="str">
        <f t="shared" si="11"/>
        <v>物业管理</v>
      </c>
      <c r="R39" s="657" t="s">
        <v>14</v>
      </c>
      <c r="S39" s="658">
        <f t="shared" si="12"/>
        <v>100</v>
      </c>
      <c r="T39" s="657" t="s">
        <v>14</v>
      </c>
      <c r="U39" s="658">
        <f t="shared" si="13"/>
        <v>100</v>
      </c>
      <c r="V39" s="657" t="s">
        <v>14</v>
      </c>
      <c r="W39" s="658">
        <f t="shared" si="14"/>
        <v>100</v>
      </c>
      <c r="X39" s="1243"/>
      <c r="Y39" s="3375" t="s">
        <v>1693</v>
      </c>
      <c r="Z39" s="1242" t="str">
        <f t="shared" si="15"/>
        <v>物业管理</v>
      </c>
      <c r="AA39" s="1242">
        <f t="shared" si="3"/>
        <v>1</v>
      </c>
      <c r="AB39" s="1242">
        <f t="shared" si="4"/>
        <v>1</v>
      </c>
      <c r="AC39" s="1789">
        <f t="shared" si="5"/>
        <v>1</v>
      </c>
    </row>
    <row r="40" spans="1:29" ht="15">
      <c r="A40" s="402"/>
      <c r="B40" s="357" t="s">
        <v>1784</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73"/>
      <c r="Q40" s="1241" t="str">
        <f t="shared" si="11"/>
        <v>市政基础设施</v>
      </c>
      <c r="R40" s="657" t="s">
        <v>14</v>
      </c>
      <c r="S40" s="658">
        <f t="shared" si="12"/>
        <v>100</v>
      </c>
      <c r="T40" s="657" t="s">
        <v>14</v>
      </c>
      <c r="U40" s="658">
        <f t="shared" si="13"/>
        <v>100</v>
      </c>
      <c r="V40" s="657" t="s">
        <v>14</v>
      </c>
      <c r="W40" s="658">
        <f t="shared" si="14"/>
        <v>100</v>
      </c>
      <c r="X40" s="1243"/>
      <c r="Y40" s="3375"/>
      <c r="Z40" s="1242" t="str">
        <f t="shared" si="15"/>
        <v>市政基础设施</v>
      </c>
      <c r="AA40" s="1242">
        <f t="shared" si="3"/>
        <v>1</v>
      </c>
      <c r="AB40" s="1242">
        <f t="shared" si="4"/>
        <v>1</v>
      </c>
      <c r="AC40" s="1789">
        <f t="shared" si="5"/>
        <v>1</v>
      </c>
    </row>
    <row r="41" spans="1:29" ht="15">
      <c r="A41" s="402"/>
      <c r="B41" s="357" t="s">
        <v>1786</v>
      </c>
      <c r="C41" s="535" t="s">
        <v>3439</v>
      </c>
      <c r="D41" s="367">
        <v>100</v>
      </c>
      <c r="E41" s="3146" t="s">
        <v>3440</v>
      </c>
      <c r="F41" s="393">
        <f>SUMIF(119:119,E41,120:120)-SUMIF(119:119,C41,120:120)+100</f>
        <v>100</v>
      </c>
      <c r="G41" s="3146" t="s">
        <v>3440</v>
      </c>
      <c r="H41" s="367">
        <f>SUMIF(119:119,G41,120:120)-SUMIF(119:119,C41,120:120)+100</f>
        <v>100</v>
      </c>
      <c r="I41" s="3146" t="s">
        <v>3441</v>
      </c>
      <c r="J41" s="367">
        <f>SUMIF(119:119,I41,120:120)-SUMIF(119:119,C41,120:120)+100</f>
        <v>110</v>
      </c>
      <c r="K41" s="531">
        <v>10</v>
      </c>
      <c r="L41" s="2467"/>
      <c r="M41" s="2462"/>
      <c r="N41" s="2462"/>
      <c r="O41" s="2462"/>
      <c r="P41" s="3373"/>
      <c r="Q41" s="1241" t="str">
        <f t="shared" si="11"/>
        <v>层高</v>
      </c>
      <c r="R41" s="657" t="s">
        <v>14</v>
      </c>
      <c r="S41" s="658">
        <f t="shared" si="12"/>
        <v>100</v>
      </c>
      <c r="T41" s="657" t="s">
        <v>14</v>
      </c>
      <c r="U41" s="658">
        <f t="shared" si="13"/>
        <v>100</v>
      </c>
      <c r="V41" s="657" t="s">
        <v>14</v>
      </c>
      <c r="W41" s="658">
        <f t="shared" si="14"/>
        <v>110</v>
      </c>
      <c r="X41" s="1243"/>
      <c r="Y41" s="3375"/>
      <c r="Z41" s="1242" t="str">
        <f t="shared" si="15"/>
        <v>层高</v>
      </c>
      <c r="AA41" s="1242">
        <f t="shared" si="3"/>
        <v>1</v>
      </c>
      <c r="AB41" s="1242">
        <f t="shared" si="4"/>
        <v>1</v>
      </c>
      <c r="AC41" s="1789">
        <f t="shared" si="5"/>
        <v>0.90909090909090906</v>
      </c>
    </row>
    <row r="42" spans="1:29" s="401" customFormat="1" ht="15">
      <c r="A42" s="399"/>
      <c r="B42" s="393" t="s">
        <v>1817</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73"/>
      <c r="Q42" s="524" t="str">
        <f t="shared" si="11"/>
        <v>单套建筑面积</v>
      </c>
      <c r="R42" s="659" t="s">
        <v>14</v>
      </c>
      <c r="S42" s="660">
        <f t="shared" si="12"/>
        <v>100</v>
      </c>
      <c r="T42" s="659" t="s">
        <v>14</v>
      </c>
      <c r="U42" s="660">
        <f t="shared" si="13"/>
        <v>100</v>
      </c>
      <c r="V42" s="659" t="s">
        <v>14</v>
      </c>
      <c r="W42" s="660">
        <f t="shared" si="14"/>
        <v>100</v>
      </c>
      <c r="X42" s="661"/>
      <c r="Y42" s="3375"/>
      <c r="Z42" s="662" t="str">
        <f t="shared" si="15"/>
        <v>单套建筑面积</v>
      </c>
      <c r="AA42" s="1242">
        <f t="shared" si="3"/>
        <v>1</v>
      </c>
      <c r="AB42" s="1242">
        <f t="shared" si="4"/>
        <v>1</v>
      </c>
      <c r="AC42" s="1789">
        <f t="shared" si="5"/>
        <v>1</v>
      </c>
    </row>
    <row r="43" spans="1:29" ht="15">
      <c r="A43" s="402"/>
      <c r="B43" s="357" t="s">
        <v>1789</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73"/>
      <c r="Q43" s="1241" t="str">
        <f t="shared" si="11"/>
        <v>内部装修</v>
      </c>
      <c r="R43" s="657" t="s">
        <v>14</v>
      </c>
      <c r="S43" s="658">
        <f t="shared" si="12"/>
        <v>100</v>
      </c>
      <c r="T43" s="657" t="s">
        <v>14</v>
      </c>
      <c r="U43" s="658">
        <f t="shared" si="13"/>
        <v>100</v>
      </c>
      <c r="V43" s="657" t="s">
        <v>14</v>
      </c>
      <c r="W43" s="658">
        <f t="shared" si="14"/>
        <v>100</v>
      </c>
      <c r="X43" s="1243"/>
      <c r="Y43" s="3375"/>
      <c r="Z43" s="1242" t="str">
        <f t="shared" si="15"/>
        <v>内部装修</v>
      </c>
      <c r="AA43" s="1242">
        <f t="shared" si="3"/>
        <v>1</v>
      </c>
      <c r="AB43" s="1242">
        <f t="shared" si="4"/>
        <v>1</v>
      </c>
      <c r="AC43" s="1789">
        <f t="shared" si="5"/>
        <v>1</v>
      </c>
    </row>
    <row r="44" spans="1:29" ht="15.75" thickBot="1">
      <c r="A44" s="402"/>
      <c r="B44" s="357" t="s">
        <v>1704</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73"/>
      <c r="Q44" s="1241" t="str">
        <f t="shared" si="11"/>
        <v>内部装修维护情况</v>
      </c>
      <c r="R44" s="657" t="s">
        <v>14</v>
      </c>
      <c r="S44" s="658">
        <f t="shared" si="12"/>
        <v>100</v>
      </c>
      <c r="T44" s="657" t="s">
        <v>14</v>
      </c>
      <c r="U44" s="658">
        <f t="shared" si="13"/>
        <v>100</v>
      </c>
      <c r="V44" s="657" t="s">
        <v>14</v>
      </c>
      <c r="W44" s="658">
        <f t="shared" si="14"/>
        <v>100</v>
      </c>
      <c r="X44" s="1243"/>
      <c r="Y44" s="3375"/>
      <c r="Z44" s="1242" t="str">
        <f t="shared" si="15"/>
        <v>内部装修维护情况</v>
      </c>
      <c r="AA44" s="1242">
        <f t="shared" si="3"/>
        <v>1</v>
      </c>
      <c r="AB44" s="1242">
        <f t="shared" si="4"/>
        <v>1</v>
      </c>
      <c r="AC44" s="1789">
        <f t="shared" si="5"/>
        <v>1</v>
      </c>
    </row>
    <row r="45" spans="1:29" s="101" customFormat="1" ht="15" hidden="1">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73"/>
      <c r="Q45" s="523">
        <f t="shared" si="11"/>
        <v>111</v>
      </c>
      <c r="R45" s="654" t="s">
        <v>14</v>
      </c>
      <c r="S45" s="655">
        <f t="shared" si="12"/>
        <v>100</v>
      </c>
      <c r="T45" s="654" t="s">
        <v>14</v>
      </c>
      <c r="U45" s="655">
        <f t="shared" si="13"/>
        <v>100</v>
      </c>
      <c r="V45" s="654" t="s">
        <v>14</v>
      </c>
      <c r="W45" s="655">
        <f t="shared" si="14"/>
        <v>100</v>
      </c>
      <c r="X45" s="656"/>
      <c r="Y45" s="3375"/>
      <c r="Z45" s="50">
        <f t="shared" si="15"/>
        <v>111</v>
      </c>
      <c r="AA45" s="50">
        <f t="shared" si="3"/>
        <v>1</v>
      </c>
      <c r="AB45" s="50">
        <f t="shared" si="4"/>
        <v>1</v>
      </c>
      <c r="AC45" s="784">
        <f t="shared" si="5"/>
        <v>1</v>
      </c>
    </row>
    <row r="46" spans="1:29" ht="15" hidden="1">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73"/>
      <c r="Q46" s="1241">
        <f t="shared" si="11"/>
        <v>111</v>
      </c>
      <c r="R46" s="657" t="s">
        <v>14</v>
      </c>
      <c r="S46" s="658">
        <f t="shared" si="12"/>
        <v>100</v>
      </c>
      <c r="T46" s="657" t="s">
        <v>14</v>
      </c>
      <c r="U46" s="658">
        <f t="shared" si="13"/>
        <v>100</v>
      </c>
      <c r="V46" s="657" t="s">
        <v>14</v>
      </c>
      <c r="W46" s="658">
        <f t="shared" si="14"/>
        <v>100</v>
      </c>
      <c r="X46" s="1243"/>
      <c r="Y46" s="3375"/>
      <c r="Z46" s="1242">
        <f t="shared" si="15"/>
        <v>111</v>
      </c>
      <c r="AA46" s="1242">
        <f t="shared" si="3"/>
        <v>1</v>
      </c>
      <c r="AB46" s="1242">
        <f t="shared" si="4"/>
        <v>1</v>
      </c>
      <c r="AC46" s="1789">
        <f t="shared" si="5"/>
        <v>1</v>
      </c>
    </row>
    <row r="47" spans="1:29" ht="15.75" hidden="1"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74"/>
      <c r="Q47" s="1241">
        <f t="shared" si="11"/>
        <v>111</v>
      </c>
      <c r="R47" s="657" t="s">
        <v>14</v>
      </c>
      <c r="S47" s="658">
        <f t="shared" si="12"/>
        <v>100</v>
      </c>
      <c r="T47" s="657" t="s">
        <v>14</v>
      </c>
      <c r="U47" s="658">
        <f t="shared" si="13"/>
        <v>100</v>
      </c>
      <c r="V47" s="657" t="s">
        <v>14</v>
      </c>
      <c r="W47" s="658">
        <f t="shared" si="14"/>
        <v>100</v>
      </c>
      <c r="X47" s="1243"/>
      <c r="Y47" s="3376"/>
      <c r="Z47" s="1242">
        <f t="shared" si="15"/>
        <v>111</v>
      </c>
      <c r="AA47" s="1242">
        <f t="shared" si="3"/>
        <v>1</v>
      </c>
      <c r="AB47" s="1242">
        <f t="shared" si="4"/>
        <v>1</v>
      </c>
      <c r="AC47" s="1789">
        <f t="shared" si="5"/>
        <v>1</v>
      </c>
    </row>
    <row r="48" spans="1:29" ht="15">
      <c r="A48" s="409" t="s">
        <v>1705</v>
      </c>
      <c r="B48" s="410"/>
      <c r="C48" s="1059" t="s">
        <v>0</v>
      </c>
      <c r="D48" s="411"/>
      <c r="E48" s="412">
        <v>18027</v>
      </c>
      <c r="F48" s="413"/>
      <c r="G48" s="414">
        <v>20197</v>
      </c>
      <c r="H48" s="415"/>
      <c r="I48" s="412">
        <v>20000</v>
      </c>
      <c r="J48" s="415"/>
      <c r="K48" s="664"/>
      <c r="L48" s="2469"/>
      <c r="M48" s="2462"/>
      <c r="N48" s="2462"/>
      <c r="O48" s="2462"/>
      <c r="P48" s="3379" t="str">
        <f>A48</f>
        <v>成交单价（元/平方米）</v>
      </c>
      <c r="Q48" s="3368"/>
      <c r="R48" s="3369">
        <f>E48</f>
        <v>18027</v>
      </c>
      <c r="S48" s="3369"/>
      <c r="T48" s="3369">
        <f>G48</f>
        <v>20197</v>
      </c>
      <c r="U48" s="3369"/>
      <c r="V48" s="3369">
        <f>I48</f>
        <v>20000</v>
      </c>
      <c r="W48" s="3369"/>
      <c r="X48" s="378"/>
      <c r="Y48" s="663"/>
      <c r="Z48" s="378"/>
      <c r="AA48" s="378"/>
      <c r="AB48" s="378"/>
      <c r="AC48" s="548"/>
    </row>
    <row r="49" spans="1:29" ht="15.75" thickBot="1">
      <c r="A49" s="416" t="s">
        <v>1790</v>
      </c>
      <c r="B49" s="417"/>
      <c r="C49" s="1060">
        <f>R50</f>
        <v>18461</v>
      </c>
      <c r="D49" s="2118" t="s">
        <v>2135</v>
      </c>
      <c r="E49" s="1061">
        <f>R49</f>
        <v>18047</v>
      </c>
      <c r="F49" s="2119"/>
      <c r="G49" s="1060">
        <f>T49</f>
        <v>20017</v>
      </c>
      <c r="H49" s="2119"/>
      <c r="I49" s="1061">
        <f>V49</f>
        <v>17318</v>
      </c>
      <c r="J49" s="2119"/>
      <c r="K49" s="2121">
        <f>F49+H49+J49</f>
        <v>0</v>
      </c>
      <c r="L49" s="2469"/>
      <c r="M49" s="2462"/>
      <c r="N49" s="2462"/>
      <c r="O49" s="2462"/>
      <c r="P49" s="3379" t="str">
        <f>A49</f>
        <v>比较价值（元/平方米）</v>
      </c>
      <c r="Q49" s="3368"/>
      <c r="R49" s="3369">
        <f>IF(F1="售价",ROUND(PRODUCT(R48,AA7:AA47),0),ROUND(PRODUCT(R48,AA7:AA47),1))</f>
        <v>18047</v>
      </c>
      <c r="S49" s="3369"/>
      <c r="T49" s="3369">
        <f>IF(F1="售价",ROUND(PRODUCT(T48,AB7:AB47),0),ROUND(PRODUCT(T48,AB7:AB47),1))</f>
        <v>20017</v>
      </c>
      <c r="U49" s="3369"/>
      <c r="V49" s="3369">
        <f>IF(F1="售价",ROUND(PRODUCT(V48,AC7:AC47),0),ROUND(PRODUCT(V48,AC7:AC47),1))</f>
        <v>17318</v>
      </c>
      <c r="W49" s="3369"/>
      <c r="X49" s="378"/>
      <c r="Y49" s="378"/>
      <c r="Z49" s="378"/>
      <c r="AA49" s="378"/>
      <c r="AB49" s="378"/>
      <c r="AC49" s="548"/>
    </row>
    <row r="50" spans="1:29" ht="15.75" thickBot="1">
      <c r="A50" s="420" t="s">
        <v>1791</v>
      </c>
      <c r="B50" s="421"/>
      <c r="C50" s="344">
        <f>R50</f>
        <v>18461</v>
      </c>
      <c r="D50" s="344"/>
      <c r="E50" s="344"/>
      <c r="F50" s="344"/>
      <c r="G50" s="344"/>
      <c r="H50" s="344"/>
      <c r="I50" s="344"/>
      <c r="J50" s="422"/>
      <c r="K50" s="665"/>
      <c r="L50" s="2469"/>
      <c r="M50" s="2462"/>
      <c r="N50" s="2462"/>
      <c r="O50" s="2462"/>
      <c r="P50" s="3414" t="str">
        <f>A50</f>
        <v>估价对象XX用房的比较价值（楼面单价，元/平方米）</v>
      </c>
      <c r="Q50" s="3415"/>
      <c r="R50" s="3416">
        <f>IF(F1="售价",ROUND(IF(D49="简单平均",AVERAGE(R49:V49),R49*F49+T49*H49+V49*J49),0),ROUND(IF(D49="简单平均",AVERAGE(R49:V49),R49*F49+T49*H49+V49*J49),1))</f>
        <v>18461</v>
      </c>
      <c r="S50" s="3416"/>
      <c r="T50" s="3416"/>
      <c r="U50" s="3416"/>
      <c r="V50" s="3416"/>
      <c r="W50" s="3416"/>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1792</v>
      </c>
      <c r="D53" s="426"/>
      <c r="E53" s="427">
        <f>IF(E48&lt;E49,E49/E48-1,E48/E49-1)</f>
        <v>1.1094469407000318E-3</v>
      </c>
      <c r="F53" s="428" t="str">
        <f>IF(OR(E53&gt;=0.3,E53&lt;=-0.3),"超过30%","")</f>
        <v/>
      </c>
      <c r="G53" s="427">
        <f>IF(G48&lt;G49,G49/G48-1,G48/G49-1)</f>
        <v>8.9923564969776049E-3</v>
      </c>
      <c r="H53" s="428" t="str">
        <f>IF(OR(G53&gt;=0.3,G53&lt;=-0.3),"超过30%","")</f>
        <v/>
      </c>
      <c r="I53" s="427">
        <f>IF(I48&lt;I49,I49/I48-1,I48/I49-1)</f>
        <v>0.15486776764060517</v>
      </c>
      <c r="J53" s="428" t="str">
        <f>IF(OR(I53&gt;=0.3,I53&lt;=-0.3),"超过30%","")</f>
        <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1793</v>
      </c>
      <c r="D54" s="429"/>
      <c r="E54" s="427">
        <f>IF(E49&lt;G49,G49/E49-1,E49/G49-1)</f>
        <v>0.10915941707763066</v>
      </c>
      <c r="F54" s="428" t="str">
        <f>IF(OR(E54&gt;=0.2,E54&lt;=-0.2),"超过20%","")</f>
        <v/>
      </c>
      <c r="G54" s="427">
        <f>IF(G49&lt;I49,I49/G49-1,G49/I49-1)</f>
        <v>0.15584940524309965</v>
      </c>
      <c r="H54" s="428" t="str">
        <f>IF(OR(G54&gt;=0.2,G54&lt;=-0.2),"超过20%","")</f>
        <v/>
      </c>
      <c r="I54" s="427">
        <f>IF(I49&lt;E49,E49/I49-1,I49/E49-1)</f>
        <v>4.209493013050003E-2</v>
      </c>
      <c r="J54" s="428" t="str">
        <f>IF(OR(I54&gt;=0.2,I54&lt;=-0.2),"超过20%","")</f>
        <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1794</v>
      </c>
      <c r="D55" s="429"/>
      <c r="E55" s="427">
        <f>IF(E48&lt;G48,G48/E48-1,E48/G48-1)</f>
        <v>0.12037499306595656</v>
      </c>
      <c r="F55" s="428" t="str">
        <f>IF(OR(E55&gt;=0.3,E55&lt;=-0.3),"超过30%","")</f>
        <v/>
      </c>
      <c r="G55" s="427">
        <f>IF(G48&lt;I48,I48/G48-1,G48/I48-1)</f>
        <v>9.8499999999999144E-3</v>
      </c>
      <c r="H55" s="428" t="str">
        <f>IF(OR(G55&gt;=0.3,G55&lt;=-0.3),"超过30%","")</f>
        <v/>
      </c>
      <c r="I55" s="427">
        <f>IF(I48&lt;E48,E48/I48-1,I48/E48-1)</f>
        <v>0.10944694070006111</v>
      </c>
      <c r="J55" s="428" t="str">
        <f>IF(OR(I55&gt;=0.3,I55&lt;=-0.3),"超过30%","")</f>
        <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1795</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1676</v>
      </c>
      <c r="B59" s="434"/>
      <c r="C59" s="1081" t="str">
        <f>YEAR(C7)&amp;"-"&amp;MONTH(C7)</f>
        <v>2025-3</v>
      </c>
      <c r="D59" s="1082">
        <f>EDATE(C59,-1)</f>
        <v>45689</v>
      </c>
      <c r="E59" s="1082">
        <f>EDATE(D59,-1)</f>
        <v>45658</v>
      </c>
      <c r="F59" s="1082">
        <f t="shared" ref="F59:O59" si="16">EDATE(E59,-1)</f>
        <v>45627</v>
      </c>
      <c r="G59" s="1082">
        <f t="shared" si="16"/>
        <v>45597</v>
      </c>
      <c r="H59" s="1082">
        <f t="shared" si="16"/>
        <v>45566</v>
      </c>
      <c r="I59" s="1082">
        <f t="shared" si="16"/>
        <v>45536</v>
      </c>
      <c r="J59" s="1082">
        <f t="shared" si="16"/>
        <v>45505</v>
      </c>
      <c r="K59" s="1082">
        <f t="shared" si="16"/>
        <v>45474</v>
      </c>
      <c r="L59" s="1082">
        <f t="shared" si="16"/>
        <v>45444</v>
      </c>
      <c r="M59" s="1082">
        <f t="shared" si="16"/>
        <v>45413</v>
      </c>
      <c r="N59" s="1082">
        <f t="shared" si="16"/>
        <v>45383</v>
      </c>
      <c r="O59" s="1082">
        <f t="shared" si="16"/>
        <v>45352</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1713</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1678</v>
      </c>
      <c r="B62" s="437"/>
      <c r="C62" s="449" t="s">
        <v>1773</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1716</v>
      </c>
      <c r="B64" s="453" t="s">
        <v>1682</v>
      </c>
      <c r="C64" s="454" t="str">
        <f>C9</f>
        <v>办公</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8.5" thickTop="1" thickBot="1">
      <c r="A66" s="360"/>
      <c r="B66" s="462" t="s">
        <v>1685</v>
      </c>
      <c r="C66" s="506" t="str">
        <f>'比较法-车位'!C55</f>
        <v>40-50</v>
      </c>
      <c r="D66" s="506" t="str">
        <f>'比较法-车位'!D55</f>
        <v>30-40</v>
      </c>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6.5" thickTop="1" thickBot="1">
      <c r="A67" s="360"/>
      <c r="B67" s="467"/>
      <c r="C67" s="506">
        <f>'比较法-车位'!C56</f>
        <v>100</v>
      </c>
      <c r="D67" s="506">
        <f>'比较法-车位'!D56</f>
        <v>98</v>
      </c>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1686</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1687</v>
      </c>
      <c r="B77" s="453" t="s">
        <v>1818</v>
      </c>
      <c r="C77" s="497" t="s">
        <v>1718</v>
      </c>
      <c r="D77" s="497" t="s">
        <v>1719</v>
      </c>
      <c r="E77" s="497" t="s">
        <v>1720</v>
      </c>
      <c r="F77" s="497" t="s">
        <v>1721</v>
      </c>
      <c r="G77" s="497" t="s">
        <v>1722</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97</v>
      </c>
      <c r="E78" s="468">
        <f>D78-$K15</f>
        <v>94</v>
      </c>
      <c r="F78" s="468">
        <f>E78-$K15</f>
        <v>91</v>
      </c>
      <c r="G78" s="468">
        <f>F78-$K15</f>
        <v>88</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1723</v>
      </c>
      <c r="C79" s="502" t="s">
        <v>1718</v>
      </c>
      <c r="D79" s="502" t="s">
        <v>1719</v>
      </c>
      <c r="E79" s="502" t="s">
        <v>1720</v>
      </c>
      <c r="F79" s="502" t="s">
        <v>1721</v>
      </c>
      <c r="G79" s="502" t="s">
        <v>1722</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97</v>
      </c>
      <c r="E80" s="468">
        <f>D80-$K17</f>
        <v>94</v>
      </c>
      <c r="F80" s="468">
        <f>E80-$K17</f>
        <v>91</v>
      </c>
      <c r="G80" s="468">
        <f>F80-$K17</f>
        <v>88</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1724</v>
      </c>
      <c r="C81" s="502" t="s">
        <v>1718</v>
      </c>
      <c r="D81" s="502" t="s">
        <v>1719</v>
      </c>
      <c r="E81" s="502" t="s">
        <v>1720</v>
      </c>
      <c r="F81" s="502" t="s">
        <v>1721</v>
      </c>
      <c r="G81" s="502" t="s">
        <v>1722</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97</v>
      </c>
      <c r="E82" s="468">
        <f>D82-$K19</f>
        <v>94</v>
      </c>
      <c r="F82" s="468">
        <f>E82-$K19</f>
        <v>91</v>
      </c>
      <c r="G82" s="468">
        <f>F82-$K19</f>
        <v>88</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1810</v>
      </c>
      <c r="C83" s="574" t="s">
        <v>1796</v>
      </c>
      <c r="D83" s="574" t="s">
        <v>1797</v>
      </c>
      <c r="E83" s="574" t="s">
        <v>1798</v>
      </c>
      <c r="F83" s="574" t="s">
        <v>1799</v>
      </c>
      <c r="G83" s="574" t="s">
        <v>1800</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98</v>
      </c>
      <c r="E84" s="468">
        <f>D84-$K21</f>
        <v>96</v>
      </c>
      <c r="F84" s="468">
        <f>E84-$K21</f>
        <v>94</v>
      </c>
      <c r="G84" s="468">
        <f>F84-$K21</f>
        <v>92</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1819</v>
      </c>
      <c r="C85" s="502" t="s">
        <v>1718</v>
      </c>
      <c r="D85" s="502" t="s">
        <v>1719</v>
      </c>
      <c r="E85" s="502" t="s">
        <v>1720</v>
      </c>
      <c r="F85" s="502" t="s">
        <v>1721</v>
      </c>
      <c r="G85" s="502" t="s">
        <v>1722</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97</v>
      </c>
      <c r="E86" s="468">
        <f>D86-$K23</f>
        <v>94</v>
      </c>
      <c r="F86" s="468">
        <f>E86-$K23</f>
        <v>91</v>
      </c>
      <c r="G86" s="468">
        <f>F86-$K23</f>
        <v>88</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1820</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3147" t="s">
        <v>3436</v>
      </c>
      <c r="D89" s="3147" t="s">
        <v>3437</v>
      </c>
      <c r="E89" s="3147" t="s">
        <v>3438</v>
      </c>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98</v>
      </c>
      <c r="E90" s="468">
        <f t="shared" ref="E90:M90" si="20">D90-$K27</f>
        <v>96</v>
      </c>
      <c r="F90" s="468">
        <f t="shared" si="20"/>
        <v>94</v>
      </c>
      <c r="G90" s="468">
        <f t="shared" si="20"/>
        <v>92</v>
      </c>
      <c r="H90" s="468">
        <f t="shared" si="20"/>
        <v>90</v>
      </c>
      <c r="I90" s="468">
        <f t="shared" si="20"/>
        <v>88</v>
      </c>
      <c r="J90" s="468">
        <f t="shared" si="20"/>
        <v>86</v>
      </c>
      <c r="K90" s="468">
        <f t="shared" si="20"/>
        <v>84</v>
      </c>
      <c r="L90" s="468">
        <f t="shared" si="20"/>
        <v>82</v>
      </c>
      <c r="M90" s="468">
        <f t="shared" si="20"/>
        <v>80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1691</v>
      </c>
      <c r="B101" s="453" t="s">
        <v>1733</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1734</v>
      </c>
      <c r="C103" s="502" t="str">
        <f>C104&amp;"(含)"&amp;"-"&amp;D104</f>
        <v>0(含)-200</v>
      </c>
      <c r="D103" s="502" t="str">
        <f t="shared" ref="D103:L103" si="23">D104&amp;"(含)"&amp;"-"&amp;E104</f>
        <v>200(含)-500</v>
      </c>
      <c r="E103" s="502" t="str">
        <f t="shared" si="23"/>
        <v>500(含)-1000</v>
      </c>
      <c r="F103" s="502" t="str">
        <f t="shared" si="23"/>
        <v>1000(含)-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v>0</v>
      </c>
      <c r="D104" s="6">
        <v>200</v>
      </c>
      <c r="E104" s="6">
        <v>500</v>
      </c>
      <c r="F104" s="6">
        <v>1000</v>
      </c>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v>100</v>
      </c>
      <c r="D105" s="460">
        <v>99</v>
      </c>
      <c r="E105" s="460">
        <v>98</v>
      </c>
      <c r="F105" s="460">
        <v>97</v>
      </c>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1735</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1737</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101</v>
      </c>
      <c r="E112" s="468">
        <f t="shared" ref="E112:M112" si="26">D112+$K37</f>
        <v>102</v>
      </c>
      <c r="F112" s="468">
        <f t="shared" si="26"/>
        <v>103</v>
      </c>
      <c r="G112" s="468">
        <f t="shared" si="26"/>
        <v>104</v>
      </c>
      <c r="H112" s="468">
        <f t="shared" si="26"/>
        <v>105</v>
      </c>
      <c r="I112" s="468">
        <f t="shared" si="26"/>
        <v>106</v>
      </c>
      <c r="J112" s="468">
        <f t="shared" si="26"/>
        <v>107</v>
      </c>
      <c r="K112" s="468">
        <f t="shared" si="26"/>
        <v>108</v>
      </c>
      <c r="L112" s="468">
        <f t="shared" si="26"/>
        <v>109</v>
      </c>
      <c r="M112" s="468">
        <f t="shared" si="26"/>
        <v>110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1821</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1738</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1739</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1822</v>
      </c>
      <c r="C119" s="3148" t="s">
        <v>3442</v>
      </c>
      <c r="D119" s="506" t="s">
        <v>3439</v>
      </c>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90</v>
      </c>
      <c r="E120" s="468">
        <f t="shared" ref="E120:M120" si="29">D120-$K41</f>
        <v>80</v>
      </c>
      <c r="F120" s="468">
        <f t="shared" si="29"/>
        <v>70</v>
      </c>
      <c r="G120" s="468">
        <f t="shared" si="29"/>
        <v>60</v>
      </c>
      <c r="H120" s="468">
        <f t="shared" si="29"/>
        <v>50</v>
      </c>
      <c r="I120" s="468">
        <f t="shared" si="29"/>
        <v>40</v>
      </c>
      <c r="J120" s="468">
        <f t="shared" si="29"/>
        <v>30</v>
      </c>
      <c r="K120" s="468">
        <f t="shared" si="29"/>
        <v>20</v>
      </c>
      <c r="L120" s="468">
        <f t="shared" si="29"/>
        <v>10</v>
      </c>
      <c r="M120" s="468">
        <f t="shared" si="29"/>
        <v>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1805</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1741</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1742</v>
      </c>
      <c r="C125" s="502" t="s">
        <v>1718</v>
      </c>
      <c r="D125" s="502" t="s">
        <v>1719</v>
      </c>
      <c r="E125" s="502" t="s">
        <v>1720</v>
      </c>
      <c r="F125" s="502" t="s">
        <v>1721</v>
      </c>
      <c r="G125" s="502" t="s">
        <v>1722</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F6059-61C1-4AA3-AF86-937DCFF6F982}">
  <dimension ref="A1"/>
  <sheetViews>
    <sheetView topLeftCell="A67" zoomScale="70" zoomScaleNormal="70" workbookViewId="0">
      <selection activeCell="T94" sqref="T94"/>
    </sheetView>
  </sheetViews>
  <sheetFormatPr defaultRowHeight="13.5"/>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396C1-3F75-4F78-B772-9D6057A10323}">
  <sheetPr>
    <tabColor rgb="FF92D050"/>
  </sheetPr>
  <dimension ref="A1:AK83"/>
  <sheetViews>
    <sheetView view="pageBreakPreview" topLeftCell="A25" zoomScale="70" zoomScaleNormal="70" zoomScaleSheetLayoutView="70" workbookViewId="0">
      <selection activeCell="D11" sqref="D1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21</v>
      </c>
      <c r="D1" s="1249" t="s">
        <v>43</v>
      </c>
      <c r="E1" s="1250" t="s">
        <v>675</v>
      </c>
      <c r="F1" s="978">
        <f ca="1">J53</f>
        <v>42.01</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3096">
        <f ca="1">ROUND(D2/10000,4)</f>
        <v>4050.7451999999998</v>
      </c>
      <c r="C2" s="1267" t="s">
        <v>802</v>
      </c>
      <c r="D2" s="1353">
        <f ca="1">C40+J29+L46</f>
        <v>40507452</v>
      </c>
      <c r="E2" s="1273" t="s">
        <v>877</v>
      </c>
      <c r="F2" s="1274"/>
      <c r="G2" s="2453"/>
      <c r="H2" s="2443"/>
      <c r="I2" s="2443"/>
      <c r="J2" s="2443"/>
      <c r="K2" s="2444"/>
      <c r="L2" s="2443"/>
      <c r="M2" s="2443"/>
    </row>
    <row r="3" spans="1:37" ht="18" customHeight="1" thickBot="1">
      <c r="A3" s="1275" t="s">
        <v>803</v>
      </c>
      <c r="B3" s="1276">
        <f ca="1">IF(ISERROR(D2/F43),0,ROUND(D2/F43,0))</f>
        <v>16079</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f ca="1">C6+C10+C12</f>
        <v>2317234</v>
      </c>
      <c r="D5" s="1251" t="s">
        <v>690</v>
      </c>
      <c r="E5" s="987"/>
      <c r="F5" s="988"/>
      <c r="G5" s="1270"/>
      <c r="H5" s="285">
        <v>1</v>
      </c>
      <c r="I5" s="286" t="s">
        <v>689</v>
      </c>
      <c r="J5" s="986">
        <f ca="1">J6+J10+J12</f>
        <v>0</v>
      </c>
      <c r="K5" s="1251" t="s">
        <v>690</v>
      </c>
      <c r="L5" s="987"/>
      <c r="M5" s="988"/>
    </row>
    <row r="6" spans="1:37" ht="18" customHeight="1">
      <c r="A6" s="985" t="s">
        <v>398</v>
      </c>
      <c r="B6" s="3341" t="s">
        <v>691</v>
      </c>
      <c r="C6" s="990">
        <f ca="1">ROUND(F6*F8*F7*(1-F9),0)</f>
        <v>2317234</v>
      </c>
      <c r="D6" s="141" t="s">
        <v>2103</v>
      </c>
      <c r="E6" s="288" t="s">
        <v>693</v>
      </c>
      <c r="F6" s="289">
        <f ca="1">INDIRECT("'数据-取费表'!u"&amp;$G$1)</f>
        <v>2.8</v>
      </c>
      <c r="G6" s="1270"/>
      <c r="H6" s="985" t="s">
        <v>398</v>
      </c>
      <c r="I6" s="3341" t="s">
        <v>691</v>
      </c>
      <c r="J6" s="287">
        <f ca="1">ROUND(M6*M8*M7*(1-M9),0)</f>
        <v>0</v>
      </c>
      <c r="K6" s="1262" t="s">
        <v>2104</v>
      </c>
      <c r="L6" s="288" t="s">
        <v>693</v>
      </c>
      <c r="M6" s="289">
        <f ca="1">INDIRECT("'数据-取费表'!z"&amp;$G$1)</f>
        <v>0</v>
      </c>
    </row>
    <row r="7" spans="1:37" ht="18" customHeight="1">
      <c r="A7" s="989"/>
      <c r="B7" s="3342"/>
      <c r="C7" s="991"/>
      <c r="D7" s="293"/>
      <c r="E7" s="992" t="s">
        <v>694</v>
      </c>
      <c r="F7" s="289">
        <f ca="1">IF(INDIRECT("'数据-取费表'!ah"&amp;$G$1)="",INDIRECT("'数据-取费表'!k"&amp;$G$1),INDIRECT("'数据-取费表'!ah"&amp;$G$1))</f>
        <v>2519.2800000000002</v>
      </c>
      <c r="G7" s="1270"/>
      <c r="H7" s="290"/>
      <c r="I7" s="3342"/>
      <c r="J7" s="292"/>
      <c r="K7" s="293"/>
      <c r="L7" s="288" t="s">
        <v>694</v>
      </c>
      <c r="M7" s="289">
        <f ca="1">F7</f>
        <v>2519.2800000000002</v>
      </c>
    </row>
    <row r="8" spans="1:37" ht="18" customHeight="1">
      <c r="A8" s="290"/>
      <c r="B8" s="3342"/>
      <c r="C8" s="292"/>
      <c r="D8" s="293"/>
      <c r="E8" s="288" t="s">
        <v>695</v>
      </c>
      <c r="F8" s="289">
        <f ca="1">INDIRECT("'数据-取费表'!ai"&amp;$G$1)</f>
        <v>365</v>
      </c>
      <c r="G8" s="1270"/>
      <c r="H8" s="290"/>
      <c r="I8" s="3342"/>
      <c r="J8" s="292"/>
      <c r="K8" s="293"/>
      <c r="L8" s="288" t="s">
        <v>695</v>
      </c>
      <c r="M8" s="289">
        <f ca="1">INDIRECT("'数据-取费表'!ai"&amp;$G$1)</f>
        <v>365</v>
      </c>
    </row>
    <row r="9" spans="1:37" ht="18" customHeight="1">
      <c r="A9" s="290"/>
      <c r="B9" s="3343"/>
      <c r="C9" s="292"/>
      <c r="D9" s="293"/>
      <c r="E9" s="288" t="s">
        <v>696</v>
      </c>
      <c r="F9" s="298">
        <f ca="1">INDIRECT("'数据-取费表'!w"&amp;$G$1)</f>
        <v>0.1</v>
      </c>
      <c r="G9" s="1270"/>
      <c r="H9" s="290"/>
      <c r="I9" s="3343"/>
      <c r="J9" s="292"/>
      <c r="K9" s="293"/>
      <c r="L9" s="299" t="s">
        <v>696</v>
      </c>
      <c r="M9" s="300">
        <f ca="1">INDIRECT("'数据-取费表'!ab"&amp;$G$1)</f>
        <v>0</v>
      </c>
    </row>
    <row r="10" spans="1:37" ht="18" customHeight="1">
      <c r="A10" s="985" t="s">
        <v>402</v>
      </c>
      <c r="B10" s="1252" t="s">
        <v>697</v>
      </c>
      <c r="C10" s="302">
        <f ca="1">ROUND(IF(F10="押一",C6/12*F11,IF(F10="押二",C6/12*2*F11,IF(F10="押三",C6/12*3*F11,C11*F11))),0)</f>
        <v>0</v>
      </c>
      <c r="D10" s="144" t="s">
        <v>2113</v>
      </c>
      <c r="E10" s="299" t="s">
        <v>698</v>
      </c>
      <c r="F10" s="1031" t="s">
        <v>3420</v>
      </c>
      <c r="G10" s="1270"/>
      <c r="H10" s="985" t="s">
        <v>402</v>
      </c>
      <c r="I10" s="1252" t="s">
        <v>697</v>
      </c>
      <c r="J10" s="287">
        <f ca="1">ROUND(IF(M10="押一",J6/12*M11,IF(M10="押二",J6/12*2*M11,IF(M10="押三",J6/12*3*M11,J11*M11))),0)</f>
        <v>0</v>
      </c>
      <c r="K10" s="1263" t="s">
        <v>2115</v>
      </c>
      <c r="L10" s="299" t="s">
        <v>698</v>
      </c>
      <c r="M10" s="1031"/>
    </row>
    <row r="11" spans="1:37" ht="18" customHeight="1">
      <c r="A11" s="294"/>
      <c r="B11" s="1253" t="s">
        <v>887</v>
      </c>
      <c r="C11" s="885"/>
      <c r="D11" s="293"/>
      <c r="E11" s="299" t="s">
        <v>699</v>
      </c>
      <c r="F11" s="300">
        <f ca="1">'数据-取费表'!B39</f>
        <v>1.4999999999999999E-2</v>
      </c>
      <c r="G11" s="1270"/>
      <c r="H11" s="993"/>
      <c r="I11" s="1253" t="s">
        <v>888</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15992650</v>
      </c>
      <c r="D13" s="996" t="s">
        <v>702</v>
      </c>
      <c r="E13" s="996" t="s">
        <v>703</v>
      </c>
      <c r="F13" s="997">
        <f ca="1">INDIRECT("'数据-取费表'!y"&amp;$G$1)</f>
        <v>0.97</v>
      </c>
      <c r="G13" s="1270"/>
      <c r="H13" s="994">
        <v>2</v>
      </c>
      <c r="I13" s="995" t="s">
        <v>701</v>
      </c>
      <c r="J13" s="984">
        <f ca="1">ROUND(J14*J15,0)</f>
        <v>0</v>
      </c>
      <c r="K13" s="1002" t="s">
        <v>702</v>
      </c>
      <c r="L13" s="1277"/>
      <c r="M13" s="1278"/>
    </row>
    <row r="14" spans="1:37" ht="18" customHeight="1">
      <c r="A14" s="908" t="s">
        <v>397</v>
      </c>
      <c r="B14" s="288" t="s">
        <v>704</v>
      </c>
      <c r="C14" s="303">
        <f ca="1">ROUND(INDIRECT("'数据-取费表'!l"&amp;$G$1)*F43+'数据-取费表'!L14*INDIRECT("'数据-取费表'!S"&amp;$G$1),0)</f>
        <v>11336760</v>
      </c>
      <c r="D14" s="1235" t="s">
        <v>705</v>
      </c>
      <c r="E14" s="1233"/>
      <c r="F14" s="304"/>
      <c r="G14" s="1270"/>
      <c r="H14" s="908" t="s">
        <v>398</v>
      </c>
      <c r="I14" s="288" t="s">
        <v>706</v>
      </c>
      <c r="J14" s="21">
        <f ca="1">C29</f>
        <v>16487268</v>
      </c>
      <c r="K14" s="12"/>
      <c r="L14" s="741"/>
      <c r="M14" s="742"/>
    </row>
    <row r="15" spans="1:37" s="1282" customFormat="1" ht="18" customHeight="1" thickBot="1">
      <c r="A15" s="908" t="s">
        <v>399</v>
      </c>
      <c r="B15" s="288" t="s">
        <v>707</v>
      </c>
      <c r="C15" s="21">
        <f ca="1">ROUND(C14*F15,0)</f>
        <v>566838</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ROUND(INDIRECT("'数据-取费表'!l"&amp;$G$1)*F43*F16,0)</f>
        <v>0</v>
      </c>
      <c r="D16" s="288" t="s">
        <v>708</v>
      </c>
      <c r="E16" s="288" t="s">
        <v>709</v>
      </c>
      <c r="F16" s="307">
        <f ca="1">IF(INDIRECT("'数据-取费表'!c"&amp;$G$1)="住宅",'数据-取费表'!B34,0)</f>
        <v>0</v>
      </c>
      <c r="G16" s="1270"/>
      <c r="H16" s="994" t="s">
        <v>393</v>
      </c>
      <c r="I16" s="995" t="s">
        <v>711</v>
      </c>
      <c r="J16" s="296">
        <f ca="1">ROUND(J17+J22+J23+J24,0)</f>
        <v>32975</v>
      </c>
      <c r="K16" s="1002" t="s">
        <v>712</v>
      </c>
      <c r="L16" s="1003"/>
      <c r="M16" s="988"/>
    </row>
    <row r="17" spans="1:37" s="1282" customFormat="1" ht="18" customHeight="1">
      <c r="A17" s="908" t="s">
        <v>678</v>
      </c>
      <c r="B17" s="288" t="s">
        <v>713</v>
      </c>
      <c r="C17" s="21">
        <f ca="1">ROUND(F17*(F43+INDIRECT("'数据-取费表'!S"&amp;$G$1)),0)</f>
        <v>503856</v>
      </c>
      <c r="D17" s="288" t="s">
        <v>714</v>
      </c>
      <c r="E17" s="288" t="s">
        <v>715</v>
      </c>
      <c r="F17" s="23">
        <f>'数据-取费表'!B35</f>
        <v>200</v>
      </c>
      <c r="G17" s="1281"/>
      <c r="H17" s="908" t="s">
        <v>398</v>
      </c>
      <c r="I17" s="288" t="s">
        <v>716</v>
      </c>
      <c r="J17" s="2117">
        <f ca="1">ROUND(IF(AND(项目基本情况!B11="自然人",项目基本情况!B10="北京市"),J6*M17/(1+'数据-取费表'!C42),J18+J19+J20),0)</f>
        <v>0</v>
      </c>
      <c r="K17" s="1235" t="s">
        <v>717</v>
      </c>
      <c r="L17" s="1234" t="s">
        <v>718</v>
      </c>
      <c r="M17" s="2116">
        <f ca="1">IF(项目基本情况!B11="企业","",IF('数据-取费表'!B10="住宅",IF(M6*M7*M8/12/(1+'数据-取费表'!F30)&gt;100000,4%,2.5%),IF(M6*M7*M8/12/(1+'数据-取费表'!F30)&gt;100000,12%,7%)))</f>
        <v>7.0000000000000007E-2</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226735</v>
      </c>
      <c r="D18" s="288" t="s">
        <v>708</v>
      </c>
      <c r="E18" s="288" t="s">
        <v>709</v>
      </c>
      <c r="F18" s="307">
        <f>'数据-取费表'!B36</f>
        <v>0.02</v>
      </c>
      <c r="G18" s="1281"/>
      <c r="H18" s="908" t="s">
        <v>397</v>
      </c>
      <c r="I18" s="288" t="s">
        <v>720</v>
      </c>
      <c r="J18" s="21">
        <f ca="1">ROUND(J6*M18/(1+'数据-取费表'!C42),0)</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12634189</v>
      </c>
      <c r="D19" s="117" t="s">
        <v>723</v>
      </c>
      <c r="E19" s="1247"/>
      <c r="F19" s="23"/>
      <c r="G19" s="1270"/>
      <c r="H19" s="908" t="s">
        <v>399</v>
      </c>
      <c r="I19" s="288" t="s">
        <v>724</v>
      </c>
      <c r="J19" s="21">
        <f ca="1">IF(K19="按租金收入计税",ROUND(J6*M19/(1+'数据-取费表'!C42),0),ROUND(C29*M19*0.7,0))</f>
        <v>0</v>
      </c>
      <c r="K19" s="1256" t="s">
        <v>3322</v>
      </c>
      <c r="L19" s="288" t="s">
        <v>709</v>
      </c>
      <c r="M19" s="307">
        <f>IF(K19="按租金收入计税",'数据-取费表'!B51,'数据-取费表'!B50)</f>
        <v>0.12</v>
      </c>
    </row>
    <row r="20" spans="1:37" s="1282" customFormat="1" ht="18" customHeight="1">
      <c r="A20" s="908" t="s">
        <v>402</v>
      </c>
      <c r="B20" s="288" t="s">
        <v>725</v>
      </c>
      <c r="C20" s="21">
        <f ca="1">ROUND(C19*F20,0)</f>
        <v>252684</v>
      </c>
      <c r="D20" s="308" t="s">
        <v>726</v>
      </c>
      <c r="E20" s="288" t="s">
        <v>709</v>
      </c>
      <c r="F20" s="307">
        <f>'数据-取费表'!B37</f>
        <v>0.02</v>
      </c>
      <c r="G20" s="1281"/>
      <c r="H20" s="908" t="s">
        <v>677</v>
      </c>
      <c r="I20" s="141" t="s">
        <v>727</v>
      </c>
      <c r="J20" s="22">
        <f ca="1">ROUND(M20*M21,0)</f>
        <v>0</v>
      </c>
      <c r="K20" s="309" t="s">
        <v>728</v>
      </c>
      <c r="L20" s="288" t="s">
        <v>729</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ROUND(J14*M22,0)</f>
        <v>32975</v>
      </c>
      <c r="K22" s="1234" t="s">
        <v>736</v>
      </c>
      <c r="L22" s="288" t="s">
        <v>709</v>
      </c>
      <c r="M22" s="313">
        <f ca="1">INDIRECT("'数据-取费表'!Ak"&amp;$G$1)</f>
        <v>2E-3</v>
      </c>
    </row>
    <row r="23" spans="1:37" s="1282" customFormat="1" ht="18" customHeight="1">
      <c r="A23" s="908" t="s">
        <v>397</v>
      </c>
      <c r="B23" s="288" t="s">
        <v>737</v>
      </c>
      <c r="C23" s="21">
        <f ca="1">IF('数据-取费表'!B22&lt;=1,ROUND(C19*F24*F23/2,0)+ROUND(C20*F24*F23/2,0),ROUND(C19*(POWER((1+F24),F23/2)-1),0)+ROUND(C20*(POWER((1+F24),F23/2)-1),0))</f>
        <v>399493</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ROUND(J13*M23,0)</f>
        <v>0</v>
      </c>
      <c r="K23" s="1234" t="s">
        <v>740</v>
      </c>
      <c r="L23" s="288" t="s">
        <v>709</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3.1E-2</v>
      </c>
      <c r="G24" s="1281"/>
      <c r="H24" s="1004" t="s">
        <v>680</v>
      </c>
      <c r="I24" s="1005" t="s">
        <v>725</v>
      </c>
      <c r="J24" s="1006">
        <f ca="1">ROUND(J5*M24,0)</f>
        <v>0</v>
      </c>
      <c r="K24" s="1007" t="s">
        <v>745</v>
      </c>
      <c r="L24" s="1005" t="s">
        <v>709</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746</v>
      </c>
      <c r="B25" s="288" t="s">
        <v>747</v>
      </c>
      <c r="C25" s="21"/>
      <c r="D25" s="117" t="s">
        <v>748</v>
      </c>
      <c r="E25" s="1247"/>
      <c r="F25" s="23"/>
      <c r="G25" s="1270"/>
      <c r="H25" s="994" t="s">
        <v>394</v>
      </c>
      <c r="I25" s="1009" t="s">
        <v>749</v>
      </c>
      <c r="J25" s="296">
        <f ca="1">J5-J16</f>
        <v>-32975</v>
      </c>
      <c r="K25" s="1010" t="s">
        <v>750</v>
      </c>
      <c r="L25" s="1011"/>
      <c r="M25" s="1012"/>
    </row>
    <row r="26" spans="1:37" ht="18" customHeight="1">
      <c r="A26" s="908" t="s">
        <v>397</v>
      </c>
      <c r="B26" s="288" t="s">
        <v>751</v>
      </c>
      <c r="C26" s="21">
        <f ca="1">ROUND((C19+C20)*F26,0)</f>
        <v>1933031</v>
      </c>
      <c r="D26" s="308" t="s">
        <v>752</v>
      </c>
      <c r="E26" s="299" t="s">
        <v>753</v>
      </c>
      <c r="F26" s="298">
        <f ca="1">INDIRECT("'数据-取费表'!q"&amp;$G$1)</f>
        <v>0.15</v>
      </c>
      <c r="G26" s="1270"/>
      <c r="H26" s="285" t="s">
        <v>395</v>
      </c>
      <c r="I26" s="286" t="s">
        <v>754</v>
      </c>
      <c r="J26" s="287">
        <f ca="1">IF(J5&lt;&gt;0,ROUND(J25*(1-((1+M28)/(1+M26))^M27)/(M26-M28),0),0)</f>
        <v>0</v>
      </c>
      <c r="K26" s="309" t="s">
        <v>755</v>
      </c>
      <c r="L26" s="288" t="s">
        <v>756</v>
      </c>
      <c r="M26" s="298">
        <f ca="1">INDIRECT("'数据-取费表'!I"&amp;$G$1)</f>
        <v>5.5E-2</v>
      </c>
    </row>
    <row r="27" spans="1:37" ht="18" customHeight="1">
      <c r="A27" s="908" t="s">
        <v>399</v>
      </c>
      <c r="B27" s="288" t="s">
        <v>757</v>
      </c>
      <c r="C27" s="21">
        <f ca="1">ROUND(F21*F26,4)</f>
        <v>3.0000000000000001E-3</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16487268</v>
      </c>
      <c r="D29" s="1007"/>
      <c r="E29" s="1005"/>
      <c r="F29" s="1008"/>
      <c r="G29" s="1281"/>
      <c r="H29" s="318" t="s">
        <v>396</v>
      </c>
      <c r="I29" s="319" t="s">
        <v>765</v>
      </c>
      <c r="J29" s="320">
        <f ca="1">ROUND(J26/(1+F40)^F41,0)</f>
        <v>0</v>
      </c>
      <c r="K29" s="321" t="s">
        <v>766</v>
      </c>
      <c r="L29" s="322"/>
      <c r="M29" s="323">
        <f ca="1">INDIRECT("'数据-取费表'!k"&amp;$G$1)</f>
        <v>2519.2800000000002</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460553</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ROUND(IF(AND(项目基本情况!B11="自然人",项目基本情况!B10="北京市"),C6*F31/(1+'数据-取费表'!C42),C32+C33+C34),0)</f>
        <v>388413</v>
      </c>
      <c r="D31" s="1235" t="s">
        <v>717</v>
      </c>
      <c r="E31" s="1234" t="s">
        <v>767</v>
      </c>
      <c r="F31" s="2116">
        <f ca="1">IF(项目基本情况!B11="企业","——",IF(M47="住宅",IF(F6*F7*F8/12/(1+'数据-取费表'!F30)&gt;100000,4%,2.5%),IF(F6*F7*F8/12/(1+'数据-取费表'!F30)&gt;100000,12%,7%)))</f>
        <v>0.12</v>
      </c>
      <c r="G31" s="1270"/>
      <c r="H31" s="2543" t="s">
        <v>2292</v>
      </c>
      <c r="I31" s="1283"/>
      <c r="J31" s="1284"/>
      <c r="K31" s="115"/>
      <c r="L31" s="2446"/>
      <c r="M31" s="2447"/>
    </row>
    <row r="32" spans="1:37" ht="18" customHeight="1">
      <c r="A32" s="908" t="s">
        <v>397</v>
      </c>
      <c r="B32" s="288" t="s">
        <v>720</v>
      </c>
      <c r="C32" s="21">
        <f ca="1">IF(项目基本情况!B11="自然人","——",ROUND(C6*F32/(1+'数据-取费表'!C42),0))</f>
        <v>123586</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IF(项目基本情况!B11="自然人","——",IF(D33="按租金收入计税",ROUND(C6*F33/(1+'数据-取费表'!C42),0),IF(D33="按房产原值计税",ROUND(C29*F33*0.7,0),INDIRECT("'数据-取费表'!Aj"&amp;$G$1))))</f>
        <v>264827</v>
      </c>
      <c r="D33" s="1256" t="s">
        <v>3322</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IF(项目基本情况!B11="自然人","——",ROUND(F34*F35,0))</f>
        <v>0</v>
      </c>
      <c r="D34" s="309" t="s">
        <v>728</v>
      </c>
      <c r="E34" s="288" t="s">
        <v>729</v>
      </c>
      <c r="F34" s="310">
        <f>'数据-取费表'!B52</f>
        <v>1.5</v>
      </c>
      <c r="G34" s="1270"/>
      <c r="H34" s="2445"/>
      <c r="I34" s="1283"/>
      <c r="J34" s="1284"/>
      <c r="K34" s="2450"/>
      <c r="L34" s="2451"/>
      <c r="M34" s="2451"/>
    </row>
    <row r="35" spans="1:18" ht="18" customHeight="1">
      <c r="A35" s="1018"/>
      <c r="B35" s="1016"/>
      <c r="C35" s="26"/>
      <c r="D35" s="312"/>
      <c r="E35" s="288" t="s">
        <v>733</v>
      </c>
      <c r="F35" s="289">
        <f ca="1">INDIRECT("'数据-取费表'!r"&amp;$G$1)</f>
        <v>0</v>
      </c>
      <c r="G35" s="1270"/>
      <c r="H35" s="2445"/>
      <c r="I35" s="1283"/>
      <c r="J35" s="1284"/>
      <c r="K35" s="2449"/>
      <c r="L35" s="2448"/>
      <c r="M35" s="2448"/>
    </row>
    <row r="36" spans="1:18" ht="18" customHeight="1">
      <c r="A36" s="1017" t="s">
        <v>402</v>
      </c>
      <c r="B36" s="288" t="s">
        <v>735</v>
      </c>
      <c r="C36" s="21">
        <f ca="1">ROUND(C29*F36,0)</f>
        <v>32975</v>
      </c>
      <c r="D36" s="1234" t="s">
        <v>768</v>
      </c>
      <c r="E36" s="288" t="s">
        <v>709</v>
      </c>
      <c r="F36" s="313">
        <f ca="1">INDIRECT("'数据-取费表'!Ak"&amp;$G$1)</f>
        <v>2E-3</v>
      </c>
      <c r="G36" s="1270"/>
      <c r="H36" s="2448"/>
      <c r="I36" s="1283"/>
      <c r="J36" s="1284"/>
      <c r="K36" s="2308"/>
      <c r="L36" s="2448"/>
      <c r="M36" s="2448"/>
    </row>
    <row r="37" spans="1:18" ht="18" customHeight="1">
      <c r="A37" s="908" t="s">
        <v>437</v>
      </c>
      <c r="B37" s="288" t="s">
        <v>739</v>
      </c>
      <c r="C37" s="21">
        <f ca="1">ROUND(C13*F37,0)</f>
        <v>15993</v>
      </c>
      <c r="D37" s="1234" t="s">
        <v>740</v>
      </c>
      <c r="E37" s="288" t="s">
        <v>709</v>
      </c>
      <c r="F37" s="314">
        <f ca="1">INDIRECT("'数据-取费表'!Al"&amp;$G$1)</f>
        <v>1E-3</v>
      </c>
      <c r="G37" s="1270"/>
      <c r="H37" s="2448"/>
      <c r="I37" s="1283"/>
      <c r="J37" s="1284"/>
      <c r="K37" s="2308"/>
      <c r="L37" s="2448"/>
      <c r="M37" s="2448"/>
    </row>
    <row r="38" spans="1:18" ht="18" customHeight="1" thickBot="1">
      <c r="A38" s="1004" t="s">
        <v>680</v>
      </c>
      <c r="B38" s="1005" t="s">
        <v>725</v>
      </c>
      <c r="C38" s="1006">
        <f ca="1">ROUND(C5*F38,0)</f>
        <v>23172</v>
      </c>
      <c r="D38" s="1007" t="s">
        <v>745</v>
      </c>
      <c r="E38" s="1005" t="s">
        <v>709</v>
      </c>
      <c r="F38" s="1001">
        <f ca="1">INDIRECT("'数据-取费表'!Am"&amp;$G$1)</f>
        <v>0.01</v>
      </c>
      <c r="G38" s="1270"/>
      <c r="H38" s="2448"/>
      <c r="I38" s="1283"/>
      <c r="J38" s="1284"/>
      <c r="K38" s="2446"/>
      <c r="L38" s="2448"/>
      <c r="M38" s="2448"/>
    </row>
    <row r="39" spans="1:18" ht="24.6" customHeight="1" thickTop="1">
      <c r="A39" s="994" t="s">
        <v>394</v>
      </c>
      <c r="B39" s="1009" t="s">
        <v>749</v>
      </c>
      <c r="C39" s="296">
        <f ca="1">C5-C30</f>
        <v>1856681</v>
      </c>
      <c r="D39" s="1010" t="s">
        <v>750</v>
      </c>
      <c r="E39" s="1011"/>
      <c r="F39" s="1012"/>
      <c r="G39" s="1270"/>
      <c r="H39" s="2448"/>
      <c r="I39" s="1283"/>
      <c r="J39" s="1284"/>
      <c r="K39" s="2446"/>
      <c r="L39" s="2448"/>
      <c r="M39" s="2448"/>
    </row>
    <row r="40" spans="1:18" ht="18" customHeight="1">
      <c r="A40" s="285" t="s">
        <v>395</v>
      </c>
      <c r="B40" s="286" t="s">
        <v>771</v>
      </c>
      <c r="C40" s="287">
        <f ca="1">ROUND(C39*(1-((1+F42)/(1+F40))^F41)/(F40-F42),0)</f>
        <v>40191414</v>
      </c>
      <c r="D40" s="309" t="s">
        <v>755</v>
      </c>
      <c r="E40" s="288" t="s">
        <v>756</v>
      </c>
      <c r="F40" s="298">
        <f ca="1">INDIRECT("'数据-取费表'!I"&amp;$G$1)</f>
        <v>5.5E-2</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42.01</v>
      </c>
      <c r="G41" s="1270"/>
      <c r="H41" s="115"/>
      <c r="I41" s="1283"/>
      <c r="J41" s="1284"/>
      <c r="K41" s="2308"/>
      <c r="L41" s="115"/>
      <c r="M41" s="115"/>
    </row>
    <row r="42" spans="1:18" ht="18" customHeight="1">
      <c r="A42" s="294"/>
      <c r="B42" s="295"/>
      <c r="C42" s="296"/>
      <c r="D42" s="312"/>
      <c r="E42" s="288" t="s">
        <v>763</v>
      </c>
      <c r="F42" s="298">
        <f ca="1">INDIRECT("'数据-取费表'!v"&amp;$G$1)</f>
        <v>0.02</v>
      </c>
      <c r="G42" s="1270"/>
      <c r="H42" s="115"/>
      <c r="I42" s="1283"/>
      <c r="J42" s="1284"/>
      <c r="K42" s="2308"/>
      <c r="L42" s="115"/>
      <c r="M42" s="115"/>
    </row>
    <row r="43" spans="1:18" ht="18" customHeight="1" thickBot="1">
      <c r="A43" s="318" t="s">
        <v>396</v>
      </c>
      <c r="B43" s="319" t="s">
        <v>773</v>
      </c>
      <c r="C43" s="320">
        <f ca="1">ROUND(C40/F43,0)</f>
        <v>15954</v>
      </c>
      <c r="D43" s="321" t="s">
        <v>774</v>
      </c>
      <c r="E43" s="322" t="s">
        <v>775</v>
      </c>
      <c r="F43" s="323">
        <f ca="1">INDIRECT("'数据-取费表'!k"&amp;$G$1)</f>
        <v>2519.2800000000002</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3338</v>
      </c>
      <c r="B45" s="1285"/>
      <c r="C45" s="1354">
        <f ca="1">ROUND((C68-C40)/10000,4)</f>
        <v>-4098.7830999999996</v>
      </c>
      <c r="D45" s="3102" t="s">
        <v>3339</v>
      </c>
      <c r="E45" s="1285"/>
      <c r="F45" s="1285"/>
      <c r="O45" s="1288" t="s">
        <v>805</v>
      </c>
      <c r="P45" s="1344"/>
      <c r="Q45" s="1344"/>
      <c r="R45" s="1344"/>
    </row>
    <row r="46" spans="1:18" s="1270" customFormat="1" ht="13.5" thickBot="1">
      <c r="A46" s="1289" t="s">
        <v>806</v>
      </c>
      <c r="C46" s="1290">
        <f ca="1">ROUND(C45,0)</f>
        <v>-4099</v>
      </c>
      <c r="D46" s="1291" t="str">
        <f>C2</f>
        <v>万元</v>
      </c>
      <c r="I46" s="1292" t="s">
        <v>807</v>
      </c>
      <c r="J46" s="1293"/>
      <c r="K46" s="1294"/>
      <c r="L46" s="1295">
        <f ca="1">IF(M47="住宅",0,IF(L48&gt;J51,L60,J60))</f>
        <v>316038</v>
      </c>
      <c r="O46" s="1296" t="s">
        <v>808</v>
      </c>
      <c r="P46" s="1297" t="s">
        <v>809</v>
      </c>
      <c r="Q46" s="1298" t="s">
        <v>810</v>
      </c>
      <c r="R46" s="1298" t="s">
        <v>811</v>
      </c>
    </row>
    <row r="47" spans="1:18" s="1270" customFormat="1" ht="13.5" thickBot="1">
      <c r="A47" s="872" t="s">
        <v>684</v>
      </c>
      <c r="B47" s="904" t="s">
        <v>685</v>
      </c>
      <c r="C47" s="904" t="s">
        <v>686</v>
      </c>
      <c r="D47" s="904" t="s">
        <v>687</v>
      </c>
      <c r="E47" s="974" t="s">
        <v>688</v>
      </c>
      <c r="F47" s="975"/>
      <c r="G47" s="671"/>
      <c r="I47" s="1299" t="s">
        <v>812</v>
      </c>
      <c r="J47" s="1300" t="s">
        <v>3421</v>
      </c>
      <c r="K47" s="1301" t="s">
        <v>813</v>
      </c>
      <c r="L47" s="1302">
        <f ca="1">INDIRECT("'数据-取费表'!d"&amp;$G$1)</f>
        <v>50</v>
      </c>
      <c r="M47" s="1266" t="str">
        <f>IF(ISNUMBER(FIND("住宅",C1)),"住宅","非住宅")</f>
        <v>非住宅</v>
      </c>
      <c r="O47" s="1303" t="s">
        <v>403</v>
      </c>
      <c r="P47" s="1304" t="s">
        <v>814</v>
      </c>
      <c r="Q47" s="1305">
        <f ca="1">C40+J29</f>
        <v>40191414</v>
      </c>
      <c r="R47" s="1305" t="s">
        <v>815</v>
      </c>
    </row>
    <row r="48" spans="1:18" s="1270" customFormat="1" ht="28.5" thickBot="1">
      <c r="A48" s="1025" t="s">
        <v>438</v>
      </c>
      <c r="B48" s="286" t="s">
        <v>689</v>
      </c>
      <c r="C48" s="1246">
        <f ca="1">C49+C53+C55</f>
        <v>0</v>
      </c>
      <c r="D48" s="1027"/>
      <c r="E48" s="1028"/>
      <c r="F48" s="888"/>
      <c r="G48" s="671"/>
      <c r="H48" s="672"/>
      <c r="I48" s="1306" t="s">
        <v>816</v>
      </c>
      <c r="J48" s="1307" t="s">
        <v>3422</v>
      </c>
      <c r="K48" s="1308" t="s">
        <v>817</v>
      </c>
      <c r="L48" s="1309">
        <f ca="1">INDIRECT("'数据-取费表'!f"&amp;$G$1)</f>
        <v>42.01</v>
      </c>
      <c r="O48" s="1303" t="s">
        <v>404</v>
      </c>
      <c r="P48" s="1304" t="s">
        <v>818</v>
      </c>
      <c r="Q48" s="1305">
        <f ca="1">J60</f>
        <v>316038</v>
      </c>
      <c r="R48" s="1305" t="s">
        <v>819</v>
      </c>
    </row>
    <row r="49" spans="1:18" s="1270" customFormat="1" ht="13.5" thickBot="1">
      <c r="A49" s="901" t="s">
        <v>439</v>
      </c>
      <c r="B49" s="1257" t="s">
        <v>776</v>
      </c>
      <c r="C49" s="1029">
        <f ca="1">ROUND(F49*F51*F50*(1-F52),0)</f>
        <v>0</v>
      </c>
      <c r="D49" s="971" t="s">
        <v>692</v>
      </c>
      <c r="E49" s="1258" t="s">
        <v>777</v>
      </c>
      <c r="F49" s="976"/>
      <c r="H49" s="672"/>
      <c r="I49" s="1306" t="s">
        <v>820</v>
      </c>
      <c r="J49" s="1310">
        <v>2023</v>
      </c>
      <c r="K49" s="1308" t="s">
        <v>821</v>
      </c>
      <c r="L49" s="1311"/>
      <c r="O49" s="1312" t="s">
        <v>405</v>
      </c>
      <c r="P49" s="1304" t="s">
        <v>822</v>
      </c>
      <c r="Q49" s="1305">
        <f ca="1">C29</f>
        <v>16487268</v>
      </c>
      <c r="R49" s="1305" t="s">
        <v>815</v>
      </c>
    </row>
    <row r="50" spans="1:18" s="1270" customFormat="1" ht="13.5" thickBot="1">
      <c r="A50" s="902"/>
      <c r="B50" s="905"/>
      <c r="C50" s="906"/>
      <c r="D50" s="879"/>
      <c r="E50" s="972" t="s">
        <v>694</v>
      </c>
      <c r="F50" s="973">
        <f ca="1">F7</f>
        <v>2519.2800000000002</v>
      </c>
      <c r="H50" s="672"/>
      <c r="I50" s="1306" t="s">
        <v>823</v>
      </c>
      <c r="J50" s="1313">
        <f>SUMPRODUCT((I63:I65=J47)*(J62:L62=J48)*(J63:L65))</f>
        <v>60</v>
      </c>
      <c r="K50" s="1308" t="s">
        <v>824</v>
      </c>
      <c r="L50" s="1311"/>
      <c r="M50" s="1314"/>
      <c r="O50" s="1312" t="s">
        <v>406</v>
      </c>
      <c r="P50" s="1304" t="s">
        <v>825</v>
      </c>
      <c r="Q50" s="1315">
        <f ca="1">J58</f>
        <v>0.4</v>
      </c>
      <c r="R50" s="1305"/>
    </row>
    <row r="51" spans="1:18" s="1270" customFormat="1" ht="13.5" thickBot="1">
      <c r="A51" s="903"/>
      <c r="B51" s="905"/>
      <c r="C51" s="906"/>
      <c r="D51" s="879"/>
      <c r="E51" s="907" t="s">
        <v>695</v>
      </c>
      <c r="F51" s="289">
        <f ca="1">F8</f>
        <v>365</v>
      </c>
      <c r="I51" s="1316" t="s">
        <v>826</v>
      </c>
      <c r="J51" s="1309">
        <f>IF(J49="",J50,J49+J50-YEAR('数据-取费表'!B2))</f>
        <v>58</v>
      </c>
      <c r="K51" s="1317" t="s">
        <v>827</v>
      </c>
      <c r="L51" s="1318">
        <f ca="1">ROUND(-PV(INDIRECT("'数据-取费表'!h"&amp;$G$1),J51,(C39-C13*C76),0),0)</f>
        <v>13873681</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f ca="1">J53</f>
        <v>42.01</v>
      </c>
      <c r="R52" s="1305" t="s">
        <v>832</v>
      </c>
    </row>
    <row r="53" spans="1:18" s="1270" customFormat="1" ht="30.75" customHeight="1" thickBot="1">
      <c r="A53" s="1026" t="s">
        <v>440</v>
      </c>
      <c r="B53" s="308" t="s">
        <v>697</v>
      </c>
      <c r="C53" s="302">
        <f ca="1">ROUND(IF(F53="押一",C49/12*F11,IF(F53="押二",C49/12*2*F11,IF(F53="押三",C49/12*3*F11,C54*F11))),0)</f>
        <v>0</v>
      </c>
      <c r="D53" s="144" t="s">
        <v>2116</v>
      </c>
      <c r="E53" s="299" t="s">
        <v>698</v>
      </c>
      <c r="F53" s="1031"/>
      <c r="I53" s="1322" t="s">
        <v>833</v>
      </c>
      <c r="J53" s="1983">
        <f ca="1">IF(M47="住宅",IF(D1="——",MAX(J51,L48),MAX(J51,L48-'数据-取费表'!B24)),IF(D1="——",MIN(J51,L48),MIN(J51,L48-'数据-取费表'!B24)))</f>
        <v>42.01</v>
      </c>
      <c r="K53" s="3339" t="s">
        <v>834</v>
      </c>
      <c r="L53" s="3340"/>
      <c r="O53" s="1303" t="s">
        <v>409</v>
      </c>
      <c r="P53" s="1304" t="s">
        <v>835</v>
      </c>
      <c r="Q53" s="1305">
        <f ca="1">Q47+Q48</f>
        <v>40507452</v>
      </c>
      <c r="R53" s="1305" t="s">
        <v>410</v>
      </c>
    </row>
    <row r="54" spans="1:18" s="1270" customFormat="1" ht="13.5" thickBot="1">
      <c r="A54" s="901"/>
      <c r="B54" s="1355" t="s">
        <v>888</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f ca="1">ROUND(IF(J47="钢混",J57/J50,1-(1-2%)*(J50-J57)/J50),3)</f>
        <v>0.26700000000000002</v>
      </c>
      <c r="K55" s="1328" t="s">
        <v>838</v>
      </c>
      <c r="L55" s="1329"/>
      <c r="O55" s="1296" t="s">
        <v>808</v>
      </c>
      <c r="P55" s="1297" t="s">
        <v>809</v>
      </c>
      <c r="Q55" s="1298" t="s">
        <v>810</v>
      </c>
      <c r="R55" s="1298" t="s">
        <v>811</v>
      </c>
    </row>
    <row r="56" spans="1:18" s="1270" customFormat="1" ht="36" customHeight="1" thickTop="1" thickBot="1">
      <c r="A56" s="883">
        <v>2</v>
      </c>
      <c r="B56" s="884" t="s">
        <v>701</v>
      </c>
      <c r="C56" s="218">
        <f ca="1">C13</f>
        <v>15992650</v>
      </c>
      <c r="D56" s="1330"/>
      <c r="E56" s="1331"/>
      <c r="F56" s="1323"/>
      <c r="I56" s="1332" t="s">
        <v>839</v>
      </c>
      <c r="J56" s="1333" t="s">
        <v>3423</v>
      </c>
      <c r="K56" s="1306" t="s">
        <v>840</v>
      </c>
      <c r="L56" s="1309" t="str">
        <f ca="1">IF(L48&lt;J51,"——",L48-J51)</f>
        <v>——</v>
      </c>
      <c r="O56" s="1303" t="s">
        <v>403</v>
      </c>
      <c r="P56" s="1304" t="s">
        <v>814</v>
      </c>
      <c r="Q56" s="1305">
        <f ca="1">C40+J29</f>
        <v>40191414</v>
      </c>
      <c r="R56" s="1305" t="s">
        <v>815</v>
      </c>
    </row>
    <row r="57" spans="1:18" s="1270" customFormat="1" ht="24.75" thickBot="1">
      <c r="A57" s="1334"/>
      <c r="B57" s="876" t="s">
        <v>764</v>
      </c>
      <c r="C57" s="224">
        <f ca="1">C29</f>
        <v>16487268</v>
      </c>
      <c r="D57" s="1335"/>
      <c r="E57" s="1336"/>
      <c r="F57" s="1337"/>
      <c r="I57" s="1338" t="s">
        <v>841</v>
      </c>
      <c r="J57" s="1339">
        <f ca="1">IF(OR(M47="住宅",J51&lt;L48,J56="是"),"——",J51-L48)</f>
        <v>15.990000000000002</v>
      </c>
      <c r="K57" s="1306" t="s">
        <v>889</v>
      </c>
      <c r="L57" s="1309" t="str">
        <f ca="1">IF(L48&lt;J51,"——",IF(L55="比较法",L49,IF(L55="基准地价",L50,L51)))</f>
        <v>——</v>
      </c>
      <c r="O57" s="1303" t="s">
        <v>404</v>
      </c>
      <c r="P57" s="1304" t="s">
        <v>843</v>
      </c>
      <c r="Q57" s="1305">
        <f ca="1">L60</f>
        <v>0</v>
      </c>
      <c r="R57" s="1305" t="s">
        <v>844</v>
      </c>
    </row>
    <row r="58" spans="1:18" s="1270" customFormat="1" ht="24.75" thickBot="1">
      <c r="A58" s="301" t="s">
        <v>393</v>
      </c>
      <c r="B58" s="884" t="s">
        <v>711</v>
      </c>
      <c r="C58" s="302">
        <f ca="1">ROUND(C59+C64+C65+C66,0)</f>
        <v>48968</v>
      </c>
      <c r="D58" s="886" t="s">
        <v>712</v>
      </c>
      <c r="E58" s="887"/>
      <c r="F58" s="888"/>
      <c r="I58" s="1338" t="s">
        <v>845</v>
      </c>
      <c r="J58" s="1340">
        <f ca="1">IF(J55&lt;0.4,0.4,J55)</f>
        <v>0.4</v>
      </c>
      <c r="K58" s="1317" t="s">
        <v>892</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0</v>
      </c>
      <c r="D59" s="889" t="s">
        <v>717</v>
      </c>
      <c r="E59" s="890" t="s">
        <v>718</v>
      </c>
      <c r="F59" s="2116">
        <f ca="1">IF(项目基本情况!B11="企业","——",IF('数据-取费表'!B10="住宅",IF(F49*F50*F51/12/(1+'数据-取费表'!F30)&gt;100000,4%,2.5%),IF(F49*F50*F51/12/(1+'数据-取费表'!F30)&gt;100000,12%,7%)))</f>
        <v>7.0000000000000007E-2</v>
      </c>
      <c r="I59" s="1338" t="s">
        <v>848</v>
      </c>
      <c r="J59" s="1339">
        <f ca="1">IF(OR(M47="住宅",J51&lt;L48,J56="是"),"——",ROUND(C29*J58,0))</f>
        <v>6594907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IF(项目基本情况!B11="自然人","——",ROUND(C48*F60/(1+'数据-取费表'!C42),0))</f>
        <v>0</v>
      </c>
      <c r="D60" s="890" t="s">
        <v>721</v>
      </c>
      <c r="E60" s="876" t="s">
        <v>709</v>
      </c>
      <c r="F60" s="315">
        <f t="shared" ref="F60:F66" si="0">F32</f>
        <v>5.6000000000000001E-2</v>
      </c>
      <c r="I60" s="1341" t="s">
        <v>850</v>
      </c>
      <c r="J60" s="1342">
        <f ca="1">IF(OR(M47="住宅",J51&lt;L48,J56="是"),"0",ROUND(J59/(1+J52)^J53,0))</f>
        <v>316038</v>
      </c>
      <c r="K60" s="1343" t="s">
        <v>851</v>
      </c>
      <c r="L60" s="1342">
        <f ca="1">IF(OR(M47="住宅",L48&lt;J51),0,ROUND(L57*(L58/L59-1),0))</f>
        <v>0</v>
      </c>
      <c r="O60" s="1312" t="s">
        <v>407</v>
      </c>
      <c r="P60" s="1304" t="s">
        <v>852</v>
      </c>
      <c r="Q60" s="1305" t="e">
        <f ca="1">L58</f>
        <v>#DIV/0!</v>
      </c>
      <c r="R60" s="1305" t="s">
        <v>853</v>
      </c>
    </row>
    <row r="61" spans="1:18" s="1270" customFormat="1" ht="13.5" thickBot="1">
      <c r="A61" s="908" t="s">
        <v>778</v>
      </c>
      <c r="B61" s="876" t="s">
        <v>724</v>
      </c>
      <c r="C61" s="21">
        <f ca="1">IF(项目基本情况!B11="自然人","——",IF(D61="按租金收入计税",ROUND(C49*F61/(1+'数据-取费表'!C42),0),IF(D61="按房产原值计税",ROUND(C57*F61*0.7,0),INDIRECT("'数据-取费表'!Aj"&amp;$G$1))))</f>
        <v>0</v>
      </c>
      <c r="D61" s="1256" t="s">
        <v>3322</v>
      </c>
      <c r="E61" s="876" t="s">
        <v>709</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727</v>
      </c>
      <c r="C62" s="22">
        <f ca="1">IF(项目基本情况!B11="自然人","——",ROUND(F62*F63,0))</f>
        <v>0</v>
      </c>
      <c r="D62" s="891" t="s">
        <v>728</v>
      </c>
      <c r="E62" s="876" t="s">
        <v>729</v>
      </c>
      <c r="F62" s="310">
        <f t="shared" si="0"/>
        <v>1.5</v>
      </c>
      <c r="I62" s="1345" t="s">
        <v>855</v>
      </c>
      <c r="J62" s="603" t="s">
        <v>856</v>
      </c>
      <c r="K62" s="603" t="s">
        <v>857</v>
      </c>
      <c r="L62" s="603" t="s">
        <v>858</v>
      </c>
      <c r="M62" s="1346" t="s">
        <v>859</v>
      </c>
      <c r="O62" s="1303" t="s">
        <v>409</v>
      </c>
      <c r="P62" s="1304" t="s">
        <v>835</v>
      </c>
      <c r="Q62" s="1305">
        <f ca="1">Q56+Q57</f>
        <v>40191414</v>
      </c>
      <c r="R62" s="1305" t="s">
        <v>410</v>
      </c>
    </row>
    <row r="63" spans="1:18" s="1270" customFormat="1" ht="13.5" thickBot="1">
      <c r="A63" s="311"/>
      <c r="B63" s="882"/>
      <c r="C63" s="26"/>
      <c r="D63" s="892"/>
      <c r="E63" s="876" t="s">
        <v>733</v>
      </c>
      <c r="F63" s="289">
        <f t="shared" ca="1" si="0"/>
        <v>0</v>
      </c>
      <c r="I63" s="1345" t="s">
        <v>861</v>
      </c>
      <c r="J63" s="603">
        <v>70</v>
      </c>
      <c r="K63" s="603">
        <v>50</v>
      </c>
      <c r="L63" s="603">
        <v>80</v>
      </c>
      <c r="M63" s="1347">
        <v>0.02</v>
      </c>
      <c r="O63" s="1288" t="s">
        <v>862</v>
      </c>
      <c r="P63" s="1267"/>
      <c r="Q63" s="1267"/>
      <c r="R63" s="1267"/>
    </row>
    <row r="64" spans="1:18" s="1270" customFormat="1" ht="13.5" thickBot="1">
      <c r="A64" s="908" t="s">
        <v>402</v>
      </c>
      <c r="B64" s="876" t="s">
        <v>735</v>
      </c>
      <c r="C64" s="21">
        <f ca="1">ROUND(C57*F64,0)</f>
        <v>32975</v>
      </c>
      <c r="D64" s="890" t="s">
        <v>768</v>
      </c>
      <c r="E64" s="876" t="s">
        <v>709</v>
      </c>
      <c r="F64" s="313">
        <f t="shared" ca="1" si="0"/>
        <v>2E-3</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ROUND(C56*F65,0)</f>
        <v>15993</v>
      </c>
      <c r="D65" s="890" t="s">
        <v>740</v>
      </c>
      <c r="E65" s="876" t="s">
        <v>709</v>
      </c>
      <c r="F65" s="314">
        <f t="shared" ca="1" si="0"/>
        <v>1E-3</v>
      </c>
      <c r="I65" s="1345" t="s">
        <v>864</v>
      </c>
      <c r="J65" s="603">
        <v>40</v>
      </c>
      <c r="K65" s="603">
        <v>30</v>
      </c>
      <c r="L65" s="603">
        <v>50</v>
      </c>
      <c r="M65" s="1347">
        <v>0.02</v>
      </c>
      <c r="O65" s="1303" t="s">
        <v>403</v>
      </c>
      <c r="P65" s="1304" t="s">
        <v>814</v>
      </c>
      <c r="Q65" s="1305">
        <f ca="1">C40+J29</f>
        <v>40191414</v>
      </c>
      <c r="R65" s="1305" t="s">
        <v>815</v>
      </c>
    </row>
    <row r="66" spans="1:18" s="1270" customFormat="1" ht="16.5" thickBot="1">
      <c r="A66" s="908" t="s">
        <v>790</v>
      </c>
      <c r="B66" s="876" t="s">
        <v>725</v>
      </c>
      <c r="C66" s="21">
        <f ca="1">ROUND(C48*F66,0)</f>
        <v>0</v>
      </c>
      <c r="D66" s="890" t="s">
        <v>745</v>
      </c>
      <c r="E66" s="876" t="s">
        <v>709</v>
      </c>
      <c r="F66" s="298">
        <f t="shared" ca="1" si="0"/>
        <v>0.01</v>
      </c>
      <c r="O66" s="1303" t="s">
        <v>404</v>
      </c>
      <c r="P66" s="1304" t="s">
        <v>843</v>
      </c>
      <c r="Q66" s="1305">
        <f ca="1">L60</f>
        <v>0</v>
      </c>
      <c r="R66" s="1305" t="s">
        <v>866</v>
      </c>
    </row>
    <row r="67" spans="1:18" s="1270" customFormat="1" ht="16.5" thickBot="1">
      <c r="A67" s="883" t="s">
        <v>394</v>
      </c>
      <c r="B67" s="893" t="s">
        <v>749</v>
      </c>
      <c r="C67" s="302">
        <f ca="1">C48-C58</f>
        <v>-48968</v>
      </c>
      <c r="D67" s="889" t="s">
        <v>750</v>
      </c>
      <c r="E67" s="894"/>
      <c r="F67" s="895"/>
      <c r="O67" s="1312" t="s">
        <v>405</v>
      </c>
      <c r="P67" s="1304" t="s">
        <v>847</v>
      </c>
      <c r="Q67" s="1348">
        <f ca="1">L51</f>
        <v>13873681</v>
      </c>
      <c r="R67" s="1305" t="s">
        <v>867</v>
      </c>
    </row>
    <row r="68" spans="1:18" s="1270" customFormat="1" ht="16.5" thickBot="1">
      <c r="A68" s="873" t="s">
        <v>395</v>
      </c>
      <c r="B68" s="874" t="s">
        <v>771</v>
      </c>
      <c r="C68" s="287">
        <f ca="1">ROUND(C67*(1-((1+F70)/(1+F68))^F69)/(F68-F70),0)</f>
        <v>-796417</v>
      </c>
      <c r="D68" s="891" t="s">
        <v>755</v>
      </c>
      <c r="E68" s="876" t="s">
        <v>756</v>
      </c>
      <c r="F68" s="298">
        <f ca="1">F40</f>
        <v>5.5E-2</v>
      </c>
      <c r="O68" s="1312" t="s">
        <v>406</v>
      </c>
      <c r="P68" s="1349" t="s">
        <v>868</v>
      </c>
      <c r="Q68" s="1305">
        <f ca="1">ROUND(Q69-Q70*Q71,0)</f>
        <v>737196</v>
      </c>
      <c r="R68" s="1305" t="s">
        <v>414</v>
      </c>
    </row>
    <row r="69" spans="1:18" s="1270" customFormat="1" ht="13.5" thickBot="1">
      <c r="A69" s="877"/>
      <c r="B69" s="878"/>
      <c r="C69" s="292"/>
      <c r="D69" s="896" t="s">
        <v>759</v>
      </c>
      <c r="E69" s="876" t="s">
        <v>760</v>
      </c>
      <c r="F69" s="317">
        <f ca="1">F41</f>
        <v>42.01</v>
      </c>
      <c r="O69" s="1312" t="s">
        <v>411</v>
      </c>
      <c r="P69" s="1349" t="s">
        <v>869</v>
      </c>
      <c r="Q69" s="1305">
        <f ca="1">C39</f>
        <v>1856681</v>
      </c>
      <c r="R69" s="1305" t="s">
        <v>815</v>
      </c>
    </row>
    <row r="70" spans="1:18" s="1270" customFormat="1" ht="13.5" thickBot="1">
      <c r="A70" s="880"/>
      <c r="B70" s="881"/>
      <c r="C70" s="296"/>
      <c r="D70" s="892"/>
      <c r="E70" s="876" t="s">
        <v>763</v>
      </c>
      <c r="F70" s="970"/>
      <c r="O70" s="1312" t="s">
        <v>412</v>
      </c>
      <c r="P70" s="1349" t="s">
        <v>870</v>
      </c>
      <c r="Q70" s="1305">
        <f ca="1">C13</f>
        <v>15992650</v>
      </c>
      <c r="R70" s="1305" t="s">
        <v>815</v>
      </c>
    </row>
    <row r="71" spans="1:18" s="1270" customFormat="1" ht="13.5" thickBot="1">
      <c r="A71" s="897" t="s">
        <v>396</v>
      </c>
      <c r="B71" s="898" t="s">
        <v>773</v>
      </c>
      <c r="C71" s="320">
        <f ca="1">ROUND(C68/F71,0)</f>
        <v>-316</v>
      </c>
      <c r="D71" s="899" t="s">
        <v>774</v>
      </c>
      <c r="E71" s="900" t="s">
        <v>775</v>
      </c>
      <c r="F71" s="323">
        <f ca="1">F43</f>
        <v>2519.2800000000002</v>
      </c>
      <c r="O71" s="1312" t="s">
        <v>413</v>
      </c>
      <c r="P71" s="1349" t="s">
        <v>871</v>
      </c>
      <c r="Q71" s="1315">
        <f ca="1">C76</f>
        <v>7.0000000000000007E-2</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1119486</v>
      </c>
      <c r="D75" s="1270"/>
      <c r="E75" s="1270"/>
      <c r="F75" s="1270"/>
      <c r="K75" s="1287"/>
      <c r="L75" s="1270"/>
      <c r="O75" s="1303" t="s">
        <v>409</v>
      </c>
      <c r="P75" s="1304" t="s">
        <v>835</v>
      </c>
      <c r="Q75" s="1305">
        <f ca="1">Q65+Q66</f>
        <v>40191414</v>
      </c>
      <c r="R75" s="1305" t="s">
        <v>410</v>
      </c>
    </row>
    <row r="76" spans="1:18">
      <c r="B76" s="326" t="s">
        <v>793</v>
      </c>
      <c r="C76" s="327">
        <f ca="1">INDIRECT("'数据-取费表'!j"&amp;$G$1)</f>
        <v>7.0000000000000007E-2</v>
      </c>
      <c r="I76" s="1270"/>
      <c r="J76" s="1270"/>
      <c r="K76" s="1287"/>
      <c r="L76" s="1270"/>
    </row>
    <row r="77" spans="1:18">
      <c r="B77" s="328" t="s">
        <v>794</v>
      </c>
      <c r="C77" s="329"/>
      <c r="I77" s="1270"/>
      <c r="J77" s="1270"/>
      <c r="K77" s="1287"/>
      <c r="L77" s="1270"/>
    </row>
    <row r="78" spans="1:18">
      <c r="B78" s="256" t="s">
        <v>795</v>
      </c>
      <c r="C78" s="330"/>
    </row>
    <row r="79" spans="1:18">
      <c r="B79" s="324" t="s">
        <v>796</v>
      </c>
      <c r="C79" s="260">
        <f ca="1">1-C80</f>
        <v>0.39700000000000002</v>
      </c>
    </row>
    <row r="80" spans="1:18">
      <c r="B80" s="324" t="s">
        <v>797</v>
      </c>
      <c r="C80" s="260">
        <f ca="1">ROUND(C75/C39,3)</f>
        <v>0.60299999999999998</v>
      </c>
    </row>
    <row r="81" spans="2:3">
      <c r="B81" s="256" t="s">
        <v>798</v>
      </c>
      <c r="C81" s="224"/>
    </row>
    <row r="82" spans="2:3">
      <c r="B82" s="259" t="s">
        <v>799</v>
      </c>
      <c r="C82" s="261">
        <f ca="1">1-C83</f>
        <v>0.60199999999999998</v>
      </c>
    </row>
    <row r="83" spans="2:3">
      <c r="B83" s="259" t="s">
        <v>800</v>
      </c>
      <c r="C83" s="260">
        <f ca="1">ROUND(C13/C40,3)</f>
        <v>0.39800000000000002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3" priority="3">
      <formula>$F$10="自定义"</formula>
    </cfRule>
  </conditionalFormatting>
  <conditionalFormatting sqref="C54">
    <cfRule type="expression" dxfId="92" priority="1">
      <formula>$F$53="自定义"</formula>
    </cfRule>
  </conditionalFormatting>
  <conditionalFormatting sqref="I55 I60">
    <cfRule type="expression" dxfId="91" priority="5">
      <formula>$J$51&gt;$L$48</formula>
    </cfRule>
  </conditionalFormatting>
  <conditionalFormatting sqref="J11">
    <cfRule type="expression" dxfId="90" priority="2">
      <formula>$M$10="自定义"</formula>
    </cfRule>
  </conditionalFormatting>
  <conditionalFormatting sqref="K55 K60">
    <cfRule type="expression" dxfId="89" priority="4">
      <formula>$L$48&gt;$J$51</formula>
    </cfRule>
  </conditionalFormatting>
  <dataValidations count="9">
    <dataValidation type="list" allowBlank="1" showInputMessage="1" showErrorMessage="1" sqref="D1" xr:uid="{864800F2-9CFF-42D6-B3A0-C571D241F06C}">
      <formula1>"在建（套用方法）,土地（套用方法）,——"</formula1>
    </dataValidation>
    <dataValidation type="list" allowBlank="1" showInputMessage="1" showErrorMessage="1" sqref="F10 F53 M10" xr:uid="{D23B82CB-8A5D-43CE-92D8-5CA6DCA91E5C}">
      <formula1>"押一,押二,押三,自定义"</formula1>
    </dataValidation>
    <dataValidation type="list" allowBlank="1" showInputMessage="1" showErrorMessage="1" sqref="K19" xr:uid="{31743C64-E685-4236-A6C4-6C8963D97FF3}">
      <formula1>"按租金收入计税,按房产原值计税"</formula1>
    </dataValidation>
    <dataValidation type="list" allowBlank="1" showInputMessage="1" showErrorMessage="1" sqref="D33 D61" xr:uid="{65E80395-084D-42EC-9CB6-97C7200D1DDA}">
      <formula1>"按租金收入计税,按房产原值计税,按票据"</formula1>
    </dataValidation>
    <dataValidation type="list" allowBlank="1" showInputMessage="1" showErrorMessage="1" sqref="C1" xr:uid="{875822B7-F90F-4306-B70F-C31A3BC1EA2C}">
      <formula1>项目类型</formula1>
    </dataValidation>
    <dataValidation type="list" allowBlank="1" showInputMessage="1" showErrorMessage="1" sqref="J47" xr:uid="{1DDD2BE5-43BF-48C4-87F6-71785F2AA71C}">
      <formula1>"钢,钢混,砖混"</formula1>
    </dataValidation>
    <dataValidation type="list" allowBlank="1" showInputMessage="1" showErrorMessage="1" sqref="J48" xr:uid="{F55190C0-9AFE-485B-918F-75D1F1B7EFB4}">
      <formula1>"非生产用房,生产用房,受腐蚀的生产用房"</formula1>
    </dataValidation>
    <dataValidation type="list" allowBlank="1" showInputMessage="1" showErrorMessage="1" sqref="J56" xr:uid="{4F774F15-43C6-4488-B86E-517157B34D93}">
      <formula1>估价范围判定</formula1>
    </dataValidation>
    <dataValidation type="list" allowBlank="1" showInputMessage="1" showErrorMessage="1" sqref="L55" xr:uid="{970462D8-40A3-4AC4-AD1D-883FE70C01A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F7B4C-1836-4566-B8A3-894DE4FDCF8D}">
  <sheetPr>
    <tabColor rgb="FFFF0000"/>
  </sheetPr>
  <dimension ref="A1:AJ512"/>
  <sheetViews>
    <sheetView view="pageBreakPreview" zoomScale="85" zoomScaleNormal="100" zoomScaleSheetLayoutView="85" zoomScalePageLayoutView="80" workbookViewId="0">
      <selection activeCell="M20" sqref="M20"/>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t="s">
        <v>3397</v>
      </c>
      <c r="D1" s="636"/>
      <c r="E1" s="636"/>
      <c r="F1" s="1598" t="s">
        <v>1260</v>
      </c>
      <c r="G1" s="1431" t="s">
        <v>3431</v>
      </c>
      <c r="H1" s="1598" t="str">
        <f>IF(G1="现房","——","估价对象范围")</f>
        <v>——</v>
      </c>
      <c r="I1" s="1599" t="s">
        <v>3432</v>
      </c>
    </row>
    <row r="2" spans="1:12" ht="21.75" customHeight="1" thickBot="1">
      <c r="A2" s="3276" t="str">
        <f>项目基本情况!S2</f>
        <v>房地产</v>
      </c>
      <c r="B2" s="3277"/>
      <c r="C2" s="3277"/>
      <c r="D2" s="3277"/>
      <c r="E2" s="3277"/>
      <c r="F2" s="3277"/>
      <c r="G2" s="3277"/>
      <c r="H2" s="3277"/>
      <c r="I2" s="3278"/>
    </row>
    <row r="3" spans="1:12" ht="12.75">
      <c r="A3" s="3280" t="s">
        <v>1261</v>
      </c>
      <c r="B3" s="3281"/>
      <c r="C3" s="3281"/>
      <c r="D3" s="3281"/>
      <c r="E3" s="3281"/>
      <c r="F3" s="3281"/>
      <c r="G3" s="3281"/>
      <c r="H3" s="3281"/>
      <c r="I3" s="3281"/>
    </row>
    <row r="4" spans="1:12" ht="14.25">
      <c r="A4" s="1601" t="s">
        <v>1262</v>
      </c>
      <c r="B4" s="1602" t="s">
        <v>1263</v>
      </c>
      <c r="C4" s="1603" t="s">
        <v>3433</v>
      </c>
      <c r="D4" s="1603" t="s">
        <v>3418</v>
      </c>
      <c r="E4" s="3282" t="s">
        <v>1264</v>
      </c>
      <c r="F4" s="3283"/>
      <c r="G4" s="3283"/>
      <c r="H4" s="3283"/>
      <c r="I4" s="3284"/>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56" t="s">
        <v>1265</v>
      </c>
      <c r="B5" s="3243">
        <v>25</v>
      </c>
      <c r="C5" s="3259"/>
      <c r="D5" s="3279"/>
      <c r="E5" s="117" t="s">
        <v>1266</v>
      </c>
      <c r="F5" s="1604"/>
      <c r="G5" s="1604"/>
      <c r="H5" s="1604"/>
      <c r="I5" s="1259"/>
    </row>
    <row r="6" spans="1:12" ht="12.75">
      <c r="A6" s="3256"/>
      <c r="B6" s="3243"/>
      <c r="C6" s="3260"/>
      <c r="D6" s="3279"/>
      <c r="E6" s="117" t="s">
        <v>1267</v>
      </c>
      <c r="F6" s="1604"/>
      <c r="G6" s="1604"/>
      <c r="H6" s="1604"/>
      <c r="I6" s="1259"/>
    </row>
    <row r="7" spans="1:12" ht="12.75">
      <c r="A7" s="3256"/>
      <c r="B7" s="3243"/>
      <c r="C7" s="3261"/>
      <c r="D7" s="3279"/>
      <c r="E7" s="117" t="s">
        <v>1268</v>
      </c>
      <c r="F7" s="1604"/>
      <c r="G7" s="1604"/>
      <c r="H7" s="1604"/>
      <c r="I7" s="1259"/>
    </row>
    <row r="8" spans="1:12" ht="12.75">
      <c r="A8" s="3256" t="s">
        <v>1269</v>
      </c>
      <c r="B8" s="3243">
        <v>15</v>
      </c>
      <c r="C8" s="3259"/>
      <c r="D8" s="3279"/>
      <c r="E8" s="117" t="s">
        <v>1270</v>
      </c>
      <c r="F8" s="1604"/>
      <c r="G8" s="1604"/>
      <c r="H8" s="1604"/>
      <c r="I8" s="1259"/>
    </row>
    <row r="9" spans="1:12" ht="12.75">
      <c r="A9" s="3256"/>
      <c r="B9" s="3243"/>
      <c r="C9" s="3261"/>
      <c r="D9" s="3279"/>
      <c r="E9" s="117" t="s">
        <v>1271</v>
      </c>
      <c r="F9" s="1604"/>
      <c r="G9" s="1604"/>
      <c r="H9" s="1604"/>
      <c r="I9" s="1259"/>
    </row>
    <row r="10" spans="1:12" ht="12.75">
      <c r="A10" s="3256" t="s">
        <v>1272</v>
      </c>
      <c r="B10" s="3243">
        <v>15</v>
      </c>
      <c r="C10" s="3259"/>
      <c r="D10" s="3279"/>
      <c r="E10" s="117" t="s">
        <v>1273</v>
      </c>
      <c r="F10" s="1604"/>
      <c r="G10" s="1604"/>
      <c r="H10" s="1604"/>
      <c r="I10" s="1259"/>
    </row>
    <row r="11" spans="1:12" ht="12.75">
      <c r="A11" s="3256"/>
      <c r="B11" s="3243"/>
      <c r="C11" s="3261"/>
      <c r="D11" s="3279"/>
      <c r="E11" s="117" t="s">
        <v>1274</v>
      </c>
      <c r="F11" s="1604"/>
      <c r="G11" s="1604"/>
      <c r="H11" s="1604"/>
      <c r="I11" s="1259"/>
    </row>
    <row r="12" spans="1:12" ht="12.75">
      <c r="A12" s="3256" t="s">
        <v>1275</v>
      </c>
      <c r="B12" s="3243">
        <v>15</v>
      </c>
      <c r="C12" s="3259"/>
      <c r="D12" s="3279"/>
      <c r="E12" s="117" t="s">
        <v>1276</v>
      </c>
      <c r="F12" s="1604"/>
      <c r="G12" s="1604"/>
      <c r="H12" s="1604"/>
      <c r="I12" s="1259"/>
    </row>
    <row r="13" spans="1:12" ht="12.75">
      <c r="A13" s="3256"/>
      <c r="B13" s="3243"/>
      <c r="C13" s="3261"/>
      <c r="D13" s="3279"/>
      <c r="E13" s="117" t="s">
        <v>1277</v>
      </c>
      <c r="F13" s="1604"/>
      <c r="G13" s="1604"/>
      <c r="H13" s="1604"/>
      <c r="I13" s="1259"/>
    </row>
    <row r="14" spans="1:12" ht="12.75">
      <c r="A14" s="3256" t="s">
        <v>1278</v>
      </c>
      <c r="B14" s="3243">
        <v>30</v>
      </c>
      <c r="C14" s="3259">
        <v>6</v>
      </c>
      <c r="D14" s="3279">
        <v>4</v>
      </c>
      <c r="E14" s="117" t="s">
        <v>1279</v>
      </c>
      <c r="F14" s="1604"/>
      <c r="G14" s="1604"/>
      <c r="H14" s="1604"/>
      <c r="I14" s="1259"/>
    </row>
    <row r="15" spans="1:12" ht="12.75">
      <c r="A15" s="3256"/>
      <c r="B15" s="3243"/>
      <c r="C15" s="3260"/>
      <c r="D15" s="3279"/>
      <c r="E15" s="117" t="s">
        <v>1280</v>
      </c>
      <c r="F15" s="1604"/>
      <c r="G15" s="1604"/>
      <c r="H15" s="1604"/>
      <c r="I15" s="1259"/>
    </row>
    <row r="16" spans="1:12" ht="12.75">
      <c r="A16" s="3256"/>
      <c r="B16" s="3243"/>
      <c r="C16" s="3261"/>
      <c r="D16" s="3279"/>
      <c r="E16" s="117" t="s">
        <v>1281</v>
      </c>
      <c r="F16" s="1604"/>
      <c r="G16" s="1604"/>
      <c r="H16" s="1604"/>
      <c r="I16" s="1259"/>
    </row>
    <row r="17" spans="1:36" ht="15">
      <c r="A17" s="1605" t="s">
        <v>1282</v>
      </c>
      <c r="B17" s="54"/>
      <c r="C17" s="118">
        <f>SUM(C5:C16)</f>
        <v>6</v>
      </c>
      <c r="D17" s="118">
        <f>SUM(D5:D16)</f>
        <v>4</v>
      </c>
      <c r="E17" s="115"/>
      <c r="F17" s="115"/>
      <c r="G17" s="115"/>
      <c r="H17" s="115"/>
      <c r="I17" s="115"/>
      <c r="K17" s="288"/>
      <c r="L17" s="288" t="s">
        <v>1283</v>
      </c>
      <c r="M17" s="288" t="s">
        <v>1284</v>
      </c>
    </row>
    <row r="18" spans="1:36" ht="31.9" customHeight="1" thickBot="1">
      <c r="A18" s="1606" t="s">
        <v>1285</v>
      </c>
      <c r="B18" s="1520"/>
      <c r="C18" s="119">
        <f>ROUND(C17/SUM(C17:D17),2)</f>
        <v>0.6</v>
      </c>
      <c r="D18" s="119">
        <f>1-C18</f>
        <v>0.4</v>
      </c>
      <c r="E18" s="3266" t="s">
        <v>2128</v>
      </c>
      <c r="F18" s="3267"/>
      <c r="G18" s="3267"/>
      <c r="H18" s="3267"/>
      <c r="I18" s="3267"/>
      <c r="K18" s="288" t="s">
        <v>1286</v>
      </c>
      <c r="L18" s="288">
        <f>IF(C1="",'数据-汇总表'!E3,SUMIF(项目类型,C1,'数据-汇总表'!E17:E26)+SUMIF(项目类型,C1,'数据-汇总表'!I17:I26))</f>
        <v>450</v>
      </c>
      <c r="M18" s="288">
        <f>IF(C1="",'数据-汇总表'!E3,SUMIF(项目类型,C1,'数据-汇总表'!E17:E26))</f>
        <v>450</v>
      </c>
    </row>
    <row r="19" spans="1:36" ht="15">
      <c r="A19" s="1607" t="s">
        <v>1287</v>
      </c>
      <c r="B19" s="1608" t="s">
        <v>1288</v>
      </c>
      <c r="C19" s="120">
        <f ca="1">SUMIF(INDIRECT("'"&amp;C4&amp;"'"&amp;"!A:A"),'结果表-车位'!B19,INDIRECT("'"&amp;C4&amp;"'"&amp;"!B:B"))</f>
        <v>66</v>
      </c>
      <c r="D19" s="121">
        <f ca="1">SUMIF(INDIRECT("'"&amp;D4&amp;"'"&amp;"!A:A"),'结果表-车位'!B19,INDIRECT("'"&amp;D4&amp;"'"&amp;"!B:B"))</f>
        <v>45.540500000000002</v>
      </c>
      <c r="E19" s="1607" t="s">
        <v>1289</v>
      </c>
      <c r="F19" s="1608" t="s">
        <v>1288</v>
      </c>
      <c r="G19" s="122">
        <f ca="1">ROUND(C19*$C$18+D19*$D$18,0)</f>
        <v>58</v>
      </c>
      <c r="H19" s="1609" t="s">
        <v>1290</v>
      </c>
      <c r="I19" s="115"/>
      <c r="K19" s="288" t="s">
        <v>1291</v>
      </c>
      <c r="L19" s="288">
        <f>IF(C1="",'数据-汇总表'!D3,SUMIF(项目类型,C1,'数据-汇总表'!D17:D26)+SUMIF(项目类型,C1,'数据-汇总表'!H17:H27))</f>
        <v>0</v>
      </c>
      <c r="M19" s="288">
        <f>IF(C1="",'数据-汇总表'!D3,SUMIF(项目类型,C1,'数据-汇总表'!D17:D26))</f>
        <v>0</v>
      </c>
    </row>
    <row r="20" spans="1:36" ht="15">
      <c r="A20" s="1610"/>
      <c r="B20" s="43" t="s">
        <v>1292</v>
      </c>
      <c r="C20" s="123">
        <f ca="1">SUMIF(INDIRECT("'"&amp;C4&amp;"'"&amp;"!A:A"),'结果表-车位'!B20,INDIRECT("'"&amp;C4&amp;"'"&amp;"!B:B"))</f>
        <v>1467</v>
      </c>
      <c r="D20" s="124">
        <f ca="1">SUMIF(INDIRECT("'"&amp;D4&amp;"'"&amp;"!A:A"),'结果表-车位'!B20,INDIRECT("'"&amp;D4&amp;"'"&amp;"!B:B"))</f>
        <v>1012</v>
      </c>
      <c r="E20" s="1610"/>
      <c r="F20" s="43" t="s">
        <v>1292</v>
      </c>
      <c r="G20" s="125">
        <f ca="1">ROUND(C20*$C$18+D20*$D$18,0)</f>
        <v>1285</v>
      </c>
      <c r="H20" s="742" t="s">
        <v>1293</v>
      </c>
      <c r="I20" s="115"/>
    </row>
    <row r="21" spans="1:36" ht="15" customHeight="1" thickBot="1">
      <c r="A21" s="442"/>
      <c r="B21" s="93" t="s">
        <v>1294</v>
      </c>
      <c r="C21" s="668" t="e">
        <f ca="1">ROUND(C19*10000/L19,0)</f>
        <v>#DIV/0!</v>
      </c>
      <c r="D21" s="669" t="e">
        <f ca="1">ROUND(D19*10000/L19,0)</f>
        <v>#DIV/0!</v>
      </c>
      <c r="E21" s="442"/>
      <c r="F21" s="93" t="s">
        <v>1294</v>
      </c>
      <c r="G21" s="126" t="e">
        <f ca="1">ROUND(G19*10000/L19,0)</f>
        <v>#DIV/0!</v>
      </c>
      <c r="H21" s="1611" t="s">
        <v>1293</v>
      </c>
      <c r="I21" s="115"/>
    </row>
    <row r="22" spans="1:36" ht="15" thickBot="1">
      <c r="A22" s="1542" t="s">
        <v>1295</v>
      </c>
      <c r="B22" s="1612"/>
      <c r="C22" s="1613"/>
      <c r="D22" s="670">
        <f ca="1">IF(C19&lt;D19,D19/C19-1,C19/D19-1)</f>
        <v>0.44925945037933257</v>
      </c>
      <c r="E22" s="115"/>
      <c r="F22" s="115"/>
      <c r="G22" s="115"/>
      <c r="H22" s="115"/>
      <c r="I22" s="115"/>
    </row>
    <row r="23" spans="1:36" ht="13.5" thickBot="1">
      <c r="A23" s="636"/>
      <c r="B23" s="636"/>
      <c r="C23" s="636"/>
      <c r="D23" s="636"/>
      <c r="E23" s="115"/>
      <c r="F23" s="115"/>
      <c r="G23" s="115"/>
      <c r="H23" s="115"/>
      <c r="I23" s="115"/>
    </row>
    <row r="24" spans="1:36" ht="14.25">
      <c r="A24" s="3250" t="s">
        <v>1296</v>
      </c>
      <c r="B24" s="1608" t="s">
        <v>1288</v>
      </c>
      <c r="C24" s="122">
        <f>IF(B30=0,0,D30)</f>
        <v>0</v>
      </c>
      <c r="D24" s="1614"/>
      <c r="E24" s="115"/>
      <c r="F24" s="115"/>
      <c r="G24" s="115"/>
      <c r="H24" s="115"/>
      <c r="I24" s="115"/>
    </row>
    <row r="25" spans="1:36" ht="14.25">
      <c r="A25" s="3251"/>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2129</v>
      </c>
      <c r="F30" s="115"/>
      <c r="G30" s="115"/>
      <c r="H30" s="115"/>
      <c r="I30" s="115"/>
    </row>
    <row r="31" spans="1:36" s="2110" customFormat="1" ht="26.45" customHeight="1" thickTop="1" thickBot="1">
      <c r="A31" s="2105"/>
      <c r="B31" s="2106"/>
      <c r="C31" s="2106"/>
      <c r="D31" s="2106"/>
      <c r="E31" s="2106"/>
      <c r="F31" s="2106"/>
      <c r="G31" s="2106"/>
      <c r="H31" s="2106"/>
      <c r="I31" s="2107" t="s">
        <v>2130</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1285</v>
      </c>
      <c r="D32" s="1618"/>
      <c r="E32" s="115"/>
      <c r="F32" s="115"/>
      <c r="G32" s="115"/>
      <c r="H32" s="115"/>
      <c r="I32" s="115"/>
    </row>
    <row r="33" spans="1:15" ht="15">
      <c r="A33" s="722" t="s">
        <v>1303</v>
      </c>
      <c r="B33" s="117"/>
      <c r="C33" s="1619"/>
      <c r="D33" s="1620"/>
      <c r="E33" s="1621" t="s">
        <v>1304</v>
      </c>
      <c r="F33" s="1622" t="str">
        <f>IF(D32="楼面单价","取值（单价）","取值（总价）")</f>
        <v>取值（总价）</v>
      </c>
      <c r="G33" s="115"/>
      <c r="H33" s="115"/>
      <c r="I33" s="115"/>
    </row>
    <row r="34" spans="1:15" ht="15">
      <c r="A34" s="1623"/>
      <c r="B34" s="1624" t="s">
        <v>1305</v>
      </c>
      <c r="C34" s="134" t="e">
        <f ca="1">IF(C33="自定义",F34,C32-C35)</f>
        <v>#REF!</v>
      </c>
      <c r="D34" s="788" t="e">
        <f ca="1">IF(C33="自定义",ROUND(C34/C32,3),IF(C33="收益比率",SUMIF(INDIRECT("'"&amp;D33&amp;"'"&amp;"!b:b"),"土地收益比率",INDIRECT("'"&amp;D33&amp;"'"&amp;"!c:c")),SUMIF(INDIRECT("'"&amp;D33&amp;"'"&amp;"!b:b"),"土地成本比率",INDIRECT("'"&amp;D33&amp;"'"&amp;"!c:c"))))</f>
        <v>#REF!</v>
      </c>
      <c r="E34" s="1625" t="s">
        <v>1306</v>
      </c>
      <c r="F34" s="1221"/>
      <c r="G34" s="115"/>
      <c r="H34" s="115"/>
      <c r="I34" s="115"/>
    </row>
    <row r="35" spans="1:15" ht="15.75" thickBot="1">
      <c r="A35" s="1626"/>
      <c r="B35" s="1627" t="s">
        <v>1307</v>
      </c>
      <c r="C35" s="1068" t="e">
        <f ca="1">IF(C33="自定义",F35,ROUND(C32*D35,0))</f>
        <v>#REF!</v>
      </c>
      <c r="D35" s="1069" t="e">
        <f ca="1">IF(C33="自定义",ROUND(C35/C32,3),IF(C33="收益比率",SUMIF(INDIRECT("'"&amp;D33&amp;"'"&amp;"!b:b"),"建筑物收益比率",INDIRECT("'"&amp;D33&amp;"'"&amp;"!c:c")),SUMIF(INDIRECT("'"&amp;D33&amp;"'"&amp;"!b:b"),"建筑物成本比率",INDIRECT("'"&amp;D33&amp;"'"&amp;"!c:c"))))</f>
        <v>#REF!</v>
      </c>
      <c r="E35" s="1628" t="s">
        <v>1308</v>
      </c>
      <c r="F35" s="140"/>
      <c r="G35" s="115"/>
      <c r="H35" s="115"/>
      <c r="I35" s="115"/>
    </row>
    <row r="36" spans="1:15" ht="15.75" thickBot="1">
      <c r="A36" s="3270" t="s">
        <v>1309</v>
      </c>
      <c r="B36" s="1629" t="s">
        <v>1310</v>
      </c>
      <c r="C36" s="131"/>
      <c r="D36" s="1630"/>
      <c r="E36" s="1545"/>
      <c r="F36" s="1631"/>
      <c r="G36" s="115"/>
      <c r="H36" s="115"/>
      <c r="I36" s="115"/>
    </row>
    <row r="37" spans="1:15" ht="15.75" thickBot="1">
      <c r="A37" s="3271"/>
      <c r="B37" s="1533" t="s">
        <v>1311</v>
      </c>
      <c r="C37" s="133"/>
      <c r="D37" s="1049"/>
      <c r="E37" s="1049"/>
      <c r="F37" s="1631"/>
      <c r="G37" s="115"/>
      <c r="H37" s="115"/>
      <c r="I37" s="115"/>
    </row>
    <row r="38" spans="1:15" ht="15.75" thickBot="1">
      <c r="A38" s="3272"/>
      <c r="B38" s="1632" t="s">
        <v>1312</v>
      </c>
      <c r="C38" s="631"/>
      <c r="D38" s="1633" t="s">
        <v>1313</v>
      </c>
      <c r="E38" s="1049"/>
      <c r="F38" s="1631"/>
      <c r="G38" s="115"/>
      <c r="H38" s="115"/>
      <c r="I38" s="115"/>
    </row>
    <row r="39" spans="1:15" ht="15">
      <c r="A39" s="1610" t="s">
        <v>1314</v>
      </c>
      <c r="B39" s="1634" t="s">
        <v>1298</v>
      </c>
      <c r="C39" s="1635" t="s">
        <v>1299</v>
      </c>
      <c r="D39" s="1635" t="s">
        <v>1317</v>
      </c>
      <c r="E39" s="1636" t="s">
        <v>1300</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247" t="s">
        <v>1323</v>
      </c>
      <c r="B45" s="3248"/>
      <c r="C45" s="3249"/>
      <c r="D45" s="141" t="e">
        <f ca="1">ROUND(H101*F45,0)</f>
        <v>#REF!</v>
      </c>
      <c r="E45" s="142" t="s">
        <v>1324</v>
      </c>
      <c r="F45" s="143">
        <v>1</v>
      </c>
      <c r="G45" s="144" t="s">
        <v>1325</v>
      </c>
      <c r="H45" s="115"/>
      <c r="I45" s="115"/>
      <c r="J45" s="3325" t="s">
        <v>1326</v>
      </c>
      <c r="K45" s="3325"/>
      <c r="L45" s="3325"/>
      <c r="M45" s="3325"/>
      <c r="N45" s="3325"/>
      <c r="O45" s="3325"/>
    </row>
    <row r="46" spans="1:15" ht="14.25" customHeight="1">
      <c r="A46" s="3244" t="s">
        <v>1327</v>
      </c>
      <c r="B46" s="3245"/>
      <c r="C46" s="3245"/>
      <c r="D46" s="3245"/>
      <c r="E46" s="3245"/>
      <c r="F46" s="3245"/>
      <c r="G46" s="3246"/>
      <c r="H46" s="1645"/>
      <c r="I46" s="145"/>
      <c r="J46" s="2287">
        <v>1</v>
      </c>
      <c r="K46" s="3306" t="s">
        <v>1328</v>
      </c>
      <c r="L46" s="3306"/>
      <c r="M46" s="3326"/>
      <c r="N46" s="3326"/>
      <c r="O46" s="3326"/>
    </row>
    <row r="47" spans="1:15" ht="12" customHeight="1">
      <c r="A47" s="146" t="s">
        <v>1329</v>
      </c>
      <c r="B47" s="147"/>
      <c r="C47" s="148"/>
      <c r="D47" s="1002" t="s">
        <v>1330</v>
      </c>
      <c r="E47" s="288" t="s">
        <v>1331</v>
      </c>
      <c r="F47" s="149" t="s">
        <v>1332</v>
      </c>
      <c r="G47" s="2310" t="s">
        <v>1333</v>
      </c>
      <c r="H47" s="2311"/>
      <c r="I47" s="145"/>
      <c r="J47" s="2287">
        <v>2</v>
      </c>
      <c r="K47" s="3306" t="s">
        <v>1334</v>
      </c>
      <c r="L47" s="3306"/>
      <c r="M47" s="3327">
        <f>'数据-取费表'!B2</f>
        <v>45727</v>
      </c>
      <c r="N47" s="3327"/>
      <c r="O47" s="3327"/>
    </row>
    <row r="48" spans="1:15" ht="25.5">
      <c r="A48" s="3275" t="s">
        <v>1335</v>
      </c>
      <c r="B48" s="3258"/>
      <c r="C48" s="3258"/>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1336</v>
      </c>
      <c r="H48" s="2314"/>
      <c r="I48" s="1645"/>
      <c r="J48" s="2287">
        <v>3</v>
      </c>
      <c r="K48" s="3306" t="s">
        <v>1337</v>
      </c>
      <c r="L48" s="3306"/>
      <c r="M48" s="3328" t="e">
        <f ca="1">H101</f>
        <v>#REF!</v>
      </c>
      <c r="N48" s="3328"/>
      <c r="O48" s="3328"/>
    </row>
    <row r="49" spans="1:35" ht="25.5" customHeight="1">
      <c r="A49" s="2129" t="s">
        <v>1338</v>
      </c>
      <c r="B49" s="3242" t="s">
        <v>1339</v>
      </c>
      <c r="C49" s="3242"/>
      <c r="D49" s="1456">
        <v>0</v>
      </c>
      <c r="E49" s="309" t="s">
        <v>1340</v>
      </c>
      <c r="F49" s="2210" t="s">
        <v>28</v>
      </c>
      <c r="G49" s="3312"/>
      <c r="H49" s="2111" t="s">
        <v>2131</v>
      </c>
      <c r="I49" s="2112"/>
      <c r="J49" s="2287">
        <v>4</v>
      </c>
      <c r="K49" s="3306" t="str">
        <f>IF(项目基本情况!E8="房地产抵押价值","房地产抵押价值","抵押担保权已注销时的房地产抵押价值")</f>
        <v>房地产抵押价值</v>
      </c>
      <c r="L49" s="3306"/>
      <c r="M49" s="3328" t="e">
        <f ca="1">IF(项目基本情况!E8="房地产抵押价值",H107,H109)</f>
        <v>#REF!</v>
      </c>
      <c r="N49" s="3328"/>
      <c r="O49" s="3328"/>
    </row>
    <row r="50" spans="1:35" ht="25.5" customHeight="1">
      <c r="A50" s="2315"/>
      <c r="B50" s="3242" t="s">
        <v>1341</v>
      </c>
      <c r="C50" s="3242"/>
      <c r="D50" s="2166"/>
      <c r="E50" s="316"/>
      <c r="F50" s="2210"/>
      <c r="G50" s="3313"/>
      <c r="H50" s="2113" t="s">
        <v>2132</v>
      </c>
      <c r="I50" s="2112"/>
      <c r="J50" s="3325" t="s">
        <v>1342</v>
      </c>
      <c r="K50" s="3325"/>
      <c r="L50" s="3325"/>
      <c r="M50" s="3325"/>
      <c r="N50" s="3325"/>
      <c r="O50" s="3325"/>
    </row>
    <row r="51" spans="1:35" ht="20.45" customHeight="1">
      <c r="A51" s="2316"/>
      <c r="B51" s="3242" t="s">
        <v>1343</v>
      </c>
      <c r="C51" s="3242"/>
      <c r="D51" s="1002"/>
      <c r="E51" s="312"/>
      <c r="F51" s="2210"/>
      <c r="G51" s="3314"/>
      <c r="H51" s="2113" t="s">
        <v>2133</v>
      </c>
      <c r="I51" s="2112"/>
      <c r="J51" s="2288" t="s">
        <v>1344</v>
      </c>
      <c r="K51" s="3306" t="s">
        <v>1345</v>
      </c>
      <c r="L51" s="3306"/>
      <c r="M51" s="2288" t="s">
        <v>1346</v>
      </c>
      <c r="N51" s="2288" t="s">
        <v>1347</v>
      </c>
      <c r="O51" s="2288" t="s">
        <v>1348</v>
      </c>
    </row>
    <row r="52" spans="1:35" ht="24" customHeight="1">
      <c r="A52" s="2130" t="s">
        <v>1349</v>
      </c>
      <c r="B52" s="3242" t="s">
        <v>1350</v>
      </c>
      <c r="C52" s="3242"/>
      <c r="D52" s="1002" t="e">
        <f ca="1">ROUND(D45*'数据-取费表'!B41/(1+'数据-取费表'!C42),0)</f>
        <v>#REF!</v>
      </c>
      <c r="E52" s="1234" t="s">
        <v>1351</v>
      </c>
      <c r="F52" s="2317">
        <f>'数据-取费表'!B41</f>
        <v>5.6000000000000001E-2</v>
      </c>
      <c r="G52" s="2318"/>
      <c r="H52" s="2308"/>
      <c r="I52" s="1646"/>
      <c r="J52" s="2287">
        <v>1</v>
      </c>
      <c r="K52" s="3307" t="s">
        <v>1352</v>
      </c>
      <c r="L52" s="3307"/>
      <c r="M52" s="2289" t="b">
        <f>D48</f>
        <v>0</v>
      </c>
      <c r="N52" s="2287" t="str">
        <f>E48</f>
        <v>销售额×税（费）率</v>
      </c>
      <c r="O52" s="2290">
        <f>F48</f>
        <v>5.6000000000000001E-2</v>
      </c>
    </row>
    <row r="53" spans="1:35" ht="12" customHeight="1">
      <c r="A53" s="2130" t="s">
        <v>1353</v>
      </c>
      <c r="B53" s="3268" t="s">
        <v>2279</v>
      </c>
      <c r="C53" s="3269"/>
      <c r="D53" s="1002" t="e">
        <f ca="1">ROUND(D45*'数据-取费表'!B41/(1+'数据-取费表'!C42),0)</f>
        <v>#REF!</v>
      </c>
      <c r="E53" s="1234" t="s">
        <v>1351</v>
      </c>
      <c r="F53" s="2317">
        <f>'数据-取费表'!B41</f>
        <v>5.6000000000000001E-2</v>
      </c>
      <c r="G53" s="2318"/>
      <c r="H53" s="2308"/>
      <c r="I53" s="1646"/>
      <c r="J53" s="2287">
        <v>2</v>
      </c>
      <c r="K53" s="3307" t="s">
        <v>1354</v>
      </c>
      <c r="L53" s="3307"/>
      <c r="M53" s="2289" t="e">
        <f t="shared" ref="M53:O54" ca="1" si="0">D55</f>
        <v>#REF!</v>
      </c>
      <c r="N53" s="2287" t="str">
        <f t="shared" si="0"/>
        <v>销售额×税（费）率</v>
      </c>
      <c r="O53" s="2290" t="str">
        <f t="shared" si="0"/>
        <v>免征</v>
      </c>
    </row>
    <row r="54" spans="1:35" ht="12" customHeight="1">
      <c r="A54" s="2130" t="s">
        <v>1355</v>
      </c>
      <c r="B54" s="3268" t="s">
        <v>2280</v>
      </c>
      <c r="C54" s="3269"/>
      <c r="D54" s="1002" t="e">
        <f ca="1">C68</f>
        <v>#REF!</v>
      </c>
      <c r="E54" s="312" t="s">
        <v>1356</v>
      </c>
      <c r="F54" s="2317">
        <f>'数据-取费表'!B41</f>
        <v>5.6000000000000001E-2</v>
      </c>
      <c r="G54" s="2318"/>
      <c r="H54" s="2319"/>
      <c r="I54" s="1646"/>
      <c r="J54" s="2287">
        <v>3</v>
      </c>
      <c r="K54" s="3307" t="s">
        <v>1357</v>
      </c>
      <c r="L54" s="3307"/>
      <c r="M54" s="2289" t="e">
        <f t="shared" ca="1" si="0"/>
        <v>#REF!</v>
      </c>
      <c r="N54" s="2287" t="str">
        <f t="shared" si="0"/>
        <v>增值额×税（费）率</v>
      </c>
      <c r="O54" s="2291" t="str">
        <f t="shared" si="0"/>
        <v>免征</v>
      </c>
    </row>
    <row r="55" spans="1:35" ht="24" customHeight="1">
      <c r="A55" s="3257" t="s">
        <v>1358</v>
      </c>
      <c r="B55" s="3258"/>
      <c r="C55" s="3258"/>
      <c r="D55" s="12" t="e">
        <f ca="1">IF(H55="个人住宅",0,ROUND(D45*I55,0))</f>
        <v>#REF!</v>
      </c>
      <c r="E55" s="1234" t="s">
        <v>1359</v>
      </c>
      <c r="F55" s="2317" t="str">
        <f>IF(H55="正常",I55,"免征")</f>
        <v>免征</v>
      </c>
      <c r="G55" s="2318"/>
      <c r="H55" s="2314"/>
      <c r="I55" s="151">
        <f>'数据-取费表'!B49</f>
        <v>5.0000000000000001E-4</v>
      </c>
      <c r="J55" s="2287">
        <f>IF(H59="非个人房产","",4)</f>
        <v>4</v>
      </c>
      <c r="K55" s="3307" t="str">
        <f>IF(H59="非个人房产","——","个人所得税")</f>
        <v>个人所得税</v>
      </c>
      <c r="L55" s="3307"/>
      <c r="M55" s="2292" t="e">
        <f ca="1">D59</f>
        <v>#REF!</v>
      </c>
      <c r="N55" s="1860" t="str">
        <f>E59</f>
        <v>差额计税</v>
      </c>
      <c r="O55" s="2293">
        <f>F59</f>
        <v>0.01</v>
      </c>
    </row>
    <row r="56" spans="1:35" ht="24.75">
      <c r="A56" s="3257" t="s">
        <v>1360</v>
      </c>
      <c r="B56" s="3258"/>
      <c r="C56" s="3258"/>
      <c r="D56" s="12" t="e">
        <f ca="1">IF(H56="个人住宅",D57,D58)</f>
        <v>#REF!</v>
      </c>
      <c r="E56" s="1234" t="s">
        <v>1361</v>
      </c>
      <c r="F56" s="2317" t="str">
        <f>IF(H56="正常",F58,"免征")</f>
        <v>免征</v>
      </c>
      <c r="G56" s="2320" t="s">
        <v>1362</v>
      </c>
      <c r="H56" s="2321"/>
      <c r="I56" s="1647"/>
      <c r="J56" s="2287" t="str">
        <f>IF(项目基本情况!K6="上海银行",IF(J55="",4,J55+1),"")</f>
        <v/>
      </c>
      <c r="K56" s="3330" t="str">
        <f>IF(项目基本情况!K6="上海银行","其他处置费用","")</f>
        <v/>
      </c>
      <c r="L56" s="3331"/>
      <c r="M56" s="2289" t="str">
        <f>IF(项目基本情况!K6="上海银行",M69,"")</f>
        <v/>
      </c>
      <c r="N56" s="3330" t="str">
        <f>IF(项目基本情况!K6="上海银行","包含处置中涉及的律师、诉讼、拍卖、评估等费用","")</f>
        <v/>
      </c>
      <c r="O56" s="3333"/>
    </row>
    <row r="57" spans="1:35" ht="12.75">
      <c r="A57" s="2130" t="s">
        <v>1338</v>
      </c>
      <c r="B57" s="3268" t="s">
        <v>1363</v>
      </c>
      <c r="C57" s="3269"/>
      <c r="D57" s="1456">
        <v>0</v>
      </c>
      <c r="E57" s="309" t="s">
        <v>1340</v>
      </c>
      <c r="F57" s="288"/>
      <c r="G57" s="2318"/>
      <c r="H57" s="2322"/>
      <c r="I57" s="1647"/>
      <c r="J57" s="3307">
        <f>IF(AND(J55="",J56=""),4,IF(项目基本情况!K6="上海银行",'结果表-车位'!J56+1,'结果表-车位'!J55+1))</f>
        <v>5</v>
      </c>
      <c r="K57" s="3307" t="s">
        <v>1364</v>
      </c>
      <c r="L57" s="2294" t="s">
        <v>1365</v>
      </c>
      <c r="M57" s="2295"/>
      <c r="N57" s="2296">
        <f ca="1">SUMIF(M52:M56,"&lt;9e307")</f>
        <v>0</v>
      </c>
      <c r="O57" s="2297"/>
      <c r="P57" s="2439" t="e">
        <f ca="1">N57/M49</f>
        <v>#REF!</v>
      </c>
    </row>
    <row r="58" spans="1:35" ht="24.75">
      <c r="A58" s="2130" t="s">
        <v>1349</v>
      </c>
      <c r="B58" s="3268" t="s">
        <v>1366</v>
      </c>
      <c r="C58" s="3242"/>
      <c r="D58" s="12" t="e">
        <f ca="1">IF(H58="转让取得",C81,C97)</f>
        <v>#REF!</v>
      </c>
      <c r="E58" s="1234" t="s">
        <v>1361</v>
      </c>
      <c r="F58" s="288" t="s">
        <v>28</v>
      </c>
      <c r="G58" s="2318"/>
      <c r="H58" s="2321"/>
      <c r="I58" s="1647"/>
      <c r="J58" s="3307"/>
      <c r="K58" s="3307"/>
      <c r="L58" s="2294" t="s">
        <v>1367</v>
      </c>
      <c r="M58" s="2298"/>
      <c r="N58" s="2299" t="str">
        <f ca="1">NUMBERSTRING(INT(N57*10000),2)&amp;"元整"</f>
        <v>零元整</v>
      </c>
      <c r="O58" s="2300"/>
    </row>
    <row r="59" spans="1:35" ht="24.75" thickBot="1">
      <c r="A59" s="3310" t="s">
        <v>1368</v>
      </c>
      <c r="B59" s="3311"/>
      <c r="C59" s="3311"/>
      <c r="D59" s="2323" t="e">
        <f ca="1">IF(H59="非个人房产","——",IF(H59="个人住宅（满五唯一有凭证）",0,IF(H59="个人其他（无凭证）",ROUND(D45*F59,0),ROUND(C67*F59,0))))</f>
        <v>#REF!</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1362</v>
      </c>
      <c r="H59" s="2115"/>
      <c r="I59" s="2114" t="s">
        <v>2134</v>
      </c>
      <c r="J59" s="3308">
        <f>J57+1</f>
        <v>6</v>
      </c>
      <c r="K59" s="3307" t="s">
        <v>1369</v>
      </c>
      <c r="L59" s="2287" t="s">
        <v>1365</v>
      </c>
      <c r="M59" s="2301"/>
      <c r="N59" s="2302" t="e">
        <f ca="1">M49-N57</f>
        <v>#REF!</v>
      </c>
      <c r="O59" s="2303"/>
    </row>
    <row r="60" spans="1:35" ht="12" customHeight="1">
      <c r="A60" s="1648"/>
      <c r="B60" s="636"/>
      <c r="C60" s="636"/>
      <c r="D60" s="636"/>
      <c r="E60" s="1444"/>
      <c r="F60" s="1647"/>
      <c r="G60" s="1647"/>
      <c r="H60" s="145"/>
      <c r="I60" s="115"/>
      <c r="J60" s="3309"/>
      <c r="K60" s="3307"/>
      <c r="L60" s="2294" t="s">
        <v>1367</v>
      </c>
      <c r="M60" s="2298"/>
      <c r="N60" s="2299" t="e">
        <f ca="1">NUMBERSTRING(INT(N59*10000),2)&amp;"元整"</f>
        <v>#REF!</v>
      </c>
      <c r="O60" s="2300"/>
    </row>
    <row r="61" spans="1:35" ht="13.5" thickBot="1">
      <c r="A61" s="3255" t="s">
        <v>1370</v>
      </c>
      <c r="B61" s="3255"/>
      <c r="C61" s="3255"/>
      <c r="D61" s="3255"/>
      <c r="E61" s="3255"/>
      <c r="F61" s="1647"/>
      <c r="G61" s="1647"/>
      <c r="H61" s="145"/>
      <c r="I61" s="115"/>
      <c r="J61" s="2287">
        <f>J59+1</f>
        <v>7</v>
      </c>
      <c r="K61" s="3307" t="s">
        <v>1371</v>
      </c>
      <c r="L61" s="3307"/>
      <c r="M61" s="2304"/>
      <c r="N61" s="2305" t="e">
        <f ca="1">ROUND(N59*10000/'数据-汇总表'!E3,0)</f>
        <v>#REF!</v>
      </c>
      <c r="O61" s="2306"/>
    </row>
    <row r="62" spans="1:35" ht="12.75">
      <c r="A62" s="3273" t="s">
        <v>1372</v>
      </c>
      <c r="B62" s="3274"/>
      <c r="C62" s="1842"/>
      <c r="D62" s="1842" t="s">
        <v>1373</v>
      </c>
      <c r="E62" s="152" t="s">
        <v>1374</v>
      </c>
      <c r="F62" s="1647"/>
      <c r="G62" s="1647"/>
      <c r="H62" s="145"/>
      <c r="I62" s="115"/>
    </row>
    <row r="63" spans="1:35" ht="12.75">
      <c r="A63" s="159" t="s">
        <v>330</v>
      </c>
      <c r="B63" s="153" t="s">
        <v>1375</v>
      </c>
      <c r="C63" s="2327" t="e">
        <f ca="1">ROUND((C64+C65)/(1+'数据-取费表'!C42),0)</f>
        <v>#REF!</v>
      </c>
      <c r="D63" s="153"/>
      <c r="E63" s="154"/>
      <c r="F63" s="1647"/>
      <c r="G63" s="1647"/>
      <c r="H63" s="145"/>
      <c r="I63" s="115"/>
      <c r="J63" s="3332" t="s">
        <v>1376</v>
      </c>
      <c r="K63" s="1223" t="s">
        <v>1377</v>
      </c>
      <c r="L63" s="1223" t="e">
        <f ca="1">IF(M49&gt;10000,M49*0.5%,IF(AND(M49&gt;1000,M49&lt;=10000),M49*1%,IF(AND(M49&gt;100,M49&lt;=1000),M49*3%,IF(AND(M49&gt;10,M49&lt;=100),M49*5%,M49*8%))))</f>
        <v>#REF!</v>
      </c>
      <c r="M63" s="288" t="e">
        <f ca="1">ROUND(L63,1)</f>
        <v>#REF!</v>
      </c>
      <c r="N63" s="2307"/>
      <c r="Z63" s="1600"/>
      <c r="AI63" s="1539"/>
    </row>
    <row r="64" spans="1:35" ht="14.25" customHeight="1">
      <c r="A64" s="155" t="s">
        <v>325</v>
      </c>
      <c r="B64" s="156" t="s">
        <v>1378</v>
      </c>
      <c r="C64" s="2328" t="e">
        <f ca="1">D45</f>
        <v>#REF!</v>
      </c>
      <c r="D64" s="156" t="s">
        <v>26</v>
      </c>
      <c r="E64" s="158"/>
      <c r="F64" s="1647"/>
      <c r="G64" s="1647"/>
      <c r="H64" s="145"/>
      <c r="I64" s="115"/>
      <c r="J64" s="3332"/>
      <c r="K64" s="1223" t="s">
        <v>1379</v>
      </c>
      <c r="L64" s="1223" t="e">
        <f ca="1">IF(M49&gt;2000,M49*0.5%,IF(AND(M49&gt;1000,M49&lt;=2000),M49*0.6%,IF(AND(M49&gt;500,M49&lt;=1000),M49*0.7%,IF(AND(M49&gt;200,M49&lt;=500),M49*0.8%,IF(AND(M49&gt;100,M49&lt;=200),M49*0.9%,IF(AND(M49&gt;50,M49&lt;=100),M49*1%,IF(AND(M49&gt;20,M49&lt;=50),M49*1.5%,IF(AND(M49&gt;10,M49&lt;=20),M49*2%,IF(AND(M49&gt;1,M49&lt;=10),M49*2.5%)))))))))</f>
        <v>#REF!</v>
      </c>
      <c r="M64" s="288" t="e">
        <f t="shared" ref="M64:M65" ca="1" si="1">ROUND(L64,1)</f>
        <v>#REF!</v>
      </c>
      <c r="N64" s="2308" t="s">
        <v>1380</v>
      </c>
      <c r="Z64" s="1600"/>
      <c r="AI64" s="1539"/>
    </row>
    <row r="65" spans="1:35" ht="14.25" customHeight="1">
      <c r="A65" s="155" t="s">
        <v>326</v>
      </c>
      <c r="B65" s="156" t="s">
        <v>1381</v>
      </c>
      <c r="C65" s="2329"/>
      <c r="D65" s="156"/>
      <c r="E65" s="158"/>
      <c r="F65" s="1647"/>
      <c r="G65" s="1647"/>
      <c r="H65" s="145"/>
      <c r="I65" s="115"/>
      <c r="J65" s="3332"/>
      <c r="K65" s="1223" t="s">
        <v>1382</v>
      </c>
      <c r="L65" s="1223" t="e">
        <f ca="1">IF(M49&gt;1000,M49*0.1%,IF(AND(M49&gt;500,M49&lt;=1000),M49*0.5%,IF(AND(M49&gt;50,M49&lt;=500),M49*1%,IF(AND(M49&gt;1,M49&lt;=50),M49*1.5%))))</f>
        <v>#REF!</v>
      </c>
      <c r="M65" s="288" t="e">
        <f t="shared" ca="1" si="1"/>
        <v>#REF!</v>
      </c>
      <c r="N65" s="2308" t="s">
        <v>1380</v>
      </c>
      <c r="Z65" s="1600"/>
      <c r="AI65" s="1539"/>
    </row>
    <row r="66" spans="1:35" ht="14.25" customHeight="1">
      <c r="A66" s="159" t="s">
        <v>327</v>
      </c>
      <c r="B66" s="160" t="s">
        <v>1383</v>
      </c>
      <c r="C66" s="2330"/>
      <c r="D66" s="160" t="s">
        <v>26</v>
      </c>
      <c r="E66" s="1229" t="s">
        <v>668</v>
      </c>
      <c r="F66" s="1647"/>
      <c r="G66" s="1647"/>
      <c r="H66" s="145"/>
      <c r="I66" s="115"/>
      <c r="J66" s="3332"/>
      <c r="K66" s="1223" t="s">
        <v>1384</v>
      </c>
      <c r="L66" s="1223" t="e">
        <f ca="1">M49*0.5%</f>
        <v>#REF!</v>
      </c>
      <c r="M66" s="288" t="e">
        <f ca="1">IF(L66&gt;0.5,0.5,ROUND(L66,0))</f>
        <v>#REF!</v>
      </c>
      <c r="N66" s="2308" t="s">
        <v>1385</v>
      </c>
      <c r="Z66" s="1600"/>
      <c r="AI66" s="1539"/>
    </row>
    <row r="67" spans="1:35" ht="14.25" customHeight="1">
      <c r="A67" s="159" t="s">
        <v>328</v>
      </c>
      <c r="B67" s="160" t="s">
        <v>1386</v>
      </c>
      <c r="C67" s="2331" t="e">
        <f ca="1">C63-C66</f>
        <v>#REF!</v>
      </c>
      <c r="D67" s="156" t="s">
        <v>26</v>
      </c>
      <c r="E67" s="158"/>
      <c r="F67" s="1647"/>
      <c r="G67" s="1647"/>
      <c r="H67" s="145"/>
      <c r="I67" s="115"/>
      <c r="J67" s="3332"/>
      <c r="K67" s="1223" t="s">
        <v>1387</v>
      </c>
      <c r="L67" s="1223" t="e">
        <f ca="1">IF(M49&gt;=10000,(8.25+(M49-10000)*0.01%),IF(AND(M49&gt;=8000,M49&lt;10000),(7.85+(M49-8000)*0.02%),IF(AND(M49&gt;=5000,M49&lt;8000),(6.65+(M49-5000)*0.04%),IF(AND(M49&gt;=2000,M49&lt;5000),(4.25+(PM49-2000)*0.08%),IF(AND(M49&gt;=1000,M49&lt;2000),(2.75+(M49-1000)*0.15%),IF(AND(M49&gt;=100,M49&lt;1000),(0.5+(M49-100)*0.25%),IF(AND(M49&gt;0,M49&lt;100),M49*0.5%)))))))</f>
        <v>#REF!</v>
      </c>
      <c r="M67" s="288" t="e">
        <f ca="1">ROUND(L67*0.9,1)</f>
        <v>#REF!</v>
      </c>
      <c r="N67" s="2307"/>
      <c r="Z67" s="1600"/>
      <c r="AI67" s="1539"/>
    </row>
    <row r="68" spans="1:35" ht="14.25" customHeight="1" thickBot="1">
      <c r="A68" s="162" t="s">
        <v>329</v>
      </c>
      <c r="B68" s="163" t="s">
        <v>1388</v>
      </c>
      <c r="C68" s="2332" t="e">
        <f ca="1">IF(C67&lt;=0,0,ROUND(C67*D68,0))</f>
        <v>#REF!</v>
      </c>
      <c r="D68" s="2333">
        <f>'数据-取费表'!B41</f>
        <v>5.6000000000000001E-2</v>
      </c>
      <c r="E68" s="164"/>
      <c r="F68" s="1647"/>
      <c r="G68" s="1647"/>
      <c r="H68" s="145"/>
      <c r="I68" s="115"/>
      <c r="J68" s="3332"/>
      <c r="K68" s="1223" t="s">
        <v>1389</v>
      </c>
      <c r="L68" s="1223" t="e">
        <f ca="1">IF(M49&gt;10000,M49*0.5%,IF(AND(M49&gt;5000,M49&lt;=10000),M49*1%,IF(AND(M49&gt;1000,M49&lt;=5000),M49*2%,IF(AND(M49&gt;200,M49&lt;=1000),M49*3%,M49*5%))))</f>
        <v>#REF!</v>
      </c>
      <c r="M68" s="288" t="e">
        <f ca="1">ROUND(L68,1)</f>
        <v>#REF!</v>
      </c>
      <c r="N68" s="2307"/>
      <c r="Z68" s="1600"/>
      <c r="AI68" s="1539"/>
    </row>
    <row r="69" spans="1:35" ht="16.5" customHeight="1">
      <c r="A69" s="1649"/>
      <c r="B69" s="1650"/>
      <c r="C69" s="1651"/>
      <c r="D69" s="1652"/>
      <c r="E69" s="1653"/>
      <c r="F69" s="1444"/>
      <c r="G69" s="1444"/>
      <c r="H69" s="1445"/>
      <c r="I69" s="636"/>
      <c r="J69" s="3332"/>
      <c r="K69" s="1223" t="s">
        <v>1390</v>
      </c>
      <c r="L69" s="1223"/>
      <c r="M69" s="288" t="e">
        <f ca="1">ROUND(SUM(M63:M68),0)</f>
        <v>#REF!</v>
      </c>
      <c r="N69" s="2309" t="e">
        <f ca="1">M69/M49</f>
        <v>#REF!</v>
      </c>
      <c r="Z69" s="1600"/>
      <c r="AI69" s="1539"/>
    </row>
    <row r="70" spans="1:35" s="632" customFormat="1" ht="15" thickBot="1">
      <c r="A70" s="3294" t="s">
        <v>1391</v>
      </c>
      <c r="B70" s="3295"/>
      <c r="C70" s="3295"/>
      <c r="D70" s="3295"/>
      <c r="E70" s="3295"/>
      <c r="F70" s="3295"/>
      <c r="G70" s="3295"/>
      <c r="H70" s="3295"/>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3" t="s">
        <v>1372</v>
      </c>
      <c r="B71" s="3274"/>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t="e">
        <f ca="1">ROUND(D45/(1+'数据-取费表'!C42),0)</f>
        <v>#REF!</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t="e">
        <f ca="1">C74+C78</f>
        <v>#REF!</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268" t="s">
        <v>1399</v>
      </c>
      <c r="F76" s="3242"/>
      <c r="G76" s="3242"/>
      <c r="H76" s="3293"/>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t="e">
        <f ca="1">ROUND(D45*D78/(1+'数据-取费表'!C42),0)</f>
        <v>#REF!</v>
      </c>
      <c r="D78" s="2340">
        <f>'数据-取费表'!B43</f>
        <v>6.000000000000001E-3</v>
      </c>
      <c r="E78" s="3252" t="s">
        <v>1403</v>
      </c>
      <c r="F78" s="3253"/>
      <c r="G78" s="3253"/>
      <c r="H78" s="3262"/>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328</v>
      </c>
      <c r="B79" s="160" t="s">
        <v>1404</v>
      </c>
      <c r="C79" s="2331" t="e">
        <f ca="1">C72-C73</f>
        <v>#REF!</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t="e">
        <f ca="1">IF(C79&lt;=0,0,C79/C73)</f>
        <v>#REF!</v>
      </c>
      <c r="D80" s="156" t="s">
        <v>26</v>
      </c>
      <c r="E80" s="12" t="e">
        <f ca="1">IF(C80&gt;=200%,"增值额超过扣除项目金额200%",IF(C80&gt;=100%,"增值额超过扣除项目金额100%，未超过200%",IF(C80&gt;=50%,"增值额超过扣除项目金额50%，未超过100%",IF(C80&lt;50%,"增值额未超过扣除项目金额50%"))))</f>
        <v>#REF!</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t="e">
        <f ca="1">ROUND(IF(C79&lt;=0,0,IF(C80&gt;=200%,C79*60%-C73*35%,IF(C80&gt;=100%,C79*50%-C73*15%,IF(C80&gt;=50%,C79*40%-C73*5%,IF(C80&lt;50%,C79*30%,0))))),0)</f>
        <v>#REF!</v>
      </c>
      <c r="D81" s="2343"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94" t="s">
        <v>1407</v>
      </c>
      <c r="B83" s="3295"/>
      <c r="C83" s="3295"/>
      <c r="D83" s="3295"/>
      <c r="E83" s="3295"/>
      <c r="F83" s="3295"/>
      <c r="G83" s="3295"/>
      <c r="H83" s="3295"/>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3" t="s">
        <v>1372</v>
      </c>
      <c r="B84" s="3274"/>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t="e">
        <f ca="1">ROUND(D45/(1+'数据-取费表'!C42),0)</f>
        <v>#REF!</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t="e">
        <f ca="1">IF(H88="仅含出让金",C87+C90+C91+C92+C93+C94,C87+C91+C92+C93+C94)</f>
        <v>#REF!</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c r="D88" s="2340"/>
      <c r="E88" s="179" t="s">
        <v>1410</v>
      </c>
      <c r="F88" s="2125"/>
      <c r="G88" s="180" t="s">
        <v>1411</v>
      </c>
      <c r="H88" s="1661"/>
      <c r="I88" s="1658"/>
      <c r="J88" s="2285" t="s">
        <v>2276</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0</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334" t="s">
        <v>2126</v>
      </c>
      <c r="H90" s="3335"/>
      <c r="I90" s="1658"/>
      <c r="J90" s="2285" t="s">
        <v>2277</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IF(H91="——",成本法!C33,I91)</f>
        <v>0</v>
      </c>
      <c r="D91" s="2340"/>
      <c r="E91" s="3252" t="s">
        <v>1416</v>
      </c>
      <c r="F91" s="3253"/>
      <c r="G91" s="3253"/>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ROUND((C87+C90+C91)*D92,0)</f>
        <v>0</v>
      </c>
      <c r="D92" s="2346"/>
      <c r="E92" s="3252" t="s">
        <v>1419</v>
      </c>
      <c r="F92" s="3253"/>
      <c r="G92" s="3253"/>
      <c r="H92" s="3262"/>
      <c r="I92" s="1658"/>
      <c r="J92" s="2286" t="s">
        <v>2278</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t="e">
        <f ca="1">ROUND(D45*D93/(1+'数据-取费表'!C42),0)</f>
        <v>#REF!</v>
      </c>
      <c r="D93" s="2340">
        <f>'数据-取费表'!B43</f>
        <v>6.000000000000001E-3</v>
      </c>
      <c r="E93" s="3252" t="s">
        <v>1403</v>
      </c>
      <c r="F93" s="3253"/>
      <c r="G93" s="3253"/>
      <c r="H93" s="3262"/>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ROUND((C87+C90+C91)*D94,0)</f>
        <v>0</v>
      </c>
      <c r="D94" s="2340">
        <v>0.2</v>
      </c>
      <c r="E94" s="3263" t="s">
        <v>1423</v>
      </c>
      <c r="F94" s="3264"/>
      <c r="G94" s="3264"/>
      <c r="H94" s="3265"/>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328</v>
      </c>
      <c r="B95" s="160" t="s">
        <v>1404</v>
      </c>
      <c r="C95" s="2331" t="e">
        <f ca="1">ROUND(C85-C86,0)</f>
        <v>#REF!</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t="e">
        <f ca="1">IF(C95&lt;=0,0,C95/C86)</f>
        <v>#REF!</v>
      </c>
      <c r="D96" s="156" t="s">
        <v>26</v>
      </c>
      <c r="E96" s="12" t="e">
        <f ca="1">IF(C96&gt;=200%,"增值额超过扣除项目金额200%",IF(C96&gt;=100%,"增值额超过扣除项目金额100%，未超过200%",IF(C96&gt;=50%,"增值额超过扣除项目金额50%，未超过100%",IF(C96&lt;50%,"增值额未超过扣除项目金额50%"))))</f>
        <v>#REF!</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t="e">
        <f ca="1">ROUND(IF(C95&lt;=0,0,IF(C96&gt;=200%,C95*60%-C86*35%,IF(C96&gt;=100%,C95*50%-C86*15%,IF(C96&gt;=50%,C95*40%-C86*5%,IF(C96&lt;50%,C95*30%,0))))),0)</f>
        <v>#REF!</v>
      </c>
      <c r="D97" s="2343"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236" t="s">
        <v>1425</v>
      </c>
      <c r="B100" s="3237"/>
      <c r="C100" s="3237"/>
      <c r="D100" s="3254"/>
      <c r="E100" s="3237" t="s">
        <v>1426</v>
      </c>
      <c r="F100" s="3237"/>
      <c r="G100" s="3237"/>
      <c r="H100" s="3254"/>
      <c r="I100" s="115"/>
    </row>
    <row r="101" spans="1:35" ht="18.75" customHeight="1">
      <c r="A101" s="3315" t="s">
        <v>1427</v>
      </c>
      <c r="B101" s="3316"/>
      <c r="C101" s="2348" t="str">
        <f>C4</f>
        <v>比较法-车位</v>
      </c>
      <c r="D101" s="2349" t="str">
        <f>D4</f>
        <v>收益法-车位</v>
      </c>
      <c r="E101" s="3329" t="s">
        <v>1428</v>
      </c>
      <c r="F101" s="3286"/>
      <c r="G101" s="1664" t="s">
        <v>1429</v>
      </c>
      <c r="H101" s="2358" t="e">
        <f ca="1">H118</f>
        <v>#REF!</v>
      </c>
      <c r="I101" s="115"/>
    </row>
    <row r="102" spans="1:35" ht="18.75" customHeight="1">
      <c r="A102" s="3288" t="s">
        <v>1430</v>
      </c>
      <c r="B102" s="2347" t="s">
        <v>1429</v>
      </c>
      <c r="C102" s="2348">
        <f ca="1">IF(D32="楼面单价",ROUND(C19,0),C19)</f>
        <v>66</v>
      </c>
      <c r="D102" s="2349">
        <f ca="1">IF(D32="楼面单价",ROUND(D19,0),D19)</f>
        <v>45.540500000000002</v>
      </c>
      <c r="E102" s="3329"/>
      <c r="F102" s="3286"/>
      <c r="G102" s="1664" t="s">
        <v>1431</v>
      </c>
      <c r="H102" s="2318" t="e">
        <f ca="1">I118</f>
        <v>#REF!</v>
      </c>
      <c r="I102" s="115"/>
    </row>
    <row r="103" spans="1:35" ht="42.75" customHeight="1">
      <c r="A103" s="3288"/>
      <c r="B103" s="2347" t="s">
        <v>1431</v>
      </c>
      <c r="C103" s="2350">
        <f ca="1">C20</f>
        <v>1467</v>
      </c>
      <c r="D103" s="2351">
        <f ca="1">D20</f>
        <v>1012</v>
      </c>
      <c r="E103" s="3323" t="s">
        <v>1432</v>
      </c>
      <c r="F103" s="3324"/>
      <c r="G103" s="1665" t="s">
        <v>1433</v>
      </c>
      <c r="H103" s="2358">
        <f>IF(D36="正常操作",H104+H105+H106,H105+H106)</f>
        <v>0</v>
      </c>
      <c r="I103" s="115"/>
    </row>
    <row r="104" spans="1:35" ht="18.75" customHeight="1">
      <c r="A104" s="3288" t="s">
        <v>1434</v>
      </c>
      <c r="B104" s="2352" t="s">
        <v>1429</v>
      </c>
      <c r="C104" s="2353" t="e">
        <f ca="1">H118</f>
        <v>#REF!</v>
      </c>
      <c r="D104" s="2354"/>
      <c r="E104" s="1533" t="s">
        <v>1435</v>
      </c>
      <c r="F104" s="1526"/>
      <c r="G104" s="1665" t="s">
        <v>1433</v>
      </c>
      <c r="H104" s="2359">
        <f>IF(D36="同一抵押权人同一抵押物续贷",C36&amp;"（续贷，未扣减，详见特别提示）",C36)</f>
        <v>0</v>
      </c>
      <c r="I104" s="115"/>
    </row>
    <row r="105" spans="1:35" ht="18.75" customHeight="1" thickBot="1">
      <c r="A105" s="3289"/>
      <c r="B105" s="2355" t="s">
        <v>1431</v>
      </c>
      <c r="C105" s="2356" t="e">
        <f ca="1">I118</f>
        <v>#REF!</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285" t="str">
        <f>IF(项目基本情况!E8="已注销","——","3.房地产抵押价值")</f>
        <v>3.房地产抵押价值</v>
      </c>
      <c r="F107" s="3286"/>
      <c r="G107" s="1664" t="s">
        <v>1429</v>
      </c>
      <c r="H107" s="2358" t="e">
        <f ca="1">IF(E107="——","——",H101-H103)</f>
        <v>#REF!</v>
      </c>
      <c r="I107" s="115"/>
    </row>
    <row r="108" spans="1:35" ht="18.75" customHeight="1">
      <c r="A108" s="115"/>
      <c r="B108" s="115"/>
      <c r="C108" s="115"/>
      <c r="D108" s="115"/>
      <c r="E108" s="3285"/>
      <c r="F108" s="3286"/>
      <c r="G108" s="1664" t="s">
        <v>1431</v>
      </c>
      <c r="H108" s="2318" t="e">
        <f ca="1">IF(H107=H101,H102,ROUND(H107*10000/'数据-汇总表'!E3,0))</f>
        <v>#REF!</v>
      </c>
      <c r="I108" s="115"/>
    </row>
    <row r="109" spans="1:35" ht="18.75" customHeight="1">
      <c r="A109" s="115"/>
      <c r="B109" s="115"/>
      <c r="C109" s="115"/>
      <c r="D109" s="115"/>
      <c r="E109" s="3285" t="str">
        <f>IF(项目基本情况!E8="已注销及未注销","4.抵押担保权已注销时的房地产抵押价值",IF(项目基本情况!E8="已注销","3.抵押担保权已注销时的房地产抵押价值","——"))</f>
        <v>——</v>
      </c>
      <c r="F109" s="3286"/>
      <c r="G109" s="1664" t="s">
        <v>1429</v>
      </c>
      <c r="H109" s="2361" t="str">
        <f>IF(E109="——","——",H101-H105-H106)</f>
        <v>——</v>
      </c>
      <c r="I109" s="115"/>
    </row>
    <row r="110" spans="1:35" ht="18.75" customHeight="1">
      <c r="A110" s="115"/>
      <c r="B110" s="115"/>
      <c r="C110" s="115"/>
      <c r="D110" s="115"/>
      <c r="E110" s="3285"/>
      <c r="F110" s="3286"/>
      <c r="G110" s="1664" t="s">
        <v>1431</v>
      </c>
      <c r="H110" s="2318" t="str">
        <f>IF(H109="——","——",ROUND(H109*10000/'数据-汇总表'!E3,0))</f>
        <v>——</v>
      </c>
      <c r="I110" s="115"/>
    </row>
    <row r="111" spans="1:35" ht="18.75" customHeight="1">
      <c r="A111" s="115"/>
      <c r="B111" s="115"/>
      <c r="C111" s="115"/>
      <c r="D111" s="115"/>
      <c r="E111" s="3317" t="str">
        <f>IF(项目基本情况!E9="抵押净值",IF(OR(项目基本情况!E8="已注销",项目基本情况!E8="房地产抵押价值"),"4.抵押净值","5.抵押净值"),"——")</f>
        <v>——</v>
      </c>
      <c r="F111" s="3287"/>
      <c r="G111" s="1664" t="s">
        <v>1429</v>
      </c>
      <c r="H111" s="2358" t="str">
        <f>IF(E111="——","——",N59)</f>
        <v>——</v>
      </c>
      <c r="I111" s="115"/>
    </row>
    <row r="112" spans="1:35" ht="18.75" customHeight="1" thickBot="1">
      <c r="A112" s="115"/>
      <c r="B112" s="115"/>
      <c r="C112" s="115"/>
      <c r="D112" s="115"/>
      <c r="E112" s="3318"/>
      <c r="F112" s="3319"/>
      <c r="G112" s="1667" t="s">
        <v>1431</v>
      </c>
      <c r="H112" s="2362" t="str">
        <f>IF(E111="——","——",N61)</f>
        <v>——</v>
      </c>
      <c r="I112" s="115"/>
    </row>
    <row r="113" spans="1:27" ht="18.75" customHeight="1">
      <c r="A113" s="115"/>
      <c r="B113" s="115"/>
      <c r="C113" s="115"/>
      <c r="D113" s="115"/>
      <c r="E113" s="3290" t="s">
        <v>1437</v>
      </c>
      <c r="F113" s="3290"/>
      <c r="G113" s="3290"/>
      <c r="H113" s="3290"/>
      <c r="I113" s="115"/>
    </row>
    <row r="114" spans="1:27" ht="3.75" customHeight="1">
      <c r="A114" s="636"/>
      <c r="B114" s="636"/>
      <c r="C114" s="636"/>
      <c r="D114" s="636"/>
      <c r="E114" s="1648"/>
      <c r="F114" s="1648"/>
      <c r="G114" s="1648"/>
      <c r="H114" s="1648"/>
      <c r="I114" s="636"/>
    </row>
    <row r="115" spans="1:27" ht="18.75" customHeight="1">
      <c r="A115" s="3300" t="s">
        <v>1439</v>
      </c>
      <c r="B115" s="3301"/>
      <c r="C115" s="3301"/>
      <c r="D115" s="3301"/>
      <c r="E115" s="3301"/>
      <c r="F115" s="3301"/>
      <c r="G115" s="3301"/>
      <c r="H115" s="3301"/>
      <c r="I115" s="3302"/>
    </row>
    <row r="116" spans="1:27" ht="27" customHeight="1">
      <c r="A116" s="3256" t="s">
        <v>1440</v>
      </c>
      <c r="B116" s="3291" t="s">
        <v>1441</v>
      </c>
      <c r="C116" s="3291" t="s">
        <v>1442</v>
      </c>
      <c r="D116" s="3304" t="s">
        <v>1443</v>
      </c>
      <c r="E116" s="3305"/>
      <c r="F116" s="3299" t="s">
        <v>1444</v>
      </c>
      <c r="G116" s="3299"/>
      <c r="H116" s="3256" t="s">
        <v>1445</v>
      </c>
      <c r="I116" s="3256"/>
    </row>
    <row r="117" spans="1:27" ht="18.75" customHeight="1">
      <c r="A117" s="3256"/>
      <c r="B117" s="3292"/>
      <c r="C117" s="3292"/>
      <c r="D117" s="2127" t="s">
        <v>1446</v>
      </c>
      <c r="E117" s="2127" t="s">
        <v>1447</v>
      </c>
      <c r="F117" s="2127" t="s">
        <v>1446</v>
      </c>
      <c r="G117" s="2127" t="s">
        <v>1448</v>
      </c>
      <c r="H117" s="2127" t="s">
        <v>1446</v>
      </c>
      <c r="I117" s="2127" t="s">
        <v>1448</v>
      </c>
    </row>
    <row r="118" spans="1:27" ht="24.75" customHeight="1">
      <c r="A118" s="2363" t="str">
        <f>项目基本情况!S2</f>
        <v>房地产</v>
      </c>
      <c r="B118" s="2127">
        <f>M18</f>
        <v>450</v>
      </c>
      <c r="C118" s="2127">
        <f>M19</f>
        <v>0</v>
      </c>
      <c r="D118" s="2127" t="e">
        <f ca="1">ROUND(IF(D32="总价",C34,E118*B118/10000),0)</f>
        <v>#REF!</v>
      </c>
      <c r="E118" s="2127" t="e">
        <f ca="1">ROUND(IF(C33="自定义",IF(D32="楼面单价",C34,D118*10000/B118),I118-G118),0)</f>
        <v>#REF!</v>
      </c>
      <c r="F118" s="2127" t="e">
        <f ca="1">ROUND(IF(D32="总价",C35,G118*B118/10000),0)</f>
        <v>#REF!</v>
      </c>
      <c r="G118" s="2127" t="e">
        <f ca="1">ROUND(IF(D32="楼面单价",C35,F118*10000/B118),0)</f>
        <v>#REF!</v>
      </c>
      <c r="H118" s="2127" t="e">
        <f ca="1">ROUND(IF(D32="总价",C32,I118*B118/10000),0)</f>
        <v>#REF!</v>
      </c>
      <c r="I118" s="2127" t="e">
        <f ca="1">ROUND(IF(D32="楼面单价",C32,H118*10000/B118),0)</f>
        <v>#REF!</v>
      </c>
    </row>
    <row r="119" spans="1:27" ht="18.75" customHeight="1">
      <c r="A119" s="3256" t="s">
        <v>1449</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96" t="s">
        <v>1449</v>
      </c>
      <c r="B121" s="3297"/>
      <c r="C121" s="3298"/>
      <c r="D121" s="3296" t="str">
        <f>IF(D120=0,"零元整",NUMBERSTRING(INT(D120*10000),2)&amp;"元整")</f>
        <v>零元整</v>
      </c>
      <c r="E121" s="3297"/>
      <c r="F121" s="3297"/>
      <c r="G121" s="3297"/>
      <c r="H121" s="3297"/>
      <c r="I121" s="3298"/>
      <c r="AA121" s="67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74"/>
    </row>
    <row r="123" spans="1:27" ht="18.75" customHeight="1">
      <c r="A123" s="3256" t="s">
        <v>1449</v>
      </c>
      <c r="B123" s="3256"/>
      <c r="C123" s="3256"/>
      <c r="D123" s="3296" t="e">
        <f ca="1">NUMBERSTRING(INT(D122*10000),2)&amp;"元整"</f>
        <v>#REF!</v>
      </c>
      <c r="E123" s="3297"/>
      <c r="F123" s="3297"/>
      <c r="G123" s="3297"/>
      <c r="H123" s="3297"/>
      <c r="I123" s="3298"/>
      <c r="AA123" s="674"/>
    </row>
    <row r="124" spans="1:27" ht="18.75" customHeight="1">
      <c r="A124" s="3287" t="str">
        <f>IF(项目基本情况!B9="房地产市场价值","",MID(E109,3,LEN(E109)-2))</f>
        <v/>
      </c>
      <c r="B124" s="3287"/>
      <c r="C124" s="3287"/>
      <c r="D124" s="3320" t="str">
        <f>H109</f>
        <v>——</v>
      </c>
      <c r="E124" s="3321"/>
      <c r="F124" s="3321"/>
      <c r="G124" s="3321"/>
      <c r="H124" s="3321"/>
      <c r="I124" s="3322"/>
      <c r="AA124" s="674"/>
    </row>
    <row r="125" spans="1:27" ht="18.75" customHeight="1">
      <c r="A125" s="3256" t="s">
        <v>1449</v>
      </c>
      <c r="B125" s="3256"/>
      <c r="C125" s="3256"/>
      <c r="D125" s="3296" t="e">
        <f>NUMBERSTRING(INT(D124*10000),2)&amp;"元整"</f>
        <v>#VALUE!</v>
      </c>
      <c r="E125" s="3297"/>
      <c r="F125" s="3297"/>
      <c r="G125" s="3297"/>
      <c r="H125" s="3297"/>
      <c r="I125" s="3298"/>
      <c r="AA125" s="674"/>
    </row>
    <row r="126" spans="1:27" ht="18.75" customHeight="1">
      <c r="A126" s="3287" t="str">
        <f>IF(项目基本情况!B9="房地产市场价值","",MID(E111,3,LEN(E111)-2))</f>
        <v/>
      </c>
      <c r="B126" s="3287"/>
      <c r="C126" s="3287"/>
      <c r="D126" s="3320" t="str">
        <f>H111</f>
        <v>——</v>
      </c>
      <c r="E126" s="3321"/>
      <c r="F126" s="3321"/>
      <c r="G126" s="3321"/>
      <c r="H126" s="3321"/>
      <c r="I126" s="3322"/>
      <c r="AA126" s="674"/>
    </row>
    <row r="127" spans="1:27" ht="18.75" customHeight="1">
      <c r="A127" s="3256" t="s">
        <v>1449</v>
      </c>
      <c r="B127" s="3256"/>
      <c r="C127" s="3256"/>
      <c r="D127" s="3296" t="e">
        <f>NUMBERSTRING(INT(D126*10000),2)&amp;"元整"</f>
        <v>#VALUE!</v>
      </c>
      <c r="E127" s="3297"/>
      <c r="F127" s="3297"/>
      <c r="G127" s="3297"/>
      <c r="H127" s="3297"/>
      <c r="I127" s="3298"/>
      <c r="AA127" s="674"/>
    </row>
    <row r="128" spans="1:27" ht="21.75" customHeight="1">
      <c r="A128" s="3303" t="s">
        <v>1450</v>
      </c>
      <c r="B128" s="3303"/>
      <c r="C128" s="3303"/>
      <c r="D128" s="3303"/>
      <c r="E128" s="3303"/>
      <c r="F128" s="3303"/>
      <c r="G128" s="3303"/>
      <c r="H128" s="3303"/>
      <c r="I128" s="3303"/>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D9EF8B93-AC39-408E-9AD2-DCE37460A641}">
      <formula1>"0,5%,10%"</formula1>
    </dataValidation>
    <dataValidation type="list" allowBlank="1" showInputMessage="1" showErrorMessage="1" sqref="H59" xr:uid="{609D6B97-4AEB-4B0B-8708-F9DB20527485}">
      <formula1>"非个人房产,个人住宅（满五唯一有凭证）,个人其他（有凭证）,个人其他（无凭证）"</formula1>
    </dataValidation>
    <dataValidation type="list" allowBlank="1" showInputMessage="1" showErrorMessage="1" sqref="E103" xr:uid="{BB1328AF-8AA5-47FB-9B9B-FAA2CF9E984C}">
      <formula1>"2.估价师知悉的法定优先受偿款,2.估价师知悉的除抵押担保权以外的法定优先受偿款"</formula1>
    </dataValidation>
    <dataValidation type="list" allowBlank="1" showInputMessage="1" showErrorMessage="1" sqref="G77" xr:uid="{51844C0E-EA4A-47B1-9654-730490FAB590}">
      <formula1>"个人住宅,2016年5月1日前购买,2016年5月1日后购买"</formula1>
    </dataValidation>
    <dataValidation type="list" allowBlank="1" showInputMessage="1" showErrorMessage="1" sqref="C1" xr:uid="{DB7ABC4A-8160-4E14-9045-A2272A715041}">
      <formula1>项目类型</formula1>
    </dataValidation>
    <dataValidation type="list" allowBlank="1" showInputMessage="1" showErrorMessage="1" sqref="I1" xr:uid="{111F475E-2DE8-42F3-AD77-5C1B4AC38EE4}">
      <formula1>"项目局部,项目全部,——"</formula1>
    </dataValidation>
    <dataValidation type="list" showInputMessage="1" showErrorMessage="1" sqref="G1" xr:uid="{3F55A8A5-7CBC-4EFF-BF3A-2C170EDD0174}">
      <formula1>"现房,在建,土地,-"</formula1>
    </dataValidation>
    <dataValidation type="list" allowBlank="1" showInputMessage="1" showErrorMessage="1" sqref="C129" xr:uid="{8D55281B-17B5-4570-801A-EBC2B9DD9E79}">
      <formula1>"无,有"</formula1>
    </dataValidation>
    <dataValidation type="list" allowBlank="1" showInputMessage="1" showErrorMessage="1" sqref="F116:G116" xr:uid="{D0E4E530-C888-49DE-9F79-D15A44F05422}">
      <formula1>"建筑物价值,在建建筑物价值,建筑物/在建建筑物价值"</formula1>
    </dataValidation>
    <dataValidation type="list" allowBlank="1" showInputMessage="1" showErrorMessage="1" sqref="D116:E116" xr:uid="{F6536A59-8967-4461-9B6D-9E4CAAA763D1}">
      <formula1>"出让国有建设用地使用权价值,划拨国有建设用地使用权价值"</formula1>
    </dataValidation>
    <dataValidation type="list" allowBlank="1" showInputMessage="1" showErrorMessage="1" sqref="C116:C117" xr:uid="{9BE38B71-2EC0-4B4C-98B6-C922A047075F}">
      <formula1>"土地面积,分摊土地面积,（分摊）土地面积"</formula1>
    </dataValidation>
    <dataValidation type="list" allowBlank="1" showInputMessage="1" showErrorMessage="1" sqref="B116:B117" xr:uid="{49A83EC5-002E-4714-941C-B2997A810247}">
      <formula1>"建筑面积,规划建筑面积,（规划）建筑面积"</formula1>
    </dataValidation>
    <dataValidation type="list" allowBlank="1" showInputMessage="1" showErrorMessage="1" sqref="D36" xr:uid="{C1EDF9B9-8F4E-4C1A-83D3-5480270FB1CB}">
      <formula1>"同一抵押权人同一抵押物续贷,注销后放款,正常操作"</formula1>
    </dataValidation>
    <dataValidation type="list" allowBlank="1" showInputMessage="1" showErrorMessage="1" sqref="F75" xr:uid="{F7A0E8C4-A033-4BD4-AAAD-6A7997012BD7}">
      <formula1>"买卖合同,购房发票"</formula1>
    </dataValidation>
    <dataValidation type="list" allowBlank="1" showInputMessage="1" showErrorMessage="1" sqref="H88" xr:uid="{27EF012A-0885-4958-8916-E07DD5D1906A}">
      <formula1>"仅含出让金,出让金+开发费"</formula1>
    </dataValidation>
    <dataValidation type="list" allowBlank="1" showInputMessage="1" showErrorMessage="1" sqref="H91" xr:uid="{055AF215-DC14-4871-891C-3D419C2CF769}">
      <formula1>"企业提供（在右侧录入）,——"</formula1>
    </dataValidation>
    <dataValidation type="list" allowBlank="1" showInputMessage="1" showErrorMessage="1" sqref="C33" xr:uid="{A31F9692-9BF9-4929-BA96-2B03F8A901AF}">
      <formula1>"成本比率,收益比率,自定义"</formula1>
    </dataValidation>
    <dataValidation type="list" allowBlank="1" showInputMessage="1" showErrorMessage="1" sqref="F45" xr:uid="{83B3E3C1-2A73-4678-B54E-4D1F88BE1FAF}">
      <formula1>"100%,70%,56%"</formula1>
    </dataValidation>
    <dataValidation type="list" allowBlank="1" showInputMessage="1" showErrorMessage="1" sqref="D32" xr:uid="{E05ECF94-F014-4A8F-A4BA-B45A577AE267}">
      <formula1>"总价,楼面单价"</formula1>
    </dataValidation>
    <dataValidation type="list" allowBlank="1" showInputMessage="1" showErrorMessage="1" sqref="H58" xr:uid="{34DDC270-5BCB-44D7-A82C-4B5FD5CFE528}">
      <formula1>"转让取得,自行开发建设"</formula1>
    </dataValidation>
    <dataValidation type="list" allowBlank="1" showInputMessage="1" showErrorMessage="1" sqref="H48" xr:uid="{5D0FC4CC-B9CD-4189-93FB-66FA512F3C78}">
      <formula1>"情况1,情况2,情况3,情况4"</formula1>
    </dataValidation>
    <dataValidation type="list" allowBlank="1" showInputMessage="1" showErrorMessage="1" sqref="H55:H56" xr:uid="{A0DC856A-C3E4-478D-9975-EB8FDCF34885}">
      <formula1>"个人住宅,正常"</formula1>
    </dataValidation>
    <dataValidation type="list" allowBlank="1" showInputMessage="1" showErrorMessage="1" sqref="C4:D4 D33" xr:uid="{EC04C52C-8376-4110-9CC0-CCA25DDC545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85" zoomScaleNormal="60" zoomScaleSheetLayoutView="85" workbookViewId="0">
      <selection activeCell="I5" sqref="I5:J5"/>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21</v>
      </c>
      <c r="C1" s="1119" t="s">
        <v>1659</v>
      </c>
      <c r="D1" s="1120" t="s">
        <v>3397</v>
      </c>
      <c r="E1" s="3103" t="s">
        <v>3394</v>
      </c>
      <c r="F1" s="1712" t="s">
        <v>3395</v>
      </c>
      <c r="G1" s="1122" t="s">
        <v>1764</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1459</v>
      </c>
      <c r="B2" s="1063">
        <f>IF(E1="项目模式",IF(C2="——",IF(B37="元/平方米",ROUND(C39*D3/10000,0),ROUND(F3*C39/10000,0)),IF(B37="元/平方米",ROUND(C39*D3/10000,0),ROUND(F3*C39/10000,0))-D2),IF(E1="单套模式",IF(C2="——",IF(B37="元/平方米",ROUND(C39*D3/10000,0),ROUND(F3*C39/10000,0)),IF(B37="元/平方米",ROUND(C39*D3/10000,0),ROUND(F3*C39/10000,0))-D2)))</f>
        <v>66</v>
      </c>
      <c r="C2" s="1714" t="s">
        <v>43</v>
      </c>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1461</v>
      </c>
      <c r="B3" s="529">
        <f>IF(AND(C2="——",B37="元/平方米"),C39,ROUND(B2*10000/D3,0))</f>
        <v>1467</v>
      </c>
      <c r="C3" s="337" t="s">
        <v>1765</v>
      </c>
      <c r="D3" s="336">
        <f>SUMIF('数据-汇总表'!$C19:$C33,D1,'数据-汇总表'!$E19:$E33)</f>
        <v>450</v>
      </c>
      <c r="E3" s="337" t="s">
        <v>1829</v>
      </c>
      <c r="F3" s="336">
        <f>SUMIF('数据-取费表'!A5:A15,D1,'数据-取费表'!AH5:AH15)</f>
        <v>10</v>
      </c>
      <c r="G3" s="835"/>
      <c r="H3" s="835"/>
      <c r="I3" s="835"/>
      <c r="J3" s="835"/>
      <c r="K3" s="837"/>
      <c r="L3" s="2478"/>
      <c r="M3" s="2479">
        <f>IF(C2="——",IF(B37="元/平方米",ROUND(C39*D3/10000,0),ROUND(F3*C39/10000,0)),IF(B37="元/平方米",ROUND(C39*D3/10000,0),ROUND(F3*C39/10000,0))-D2)</f>
        <v>66</v>
      </c>
      <c r="N3" s="2479"/>
      <c r="O3" s="2479"/>
      <c r="P3" s="1064"/>
      <c r="Q3" s="334"/>
      <c r="R3" s="334"/>
      <c r="S3" s="334"/>
      <c r="T3" s="334"/>
      <c r="U3" s="334"/>
      <c r="V3" s="334"/>
      <c r="W3" s="334"/>
      <c r="X3" s="334"/>
      <c r="Y3" s="334"/>
      <c r="Z3" s="334"/>
      <c r="AA3" s="334"/>
      <c r="AB3" s="666"/>
      <c r="AC3" s="653"/>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387" t="s">
        <v>1772</v>
      </c>
      <c r="Q4" s="3388"/>
      <c r="R4" s="3393" t="s">
        <v>1768</v>
      </c>
      <c r="S4" s="3394"/>
      <c r="T4" s="3393" t="s">
        <v>1769</v>
      </c>
      <c r="U4" s="3394"/>
      <c r="V4" s="3369" t="s">
        <v>1770</v>
      </c>
      <c r="W4" s="3369"/>
      <c r="X4" s="1243"/>
      <c r="Y4" s="3393" t="s">
        <v>1772</v>
      </c>
      <c r="Z4" s="3394"/>
      <c r="AA4" s="3380" t="s">
        <v>1768</v>
      </c>
      <c r="AB4" s="3381" t="s">
        <v>1769</v>
      </c>
      <c r="AC4" s="3380" t="s">
        <v>1770</v>
      </c>
    </row>
    <row r="5" spans="1:29" ht="15">
      <c r="A5" s="341"/>
      <c r="B5" s="342"/>
      <c r="C5" s="3401" t="s">
        <v>1670</v>
      </c>
      <c r="D5" s="3402"/>
      <c r="E5" s="3430" t="s">
        <v>3406</v>
      </c>
      <c r="F5" s="3409"/>
      <c r="G5" s="3427" t="s">
        <v>3424</v>
      </c>
      <c r="H5" s="3402"/>
      <c r="I5" s="3427" t="s">
        <v>3427</v>
      </c>
      <c r="J5" s="3402"/>
      <c r="K5" s="530"/>
      <c r="L5" s="2461"/>
      <c r="M5" s="2462"/>
      <c r="N5" s="2462"/>
      <c r="O5" s="2462"/>
      <c r="P5" s="3389"/>
      <c r="Q5" s="3390"/>
      <c r="R5" s="3395"/>
      <c r="S5" s="3396"/>
      <c r="T5" s="3395"/>
      <c r="U5" s="3396"/>
      <c r="V5" s="3369"/>
      <c r="W5" s="3369"/>
      <c r="X5" s="1243"/>
      <c r="Y5" s="3395"/>
      <c r="Z5" s="3396"/>
      <c r="AA5" s="3381"/>
      <c r="AB5" s="3381"/>
      <c r="AC5" s="3381"/>
    </row>
    <row r="6" spans="1:29" ht="15.75" thickBot="1">
      <c r="A6" s="343"/>
      <c r="B6" s="344"/>
      <c r="C6" s="3399"/>
      <c r="D6" s="3400"/>
      <c r="E6" s="3406"/>
      <c r="F6" s="3407"/>
      <c r="G6" s="3399"/>
      <c r="H6" s="3400"/>
      <c r="I6" s="3399"/>
      <c r="J6" s="3400"/>
      <c r="K6" s="530" t="s">
        <v>1675</v>
      </c>
      <c r="L6" s="2461"/>
      <c r="M6" s="2462"/>
      <c r="N6" s="2462"/>
      <c r="O6" s="2462"/>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f>C7</f>
        <v>45727</v>
      </c>
      <c r="F7" s="350">
        <f>SUMIF(48:48,YEAR(E7)&amp;"-"&amp;MONTH(E7),49:49)</f>
        <v>100</v>
      </c>
      <c r="G7" s="349">
        <f>E7</f>
        <v>45727</v>
      </c>
      <c r="H7" s="348">
        <f>SUMIF(48:48,YEAR(G7)&amp;"-"&amp;MONTH(G7),49:49)</f>
        <v>100</v>
      </c>
      <c r="I7" s="349">
        <f>G7</f>
        <v>45727</v>
      </c>
      <c r="J7" s="348">
        <f>SUMIF(48:48,YEAR(I7)&amp;"-"&amp;MONTH(I7),49:49)</f>
        <v>100</v>
      </c>
      <c r="K7" s="38"/>
      <c r="L7" s="2463"/>
      <c r="M7" s="2416"/>
      <c r="N7" s="2416"/>
      <c r="O7" s="2416"/>
      <c r="P7" s="3403" t="s">
        <v>1677</v>
      </c>
      <c r="Q7" s="3405"/>
      <c r="R7" s="654" t="s">
        <v>14</v>
      </c>
      <c r="S7" s="655">
        <f t="shared" ref="S7:S14" si="0">F7</f>
        <v>100</v>
      </c>
      <c r="T7" s="654" t="s">
        <v>14</v>
      </c>
      <c r="U7" s="655">
        <f t="shared" ref="U7:U14" si="1">H7</f>
        <v>100</v>
      </c>
      <c r="V7" s="654" t="s">
        <v>14</v>
      </c>
      <c r="W7" s="655">
        <f t="shared" ref="W7:W14" si="2">J7</f>
        <v>100</v>
      </c>
      <c r="X7" s="656"/>
      <c r="Y7" s="3403" t="s">
        <v>1677</v>
      </c>
      <c r="Z7" s="3404"/>
      <c r="AA7" s="50">
        <f>D7/F7</f>
        <v>1</v>
      </c>
      <c r="AB7" s="50">
        <f>D7/H7</f>
        <v>1</v>
      </c>
      <c r="AC7" s="50">
        <f>D7/J7</f>
        <v>1</v>
      </c>
    </row>
    <row r="8" spans="1:29" s="101" customFormat="1" ht="15.75" thickBot="1">
      <c r="A8" s="345" t="s">
        <v>1678</v>
      </c>
      <c r="B8" s="346"/>
      <c r="C8" s="351" t="s">
        <v>3402</v>
      </c>
      <c r="D8" s="348">
        <v>100</v>
      </c>
      <c r="E8" s="351" t="s">
        <v>3402</v>
      </c>
      <c r="F8" s="350">
        <f>SUMIF(51:51,E8,52:52)-SUMIF(51:51,C8,52:52)+100</f>
        <v>100</v>
      </c>
      <c r="G8" s="351" t="s">
        <v>3402</v>
      </c>
      <c r="H8" s="348">
        <f>SUMIF(51:51,G8,52:52)-SUMIF(51:51,C8,52:52)+100</f>
        <v>100</v>
      </c>
      <c r="I8" s="351" t="s">
        <v>3402</v>
      </c>
      <c r="J8" s="348">
        <f>SUMIF(51:51,I8,52:52)-SUMIF(51:51,C8,52:52)+100</f>
        <v>100</v>
      </c>
      <c r="K8" s="38"/>
      <c r="L8" s="2463"/>
      <c r="M8" s="2416"/>
      <c r="N8" s="2416"/>
      <c r="O8" s="2416"/>
      <c r="P8" s="3403" t="s">
        <v>1680</v>
      </c>
      <c r="Q8" s="3404"/>
      <c r="R8" s="654" t="s">
        <v>14</v>
      </c>
      <c r="S8" s="655">
        <f t="shared" si="0"/>
        <v>100</v>
      </c>
      <c r="T8" s="654" t="s">
        <v>14</v>
      </c>
      <c r="U8" s="655">
        <f t="shared" si="1"/>
        <v>100</v>
      </c>
      <c r="V8" s="654" t="s">
        <v>14</v>
      </c>
      <c r="W8" s="655">
        <f t="shared" si="2"/>
        <v>100</v>
      </c>
      <c r="X8" s="656"/>
      <c r="Y8" s="3403" t="s">
        <v>1680</v>
      </c>
      <c r="Z8" s="3404"/>
      <c r="AA8" s="50">
        <f t="shared" ref="AA8:AA36" si="3">D8/F8</f>
        <v>1</v>
      </c>
      <c r="AB8" s="50">
        <f t="shared" ref="AB8:AB36" si="4">D8/H8</f>
        <v>1</v>
      </c>
      <c r="AC8" s="50">
        <f t="shared" ref="AC8:AC36" si="5">D8/J8</f>
        <v>1</v>
      </c>
    </row>
    <row r="9" spans="1:29" s="101" customFormat="1">
      <c r="A9" s="57" t="s">
        <v>1681</v>
      </c>
      <c r="B9" s="557" t="s">
        <v>1682</v>
      </c>
      <c r="C9" s="3127" t="s">
        <v>3404</v>
      </c>
      <c r="D9" s="59">
        <v>100</v>
      </c>
      <c r="E9" s="355" t="s">
        <v>3403</v>
      </c>
      <c r="F9" s="59">
        <f>SUMIF(53:53,E9,54:54)-SUMIF(53:53,C9,54:54)+100</f>
        <v>100</v>
      </c>
      <c r="G9" s="355" t="s">
        <v>3403</v>
      </c>
      <c r="H9" s="59">
        <f>SUMIF(53:53,G9,54:54)-SUMIF(53:53,C9,54:54)+100</f>
        <v>100</v>
      </c>
      <c r="I9" s="355" t="s">
        <v>3403</v>
      </c>
      <c r="J9" s="59">
        <f>SUMIF(53:53,I9,54:54)-SUMIF(53:53,C9,54:54)+100</f>
        <v>100</v>
      </c>
      <c r="K9" s="38"/>
      <c r="L9" s="2463"/>
      <c r="M9" s="2416"/>
      <c r="N9" s="2416"/>
      <c r="O9" s="2416"/>
      <c r="P9" s="3368" t="s">
        <v>1683</v>
      </c>
      <c r="Q9" s="523" t="str">
        <f t="shared" ref="Q9:Q14" si="6">B9</f>
        <v>用途</v>
      </c>
      <c r="R9" s="654" t="s">
        <v>14</v>
      </c>
      <c r="S9" s="655">
        <f t="shared" si="0"/>
        <v>100</v>
      </c>
      <c r="T9" s="654" t="s">
        <v>14</v>
      </c>
      <c r="U9" s="655">
        <f t="shared" si="1"/>
        <v>100</v>
      </c>
      <c r="V9" s="654" t="s">
        <v>14</v>
      </c>
      <c r="W9" s="655">
        <f t="shared" si="2"/>
        <v>100</v>
      </c>
      <c r="X9" s="656"/>
      <c r="Y9" s="3243" t="s">
        <v>1684</v>
      </c>
      <c r="Z9" s="50" t="str">
        <f t="shared" ref="Z9:Z14" si="7">Q9</f>
        <v>用途</v>
      </c>
      <c r="AA9" s="50">
        <f t="shared" si="3"/>
        <v>1</v>
      </c>
      <c r="AB9" s="50">
        <f t="shared" si="4"/>
        <v>1</v>
      </c>
      <c r="AC9" s="50">
        <f t="shared" si="5"/>
        <v>1</v>
      </c>
    </row>
    <row r="10" spans="1:29" s="359" customFormat="1" ht="27.75" thickBot="1">
      <c r="A10" s="558"/>
      <c r="B10" s="559" t="s">
        <v>1685</v>
      </c>
      <c r="C10" s="3104" t="s">
        <v>3405</v>
      </c>
      <c r="D10" s="113">
        <v>100</v>
      </c>
      <c r="E10" s="3104" t="s">
        <v>3405</v>
      </c>
      <c r="F10" s="113">
        <f>SUMIF(55:55,E10,56:56)-SUMIF(55:55,C10,56:56)+100</f>
        <v>100</v>
      </c>
      <c r="G10" s="3105" t="s">
        <v>3425</v>
      </c>
      <c r="H10" s="113">
        <f>SUMIF(55:55,G10,56:56)-SUMIF(55:55,C10,56:56)+100</f>
        <v>98</v>
      </c>
      <c r="I10" s="3105" t="s">
        <v>3425</v>
      </c>
      <c r="J10" s="113">
        <f>SUMIF(55:55,I10,56:56)-SUMIF(55:55,C10,56:56)+100</f>
        <v>98</v>
      </c>
      <c r="K10" s="38"/>
      <c r="L10" s="2464"/>
      <c r="M10" s="2465"/>
      <c r="N10" s="2465"/>
      <c r="O10" s="2465"/>
      <c r="P10" s="3368"/>
      <c r="Q10" s="523" t="str">
        <f t="shared" si="6"/>
        <v>土地使用年限（年）</v>
      </c>
      <c r="R10" s="654" t="s">
        <v>14</v>
      </c>
      <c r="S10" s="655">
        <f t="shared" si="0"/>
        <v>100</v>
      </c>
      <c r="T10" s="654" t="s">
        <v>14</v>
      </c>
      <c r="U10" s="655">
        <f t="shared" si="1"/>
        <v>98</v>
      </c>
      <c r="V10" s="654" t="s">
        <v>14</v>
      </c>
      <c r="W10" s="655">
        <f t="shared" si="2"/>
        <v>98</v>
      </c>
      <c r="X10" s="656"/>
      <c r="Y10" s="3243"/>
      <c r="Z10" s="50" t="str">
        <f t="shared" si="7"/>
        <v>土地使用年限（年）</v>
      </c>
      <c r="AA10" s="50">
        <f t="shared" si="3"/>
        <v>1</v>
      </c>
      <c r="AB10" s="50">
        <f t="shared" si="4"/>
        <v>1.0204081632653061</v>
      </c>
      <c r="AC10" s="50">
        <f t="shared" si="5"/>
        <v>1.0204081632653061</v>
      </c>
    </row>
    <row r="11" spans="1:29" ht="15" hidden="1">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68"/>
      <c r="Q11" s="523">
        <f t="shared" si="6"/>
        <v>111</v>
      </c>
      <c r="R11" s="654" t="s">
        <v>14</v>
      </c>
      <c r="S11" s="655">
        <f t="shared" si="0"/>
        <v>100</v>
      </c>
      <c r="T11" s="654" t="s">
        <v>14</v>
      </c>
      <c r="U11" s="655">
        <f t="shared" si="1"/>
        <v>100</v>
      </c>
      <c r="V11" s="654" t="s">
        <v>14</v>
      </c>
      <c r="W11" s="655">
        <f t="shared" si="2"/>
        <v>100</v>
      </c>
      <c r="X11" s="656"/>
      <c r="Y11" s="3243"/>
      <c r="Z11" s="50">
        <f t="shared" si="7"/>
        <v>111</v>
      </c>
      <c r="AA11" s="50">
        <f t="shared" si="3"/>
        <v>1</v>
      </c>
      <c r="AB11" s="50">
        <f t="shared" si="4"/>
        <v>1</v>
      </c>
      <c r="AC11" s="50">
        <f t="shared" si="5"/>
        <v>1</v>
      </c>
    </row>
    <row r="12" spans="1:29" s="101" customFormat="1" ht="15" hidden="1">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68"/>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50">
        <f>D12/J12</f>
        <v>1</v>
      </c>
    </row>
    <row r="13" spans="1:29" ht="15.75" hidden="1"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68"/>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50">
        <f t="shared" si="5"/>
        <v>1</v>
      </c>
    </row>
    <row r="14" spans="1:29" ht="15">
      <c r="A14" s="338" t="s">
        <v>1687</v>
      </c>
      <c r="B14" s="547" t="s">
        <v>1830</v>
      </c>
      <c r="C14" s="1796">
        <f>IF(B1="工业",估价对象房地状况!G4,估价对象房地状况!C6)</f>
        <v>0</v>
      </c>
      <c r="D14" s="373">
        <v>100</v>
      </c>
      <c r="E14" s="374"/>
      <c r="F14" s="375">
        <f>SUMIF(63:63,E15,64:64)-SUMIF(63:63,C15,64:64)+100</f>
        <v>103</v>
      </c>
      <c r="G14" s="376"/>
      <c r="H14" s="373">
        <f>SUMIF(63:63,G15,64:64)-SUMIF(63:63,C15,64:64)+100</f>
        <v>103</v>
      </c>
      <c r="I14" s="374"/>
      <c r="J14" s="373">
        <f>SUMIF(63:63,I15,64:64)-SUMIF(63:63,C15,64:64)+100</f>
        <v>103</v>
      </c>
      <c r="K14" s="533">
        <v>3</v>
      </c>
      <c r="L14" s="2467"/>
      <c r="M14" s="2462"/>
      <c r="N14" s="2462"/>
      <c r="O14" s="2462"/>
      <c r="P14" s="3370" t="s">
        <v>1688</v>
      </c>
      <c r="Q14" s="1241" t="str">
        <f t="shared" si="6"/>
        <v>交通便捷度</v>
      </c>
      <c r="R14" s="657" t="s">
        <v>14</v>
      </c>
      <c r="S14" s="658">
        <f t="shared" si="0"/>
        <v>103</v>
      </c>
      <c r="T14" s="657" t="s">
        <v>14</v>
      </c>
      <c r="U14" s="658">
        <f t="shared" si="1"/>
        <v>103</v>
      </c>
      <c r="V14" s="657" t="s">
        <v>14</v>
      </c>
      <c r="W14" s="658">
        <f t="shared" si="2"/>
        <v>103</v>
      </c>
      <c r="X14" s="1243"/>
      <c r="Y14" s="3370" t="s">
        <v>1688</v>
      </c>
      <c r="Z14" s="1242" t="str">
        <f t="shared" si="7"/>
        <v>交通便捷度</v>
      </c>
      <c r="AA14" s="1242">
        <f t="shared" si="3"/>
        <v>0.970873786407767</v>
      </c>
      <c r="AB14" s="1242">
        <f t="shared" si="4"/>
        <v>0.970873786407767</v>
      </c>
      <c r="AC14" s="1242">
        <f t="shared" si="5"/>
        <v>0.970873786407767</v>
      </c>
    </row>
    <row r="15" spans="1:29" ht="15">
      <c r="A15" s="341"/>
      <c r="B15" s="564"/>
      <c r="C15" s="379" t="s">
        <v>3428</v>
      </c>
      <c r="D15" s="380"/>
      <c r="E15" s="379" t="s">
        <v>3429</v>
      </c>
      <c r="F15" s="381"/>
      <c r="G15" s="379" t="s">
        <v>3429</v>
      </c>
      <c r="H15" s="382"/>
      <c r="I15" s="379" t="s">
        <v>3429</v>
      </c>
      <c r="J15" s="380"/>
      <c r="K15" s="534"/>
      <c r="L15" s="2467"/>
      <c r="M15" s="2462"/>
      <c r="N15" s="2462"/>
      <c r="O15" s="2462"/>
      <c r="P15" s="3371"/>
      <c r="Q15" s="1241"/>
      <c r="R15" s="657"/>
      <c r="S15" s="658"/>
      <c r="T15" s="657"/>
      <c r="U15" s="658"/>
      <c r="V15" s="657"/>
      <c r="W15" s="658"/>
      <c r="X15" s="1243"/>
      <c r="Y15" s="3371"/>
      <c r="Z15" s="1242"/>
      <c r="AA15" s="1242">
        <v>1</v>
      </c>
      <c r="AB15" s="1242">
        <v>1</v>
      </c>
      <c r="AC15" s="1242">
        <v>1</v>
      </c>
    </row>
    <row r="16" spans="1:29" ht="15">
      <c r="A16" s="341"/>
      <c r="B16" s="549" t="s">
        <v>1809</v>
      </c>
      <c r="C16" s="1731">
        <f>IF(B1="工业",估价对象房地状况!G5,估价对象房地状况!C7)</f>
        <v>0</v>
      </c>
      <c r="D16" s="387">
        <v>100</v>
      </c>
      <c r="E16" s="389"/>
      <c r="F16" s="390">
        <f>SUMIF(65:65,E17,66:66)-SUMIF(65:65,C17,66:66)+100</f>
        <v>97</v>
      </c>
      <c r="G16" s="391"/>
      <c r="H16" s="387">
        <f>SUMIF(65:65,G17,66:66)-SUMIF(65:65,C17,66:66)+100</f>
        <v>100</v>
      </c>
      <c r="I16" s="389"/>
      <c r="J16" s="387">
        <f>SUMIF(65:65,I17,66:66)-SUMIF(65:65,C17,66:66)+100</f>
        <v>100</v>
      </c>
      <c r="K16" s="533">
        <v>3</v>
      </c>
      <c r="L16" s="2467"/>
      <c r="M16" s="2462"/>
      <c r="N16" s="2462"/>
      <c r="O16" s="2462"/>
      <c r="P16" s="3371"/>
      <c r="Q16" s="1241" t="str">
        <f>B16</f>
        <v>公共配套设施</v>
      </c>
      <c r="R16" s="657" t="s">
        <v>14</v>
      </c>
      <c r="S16" s="658">
        <f>F16</f>
        <v>97</v>
      </c>
      <c r="T16" s="657" t="s">
        <v>14</v>
      </c>
      <c r="U16" s="658">
        <f>H16</f>
        <v>100</v>
      </c>
      <c r="V16" s="657" t="s">
        <v>14</v>
      </c>
      <c r="W16" s="658">
        <f>J16</f>
        <v>100</v>
      </c>
      <c r="X16" s="1243"/>
      <c r="Y16" s="3371"/>
      <c r="Z16" s="1242" t="str">
        <f>Q16</f>
        <v>公共配套设施</v>
      </c>
      <c r="AA16" s="1242">
        <f t="shared" si="3"/>
        <v>1.0309278350515463</v>
      </c>
      <c r="AB16" s="1242">
        <f t="shared" si="4"/>
        <v>1</v>
      </c>
      <c r="AC16" s="1242">
        <f t="shared" si="5"/>
        <v>1</v>
      </c>
    </row>
    <row r="17" spans="1:29" ht="15">
      <c r="A17" s="341"/>
      <c r="B17" s="394"/>
      <c r="C17" s="1732" t="s">
        <v>3429</v>
      </c>
      <c r="D17" s="380"/>
      <c r="E17" s="379" t="s">
        <v>3428</v>
      </c>
      <c r="F17" s="381"/>
      <c r="G17" s="379" t="s">
        <v>3429</v>
      </c>
      <c r="H17" s="380"/>
      <c r="I17" s="379" t="s">
        <v>3429</v>
      </c>
      <c r="J17" s="380"/>
      <c r="K17" s="534"/>
      <c r="L17" s="2467"/>
      <c r="M17" s="2462"/>
      <c r="N17" s="2462"/>
      <c r="O17" s="2462"/>
      <c r="P17" s="3371"/>
      <c r="Q17" s="1241"/>
      <c r="R17" s="657"/>
      <c r="S17" s="658"/>
      <c r="T17" s="657"/>
      <c r="U17" s="658"/>
      <c r="V17" s="657"/>
      <c r="W17" s="658"/>
      <c r="X17" s="1243"/>
      <c r="Y17" s="3371"/>
      <c r="Z17" s="1242"/>
      <c r="AA17" s="1242">
        <v>1</v>
      </c>
      <c r="AB17" s="1242">
        <v>1</v>
      </c>
      <c r="AC17" s="1242">
        <v>1</v>
      </c>
    </row>
    <row r="18" spans="1:29" ht="15">
      <c r="A18" s="341"/>
      <c r="B18" s="550" t="s">
        <v>1810</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v>2</v>
      </c>
      <c r="L18" s="2467"/>
      <c r="M18" s="2462"/>
      <c r="N18" s="2462"/>
      <c r="O18" s="2462"/>
      <c r="P18" s="3371"/>
      <c r="Q18" s="1241" t="str">
        <f>B18</f>
        <v>基础设施水平</v>
      </c>
      <c r="R18" s="657" t="s">
        <v>14</v>
      </c>
      <c r="S18" s="658">
        <f>F18</f>
        <v>100</v>
      </c>
      <c r="T18" s="657" t="s">
        <v>14</v>
      </c>
      <c r="U18" s="658">
        <f>H18</f>
        <v>100</v>
      </c>
      <c r="V18" s="657" t="s">
        <v>14</v>
      </c>
      <c r="W18" s="658">
        <f>J18</f>
        <v>100</v>
      </c>
      <c r="X18" s="1243"/>
      <c r="Y18" s="3371"/>
      <c r="Z18" s="1242" t="str">
        <f>Q18</f>
        <v>基础设施水平</v>
      </c>
      <c r="AA18" s="1242">
        <f t="shared" ref="AA18" si="8">D18/F18</f>
        <v>1</v>
      </c>
      <c r="AB18" s="1242">
        <f t="shared" ref="AB18" si="9">D18/H18</f>
        <v>1</v>
      </c>
      <c r="AC18" s="1242">
        <f t="shared" ref="AC18" si="10">D18/J18</f>
        <v>1</v>
      </c>
    </row>
    <row r="19" spans="1:29" ht="15">
      <c r="A19" s="341"/>
      <c r="B19" s="550"/>
      <c r="C19" s="1732" t="s">
        <v>3430</v>
      </c>
      <c r="D19" s="382"/>
      <c r="E19" s="1732" t="s">
        <v>3430</v>
      </c>
      <c r="F19" s="385"/>
      <c r="G19" s="1732" t="s">
        <v>3430</v>
      </c>
      <c r="H19" s="380"/>
      <c r="I19" s="1732" t="s">
        <v>3430</v>
      </c>
      <c r="J19" s="380"/>
      <c r="K19" s="1042"/>
      <c r="L19" s="2467"/>
      <c r="M19" s="2462"/>
      <c r="N19" s="2462"/>
      <c r="O19" s="2462"/>
      <c r="P19" s="3371"/>
      <c r="Q19" s="1241"/>
      <c r="R19" s="657"/>
      <c r="S19" s="658"/>
      <c r="T19" s="657"/>
      <c r="U19" s="658"/>
      <c r="V19" s="657"/>
      <c r="W19" s="658"/>
      <c r="X19" s="1243"/>
      <c r="Y19" s="3371"/>
      <c r="Z19" s="1242"/>
      <c r="AA19" s="1242">
        <v>1</v>
      </c>
      <c r="AB19" s="1242">
        <v>1</v>
      </c>
      <c r="AC19" s="1242">
        <v>1</v>
      </c>
    </row>
    <row r="20" spans="1:29" ht="15">
      <c r="A20" s="341"/>
      <c r="B20" s="549" t="s">
        <v>1831</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v>3</v>
      </c>
      <c r="L20" s="2467"/>
      <c r="M20" s="2462"/>
      <c r="N20" s="2462"/>
      <c r="O20" s="2462"/>
      <c r="P20" s="3371"/>
      <c r="Q20" s="1241" t="str">
        <f>B20</f>
        <v>自然及人文环境</v>
      </c>
      <c r="R20" s="657" t="s">
        <v>14</v>
      </c>
      <c r="S20" s="658">
        <f>F20</f>
        <v>100</v>
      </c>
      <c r="T20" s="657" t="s">
        <v>14</v>
      </c>
      <c r="U20" s="658">
        <f>H20</f>
        <v>100</v>
      </c>
      <c r="V20" s="657" t="s">
        <v>14</v>
      </c>
      <c r="W20" s="658">
        <f>J20</f>
        <v>100</v>
      </c>
      <c r="X20" s="1243"/>
      <c r="Y20" s="3371"/>
      <c r="Z20" s="1242" t="str">
        <f>Q20</f>
        <v>自然及人文环境</v>
      </c>
      <c r="AA20" s="1242">
        <f t="shared" si="3"/>
        <v>1</v>
      </c>
      <c r="AB20" s="1242">
        <f t="shared" si="4"/>
        <v>1</v>
      </c>
      <c r="AC20" s="1242">
        <f t="shared" si="5"/>
        <v>1</v>
      </c>
    </row>
    <row r="21" spans="1:29" ht="15.75" thickBot="1">
      <c r="A21" s="341"/>
      <c r="B21" s="394"/>
      <c r="C21" s="379" t="s">
        <v>3428</v>
      </c>
      <c r="D21" s="380"/>
      <c r="E21" s="379" t="s">
        <v>3428</v>
      </c>
      <c r="F21" s="381"/>
      <c r="G21" s="379" t="s">
        <v>3428</v>
      </c>
      <c r="H21" s="380"/>
      <c r="I21" s="379" t="s">
        <v>3428</v>
      </c>
      <c r="J21" s="380"/>
      <c r="K21" s="534"/>
      <c r="L21" s="2467"/>
      <c r="M21" s="2462"/>
      <c r="N21" s="2462"/>
      <c r="O21" s="2462"/>
      <c r="P21" s="3371"/>
      <c r="Q21" s="1241"/>
      <c r="R21" s="657"/>
      <c r="S21" s="658"/>
      <c r="T21" s="657"/>
      <c r="U21" s="658"/>
      <c r="V21" s="657"/>
      <c r="W21" s="658"/>
      <c r="X21" s="1243"/>
      <c r="Y21" s="3371"/>
      <c r="Z21" s="1242"/>
      <c r="AA21" s="1242">
        <v>1</v>
      </c>
      <c r="AB21" s="1242">
        <v>1</v>
      </c>
      <c r="AC21" s="1242">
        <v>1</v>
      </c>
    </row>
    <row r="22" spans="1:29" ht="15" hidden="1">
      <c r="A22" s="341"/>
      <c r="B22" s="549" t="s">
        <v>1832</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71"/>
      <c r="Q22" s="1241" t="str">
        <f>B22</f>
        <v>楼层</v>
      </c>
      <c r="R22" s="657" t="s">
        <v>14</v>
      </c>
      <c r="S22" s="658">
        <f>F22</f>
        <v>100</v>
      </c>
      <c r="T22" s="657" t="s">
        <v>14</v>
      </c>
      <c r="U22" s="658">
        <f>H22</f>
        <v>100</v>
      </c>
      <c r="V22" s="657" t="s">
        <v>14</v>
      </c>
      <c r="W22" s="658">
        <f>J22</f>
        <v>100</v>
      </c>
      <c r="X22" s="1243"/>
      <c r="Y22" s="3371"/>
      <c r="Z22" s="1242" t="str">
        <f>Q22</f>
        <v>楼层</v>
      </c>
      <c r="AA22" s="1242">
        <f t="shared" si="3"/>
        <v>1</v>
      </c>
      <c r="AB22" s="1242">
        <f t="shared" si="4"/>
        <v>1</v>
      </c>
      <c r="AC22" s="1242">
        <f t="shared" si="5"/>
        <v>1</v>
      </c>
    </row>
    <row r="23" spans="1:29" ht="15" hidden="1">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71"/>
      <c r="Q23" s="1241">
        <f>B23</f>
        <v>111</v>
      </c>
      <c r="R23" s="657" t="s">
        <v>14</v>
      </c>
      <c r="S23" s="658">
        <f>F23</f>
        <v>100</v>
      </c>
      <c r="T23" s="657" t="s">
        <v>14</v>
      </c>
      <c r="U23" s="658">
        <f>H23</f>
        <v>100</v>
      </c>
      <c r="V23" s="657" t="s">
        <v>14</v>
      </c>
      <c r="W23" s="658">
        <f>J23</f>
        <v>100</v>
      </c>
      <c r="X23" s="1243"/>
      <c r="Y23" s="3371"/>
      <c r="Z23" s="1242">
        <f>Q23</f>
        <v>111</v>
      </c>
      <c r="AA23" s="1242">
        <f t="shared" si="3"/>
        <v>1</v>
      </c>
      <c r="AB23" s="1242">
        <f t="shared" si="4"/>
        <v>1</v>
      </c>
      <c r="AC23" s="1242">
        <f t="shared" si="5"/>
        <v>1</v>
      </c>
    </row>
    <row r="24" spans="1:29" ht="15" hidden="1">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71"/>
      <c r="Q24" s="1241">
        <f t="shared" ref="Q24:Q36" si="11">B24</f>
        <v>111</v>
      </c>
      <c r="R24" s="657" t="s">
        <v>14</v>
      </c>
      <c r="S24" s="658">
        <f>F24</f>
        <v>100</v>
      </c>
      <c r="T24" s="657" t="s">
        <v>14</v>
      </c>
      <c r="U24" s="658">
        <f>H24</f>
        <v>100</v>
      </c>
      <c r="V24" s="657" t="s">
        <v>14</v>
      </c>
      <c r="W24" s="658">
        <f>J24</f>
        <v>100</v>
      </c>
      <c r="X24" s="1243"/>
      <c r="Y24" s="3371"/>
      <c r="Z24" s="1242">
        <f>Q24</f>
        <v>111</v>
      </c>
      <c r="AA24" s="1242">
        <f t="shared" si="3"/>
        <v>1</v>
      </c>
      <c r="AB24" s="1242">
        <f t="shared" si="4"/>
        <v>1</v>
      </c>
      <c r="AC24" s="1242">
        <f t="shared" si="5"/>
        <v>1</v>
      </c>
    </row>
    <row r="25" spans="1:29" s="101" customFormat="1" ht="15.75" hidden="1"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71"/>
      <c r="Q25" s="523">
        <f t="shared" si="11"/>
        <v>111</v>
      </c>
      <c r="R25" s="654" t="s">
        <v>14</v>
      </c>
      <c r="S25" s="655">
        <f>F25</f>
        <v>100</v>
      </c>
      <c r="T25" s="654" t="s">
        <v>14</v>
      </c>
      <c r="U25" s="655">
        <f>H25</f>
        <v>100</v>
      </c>
      <c r="V25" s="654" t="s">
        <v>14</v>
      </c>
      <c r="W25" s="655">
        <f>J25</f>
        <v>100</v>
      </c>
      <c r="X25" s="656"/>
      <c r="Y25" s="3371"/>
      <c r="Z25" s="50">
        <f>Q25</f>
        <v>111</v>
      </c>
      <c r="AA25" s="1242">
        <f>D25/F25</f>
        <v>1</v>
      </c>
      <c r="AB25" s="1242">
        <f>D25/H25</f>
        <v>1</v>
      </c>
      <c r="AC25" s="1242">
        <f>D25/J25</f>
        <v>1</v>
      </c>
    </row>
    <row r="26" spans="1:29" ht="28.5">
      <c r="A26" s="567" t="s">
        <v>1691</v>
      </c>
      <c r="B26" s="59" t="s">
        <v>1833</v>
      </c>
      <c r="C26" s="1797" t="str">
        <f>B1</f>
        <v>办公</v>
      </c>
      <c r="D26" s="380">
        <v>100</v>
      </c>
      <c r="E26" s="379" t="s">
        <v>21</v>
      </c>
      <c r="F26" s="381">
        <f>SUMIF(79:79,E26,80:80)-SUMIF(79:79,C26,80:80)+100</f>
        <v>100</v>
      </c>
      <c r="G26" s="379" t="s">
        <v>21</v>
      </c>
      <c r="H26" s="380">
        <f>SUMIF(79:79,G26,80:80)-SUMIF(79:79,C26,80:80)+100</f>
        <v>100</v>
      </c>
      <c r="I26" s="379" t="s">
        <v>21</v>
      </c>
      <c r="J26" s="380">
        <f>SUMIF(79:79,I26,80:80)-SUMIF(79:79,C26,80:80)+100</f>
        <v>100</v>
      </c>
      <c r="K26" s="531">
        <v>5</v>
      </c>
      <c r="L26" s="2467"/>
      <c r="M26" s="2462"/>
      <c r="N26" s="2462"/>
      <c r="O26" s="2462"/>
      <c r="P26" s="3432" t="s">
        <v>1693</v>
      </c>
      <c r="Q26" s="1241" t="str">
        <f t="shared" si="11"/>
        <v>配套类型</v>
      </c>
      <c r="R26" s="657" t="s">
        <v>14</v>
      </c>
      <c r="S26" s="658">
        <f t="shared" ref="S26:S36" si="12">F26</f>
        <v>100</v>
      </c>
      <c r="T26" s="657" t="s">
        <v>14</v>
      </c>
      <c r="U26" s="658">
        <f t="shared" ref="U26:U36" si="13">H26</f>
        <v>100</v>
      </c>
      <c r="V26" s="657" t="s">
        <v>14</v>
      </c>
      <c r="W26" s="658">
        <f t="shared" ref="W26:W36" si="14">J26</f>
        <v>100</v>
      </c>
      <c r="X26" s="1243"/>
      <c r="Y26" s="3375" t="s">
        <v>1693</v>
      </c>
      <c r="Z26" s="1242" t="str">
        <f t="shared" ref="Z26:Z36" si="15">Q26</f>
        <v>配套类型</v>
      </c>
      <c r="AA26" s="1242">
        <f t="shared" si="3"/>
        <v>1</v>
      </c>
      <c r="AB26" s="1242">
        <f t="shared" si="4"/>
        <v>1</v>
      </c>
      <c r="AC26" s="1242">
        <f t="shared" si="5"/>
        <v>1</v>
      </c>
    </row>
    <row r="27" spans="1:29" s="401" customFormat="1" ht="15">
      <c r="A27" s="568"/>
      <c r="B27" s="113" t="s">
        <v>1834</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75"/>
      <c r="Q27" s="524" t="str">
        <f t="shared" si="11"/>
        <v>项目停车位配比</v>
      </c>
      <c r="R27" s="659" t="s">
        <v>14</v>
      </c>
      <c r="S27" s="660">
        <f t="shared" si="12"/>
        <v>100</v>
      </c>
      <c r="T27" s="659" t="s">
        <v>14</v>
      </c>
      <c r="U27" s="660">
        <f t="shared" si="13"/>
        <v>100</v>
      </c>
      <c r="V27" s="659" t="s">
        <v>14</v>
      </c>
      <c r="W27" s="660">
        <f t="shared" si="14"/>
        <v>100</v>
      </c>
      <c r="X27" s="661"/>
      <c r="Y27" s="3375"/>
      <c r="Z27" s="662" t="str">
        <f t="shared" si="15"/>
        <v>项目停车位配比</v>
      </c>
      <c r="AA27" s="1242">
        <f t="shared" si="3"/>
        <v>1</v>
      </c>
      <c r="AB27" s="1242">
        <f t="shared" si="4"/>
        <v>1</v>
      </c>
      <c r="AC27" s="1242">
        <f t="shared" si="5"/>
        <v>1</v>
      </c>
    </row>
    <row r="28" spans="1:29" ht="15">
      <c r="A28" s="570"/>
      <c r="B28" s="113" t="s">
        <v>1835</v>
      </c>
      <c r="C28" s="392"/>
      <c r="D28" s="367">
        <v>100</v>
      </c>
      <c r="E28" s="392"/>
      <c r="F28" s="393">
        <f>SUMIF(83:83,E28,84:84)-SUMIF(83:83,C28,84:84)+100</f>
        <v>100</v>
      </c>
      <c r="G28" s="392"/>
      <c r="H28" s="367">
        <f>SUMIF(83:83,G28,84:84)-SUMIF(83:83,C28,84:84)+100</f>
        <v>100</v>
      </c>
      <c r="I28" s="392"/>
      <c r="J28" s="367">
        <f>SUMIF(83:83,I28,84:84)-SUMIF(83:83,C28,84:84)+100</f>
        <v>100</v>
      </c>
      <c r="K28" s="531">
        <v>2</v>
      </c>
      <c r="L28" s="2467"/>
      <c r="M28" s="2462"/>
      <c r="N28" s="2462"/>
      <c r="O28" s="2462"/>
      <c r="P28" s="3375"/>
      <c r="Q28" s="1241" t="str">
        <f t="shared" si="11"/>
        <v>公共部分装修</v>
      </c>
      <c r="R28" s="657" t="s">
        <v>14</v>
      </c>
      <c r="S28" s="658">
        <f t="shared" si="12"/>
        <v>100</v>
      </c>
      <c r="T28" s="657" t="s">
        <v>14</v>
      </c>
      <c r="U28" s="658">
        <f t="shared" si="13"/>
        <v>100</v>
      </c>
      <c r="V28" s="657" t="s">
        <v>14</v>
      </c>
      <c r="W28" s="658">
        <f t="shared" si="14"/>
        <v>100</v>
      </c>
      <c r="X28" s="1243"/>
      <c r="Y28" s="3375"/>
      <c r="Z28" s="1242" t="str">
        <f t="shared" si="15"/>
        <v>公共部分装修</v>
      </c>
      <c r="AA28" s="1242">
        <f t="shared" si="3"/>
        <v>1</v>
      </c>
      <c r="AB28" s="1242">
        <f t="shared" si="4"/>
        <v>1</v>
      </c>
      <c r="AC28" s="1242">
        <f t="shared" si="5"/>
        <v>1</v>
      </c>
    </row>
    <row r="29" spans="1:29" ht="15">
      <c r="A29" s="570"/>
      <c r="B29" s="113" t="s">
        <v>1836</v>
      </c>
      <c r="C29" s="404">
        <f>'数据-取费表'!N6</f>
        <v>0.97</v>
      </c>
      <c r="D29" s="367">
        <v>100</v>
      </c>
      <c r="E29" s="404">
        <f>ROUND(1-(2025-2017)/60,2)</f>
        <v>0.87</v>
      </c>
      <c r="F29" s="393">
        <f>LOOKUP(E29,86:86,87:87)-LOOKUP(C29,86:86,87:87)+100</f>
        <v>99</v>
      </c>
      <c r="G29" s="404">
        <f>ROUND(1-(2025-2017)/60,2)</f>
        <v>0.87</v>
      </c>
      <c r="H29" s="393">
        <f>LOOKUP(G29,86:86,87:87)-LOOKUP(C29,86:86,87:87)+100</f>
        <v>99</v>
      </c>
      <c r="I29" s="404">
        <f>ROUND(1-(2025-2011)/60,2)</f>
        <v>0.77</v>
      </c>
      <c r="J29" s="367">
        <f>LOOKUP(I29,86:86,87:87)-LOOKUP(C29,86:86,87:87)+100</f>
        <v>98</v>
      </c>
      <c r="K29" s="531">
        <v>1</v>
      </c>
      <c r="L29" s="2467"/>
      <c r="M29" s="2462"/>
      <c r="N29" s="2462"/>
      <c r="O29" s="2462"/>
      <c r="P29" s="3375"/>
      <c r="Q29" s="1241" t="str">
        <f t="shared" si="11"/>
        <v>成新率</v>
      </c>
      <c r="R29" s="657" t="s">
        <v>14</v>
      </c>
      <c r="S29" s="658">
        <f t="shared" si="12"/>
        <v>99</v>
      </c>
      <c r="T29" s="657" t="s">
        <v>14</v>
      </c>
      <c r="U29" s="658">
        <f t="shared" si="13"/>
        <v>99</v>
      </c>
      <c r="V29" s="657" t="s">
        <v>14</v>
      </c>
      <c r="W29" s="658">
        <f t="shared" si="14"/>
        <v>98</v>
      </c>
      <c r="X29" s="1243"/>
      <c r="Y29" s="3375"/>
      <c r="Z29" s="1242" t="str">
        <f t="shared" si="15"/>
        <v>成新率</v>
      </c>
      <c r="AA29" s="1242">
        <f t="shared" si="3"/>
        <v>1.0101010101010102</v>
      </c>
      <c r="AB29" s="1242">
        <f t="shared" si="4"/>
        <v>1.0101010101010102</v>
      </c>
      <c r="AC29" s="1242">
        <f t="shared" si="5"/>
        <v>1.0204081632653061</v>
      </c>
    </row>
    <row r="30" spans="1:29" ht="15">
      <c r="A30" s="570"/>
      <c r="B30" s="113" t="s">
        <v>1837</v>
      </c>
      <c r="C30" s="571"/>
      <c r="D30" s="367">
        <v>100</v>
      </c>
      <c r="E30" s="571"/>
      <c r="F30" s="393">
        <f>SUMIF(88:88,E30,89:89)-SUMIF(88:88,C30,89:89)+100</f>
        <v>100</v>
      </c>
      <c r="G30" s="571"/>
      <c r="H30" s="367">
        <f>SUMIF(88:88,E30,89:89)-SUMIF(88:88,C30,89:89)+100</f>
        <v>100</v>
      </c>
      <c r="I30" s="571"/>
      <c r="J30" s="367">
        <f>SUMIF(88:88,E30,89:89)-SUMIF(88:88,C30,89:89)+100</f>
        <v>100</v>
      </c>
      <c r="K30" s="531">
        <v>2</v>
      </c>
      <c r="L30" s="2467"/>
      <c r="M30" s="2462"/>
      <c r="N30" s="2462"/>
      <c r="O30" s="2462"/>
      <c r="P30" s="3375"/>
      <c r="Q30" s="1241" t="str">
        <f t="shared" si="11"/>
        <v>物业等级</v>
      </c>
      <c r="R30" s="657" t="s">
        <v>14</v>
      </c>
      <c r="S30" s="658">
        <f t="shared" si="12"/>
        <v>100</v>
      </c>
      <c r="T30" s="657" t="s">
        <v>14</v>
      </c>
      <c r="U30" s="658">
        <f t="shared" si="13"/>
        <v>100</v>
      </c>
      <c r="V30" s="657" t="s">
        <v>14</v>
      </c>
      <c r="W30" s="658">
        <f t="shared" si="14"/>
        <v>100</v>
      </c>
      <c r="X30" s="1243"/>
      <c r="Y30" s="3375"/>
      <c r="Z30" s="1242" t="str">
        <f t="shared" si="15"/>
        <v>物业等级</v>
      </c>
      <c r="AA30" s="1242">
        <f t="shared" si="3"/>
        <v>1</v>
      </c>
      <c r="AB30" s="1242">
        <f t="shared" si="4"/>
        <v>1</v>
      </c>
      <c r="AC30" s="1242">
        <f t="shared" si="5"/>
        <v>1</v>
      </c>
    </row>
    <row r="31" spans="1:29" s="101" customFormat="1" ht="15">
      <c r="A31" s="572"/>
      <c r="B31" s="113" t="s">
        <v>1838</v>
      </c>
      <c r="C31" s="400">
        <v>45</v>
      </c>
      <c r="D31" s="113">
        <v>100</v>
      </c>
      <c r="E31" s="400">
        <f>车位案例!S24</f>
        <v>31.78</v>
      </c>
      <c r="F31" s="393">
        <f>LOOKUP(E31,91:91,92:92)-LOOKUP(C31,91:91,92:92)+100</f>
        <v>98</v>
      </c>
      <c r="G31" s="400">
        <f>车位案例!S77</f>
        <v>46</v>
      </c>
      <c r="H31" s="367">
        <f>LOOKUP(G31,91:91,92:92)-LOOKUP(C31,91:91,92:92)+100</f>
        <v>100</v>
      </c>
      <c r="I31" s="400">
        <f>车位案例!S121</f>
        <v>34</v>
      </c>
      <c r="J31" s="367">
        <f>LOOKUP(I31,91:91,92:92)-LOOKUP(C31,91:91,92:92)+100</f>
        <v>98</v>
      </c>
      <c r="K31" s="531">
        <v>2</v>
      </c>
      <c r="L31" s="2463"/>
      <c r="M31" s="2416"/>
      <c r="N31" s="2416"/>
      <c r="O31" s="2416"/>
      <c r="P31" s="3375"/>
      <c r="Q31" s="523" t="str">
        <f t="shared" si="11"/>
        <v>停车位面积</v>
      </c>
      <c r="R31" s="654" t="s">
        <v>14</v>
      </c>
      <c r="S31" s="655">
        <f t="shared" si="12"/>
        <v>98</v>
      </c>
      <c r="T31" s="654" t="s">
        <v>14</v>
      </c>
      <c r="U31" s="655">
        <f t="shared" si="13"/>
        <v>100</v>
      </c>
      <c r="V31" s="654" t="s">
        <v>14</v>
      </c>
      <c r="W31" s="655">
        <f t="shared" si="14"/>
        <v>98</v>
      </c>
      <c r="X31" s="656"/>
      <c r="Y31" s="3375"/>
      <c r="Z31" s="50" t="str">
        <f t="shared" si="15"/>
        <v>停车位面积</v>
      </c>
      <c r="AA31" s="50">
        <f t="shared" si="3"/>
        <v>1.0204081632653061</v>
      </c>
      <c r="AB31" s="50">
        <f t="shared" si="4"/>
        <v>1</v>
      </c>
      <c r="AC31" s="50">
        <f t="shared" si="5"/>
        <v>1.0204081632653061</v>
      </c>
    </row>
    <row r="32" spans="1:29" ht="15">
      <c r="A32" s="570"/>
      <c r="B32" s="113" t="s">
        <v>1839</v>
      </c>
      <c r="C32" s="392"/>
      <c r="D32" s="367">
        <v>100</v>
      </c>
      <c r="E32" s="392"/>
      <c r="F32" s="393">
        <f>SUMIF(93:93,E32,94:94)-SUMIF(93:93,C32,94:94)+100</f>
        <v>100</v>
      </c>
      <c r="G32" s="392"/>
      <c r="H32" s="367">
        <f>SUMIF(93:93,G32,94:94)-SUMIF(93:93,C32,94:94)+100</f>
        <v>100</v>
      </c>
      <c r="I32" s="392"/>
      <c r="J32" s="367">
        <f>SUMIF(93:93,I32,94:94)-SUMIF(93:93,C32,94:94)+100</f>
        <v>100</v>
      </c>
      <c r="K32" s="531">
        <v>2</v>
      </c>
      <c r="L32" s="2467"/>
      <c r="M32" s="2462"/>
      <c r="N32" s="2462"/>
      <c r="O32" s="2462"/>
      <c r="P32" s="3375" t="s">
        <v>1693</v>
      </c>
      <c r="Q32" s="1241" t="str">
        <f t="shared" si="11"/>
        <v>车位类型</v>
      </c>
      <c r="R32" s="657" t="s">
        <v>14</v>
      </c>
      <c r="S32" s="658">
        <f t="shared" si="12"/>
        <v>100</v>
      </c>
      <c r="T32" s="657" t="s">
        <v>14</v>
      </c>
      <c r="U32" s="658">
        <f t="shared" si="13"/>
        <v>100</v>
      </c>
      <c r="V32" s="657" t="s">
        <v>14</v>
      </c>
      <c r="W32" s="658">
        <f t="shared" si="14"/>
        <v>100</v>
      </c>
      <c r="X32" s="1243"/>
      <c r="Y32" s="3375" t="s">
        <v>1693</v>
      </c>
      <c r="Z32" s="1242" t="str">
        <f t="shared" si="15"/>
        <v>车位类型</v>
      </c>
      <c r="AA32" s="1242">
        <f t="shared" si="3"/>
        <v>1</v>
      </c>
      <c r="AB32" s="1242">
        <f t="shared" si="4"/>
        <v>1</v>
      </c>
      <c r="AC32" s="1242">
        <f t="shared" si="5"/>
        <v>1</v>
      </c>
    </row>
    <row r="33" spans="1:29" ht="15">
      <c r="A33" s="570"/>
      <c r="B33" s="113" t="s">
        <v>1840</v>
      </c>
      <c r="C33" s="392"/>
      <c r="D33" s="367">
        <v>100</v>
      </c>
      <c r="E33" s="392"/>
      <c r="F33" s="393">
        <f>SUMIF(95:95,E33,96:96)-SUMIF(95:95,C33,96:96)+100</f>
        <v>100</v>
      </c>
      <c r="G33" s="392"/>
      <c r="H33" s="367">
        <f>SUMIF(95:95,G33,96:96)-SUMIF(95:95,C33,96:96)+100</f>
        <v>100</v>
      </c>
      <c r="I33" s="392"/>
      <c r="J33" s="367">
        <f>SUMIF(95:95,I33,96:96)-SUMIF(95:95,C33,96:96)+100</f>
        <v>100</v>
      </c>
      <c r="K33" s="531">
        <v>2</v>
      </c>
      <c r="L33" s="2467"/>
      <c r="M33" s="2462"/>
      <c r="N33" s="2462"/>
      <c r="O33" s="2462"/>
      <c r="P33" s="3375"/>
      <c r="Q33" s="1241" t="str">
        <f t="shared" si="11"/>
        <v>是否直接入户</v>
      </c>
      <c r="R33" s="657" t="s">
        <v>14</v>
      </c>
      <c r="S33" s="658">
        <f t="shared" si="12"/>
        <v>100</v>
      </c>
      <c r="T33" s="657" t="s">
        <v>14</v>
      </c>
      <c r="U33" s="658">
        <f t="shared" si="13"/>
        <v>100</v>
      </c>
      <c r="V33" s="657" t="s">
        <v>14</v>
      </c>
      <c r="W33" s="658">
        <f t="shared" si="14"/>
        <v>100</v>
      </c>
      <c r="X33" s="1243"/>
      <c r="Y33" s="3375"/>
      <c r="Z33" s="1242" t="str">
        <f t="shared" si="15"/>
        <v>是否直接入户</v>
      </c>
      <c r="AA33" s="1242">
        <f t="shared" si="3"/>
        <v>1</v>
      </c>
      <c r="AB33" s="1242">
        <f t="shared" si="4"/>
        <v>1</v>
      </c>
      <c r="AC33" s="1242">
        <f t="shared" si="5"/>
        <v>1</v>
      </c>
    </row>
    <row r="34" spans="1:29" ht="15">
      <c r="A34" s="570"/>
      <c r="B34" s="441"/>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75"/>
      <c r="Q34" s="1241">
        <f t="shared" si="11"/>
        <v>0</v>
      </c>
      <c r="R34" s="657" t="s">
        <v>14</v>
      </c>
      <c r="S34" s="658">
        <f t="shared" si="12"/>
        <v>100</v>
      </c>
      <c r="T34" s="657" t="s">
        <v>14</v>
      </c>
      <c r="U34" s="658">
        <f t="shared" si="13"/>
        <v>100</v>
      </c>
      <c r="V34" s="657" t="s">
        <v>14</v>
      </c>
      <c r="W34" s="658">
        <f t="shared" si="14"/>
        <v>100</v>
      </c>
      <c r="X34" s="1243"/>
      <c r="Y34" s="3375"/>
      <c r="Z34" s="1242">
        <f t="shared" si="15"/>
        <v>0</v>
      </c>
      <c r="AA34" s="1242">
        <f t="shared" si="3"/>
        <v>1</v>
      </c>
      <c r="AB34" s="1242">
        <f t="shared" si="4"/>
        <v>1</v>
      </c>
      <c r="AC34" s="1242">
        <f t="shared" si="5"/>
        <v>1</v>
      </c>
    </row>
    <row r="35" spans="1:29" s="401" customFormat="1" ht="15">
      <c r="A35" s="568"/>
      <c r="B35" s="441"/>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75"/>
      <c r="Q35" s="524">
        <f t="shared" si="11"/>
        <v>0</v>
      </c>
      <c r="R35" s="659" t="s">
        <v>14</v>
      </c>
      <c r="S35" s="660">
        <f t="shared" si="12"/>
        <v>100</v>
      </c>
      <c r="T35" s="659" t="s">
        <v>14</v>
      </c>
      <c r="U35" s="660">
        <f t="shared" si="13"/>
        <v>100</v>
      </c>
      <c r="V35" s="659" t="s">
        <v>14</v>
      </c>
      <c r="W35" s="660">
        <f t="shared" si="14"/>
        <v>100</v>
      </c>
      <c r="X35" s="661"/>
      <c r="Y35" s="3375"/>
      <c r="Z35" s="662">
        <f t="shared" si="15"/>
        <v>0</v>
      </c>
      <c r="AA35" s="1242">
        <f t="shared" si="3"/>
        <v>1</v>
      </c>
      <c r="AB35" s="1242">
        <f t="shared" si="4"/>
        <v>1</v>
      </c>
      <c r="AC35" s="1242">
        <f t="shared" si="5"/>
        <v>1</v>
      </c>
    </row>
    <row r="36" spans="1:29" ht="15.75" thickBot="1">
      <c r="A36" s="573"/>
      <c r="B36" s="552"/>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75"/>
      <c r="Q36" s="1241">
        <f t="shared" si="11"/>
        <v>0</v>
      </c>
      <c r="R36" s="657" t="s">
        <v>14</v>
      </c>
      <c r="S36" s="658">
        <f t="shared" si="12"/>
        <v>100</v>
      </c>
      <c r="T36" s="657" t="s">
        <v>14</v>
      </c>
      <c r="U36" s="658">
        <f t="shared" si="13"/>
        <v>100</v>
      </c>
      <c r="V36" s="657" t="s">
        <v>14</v>
      </c>
      <c r="W36" s="658">
        <f t="shared" si="14"/>
        <v>100</v>
      </c>
      <c r="X36" s="1243"/>
      <c r="Y36" s="3375"/>
      <c r="Z36" s="1242">
        <f t="shared" si="15"/>
        <v>0</v>
      </c>
      <c r="AA36" s="1242">
        <f t="shared" si="3"/>
        <v>1</v>
      </c>
      <c r="AB36" s="1242">
        <f t="shared" si="4"/>
        <v>1</v>
      </c>
      <c r="AC36" s="1242">
        <f t="shared" si="5"/>
        <v>1</v>
      </c>
    </row>
    <row r="37" spans="1:29" ht="15">
      <c r="A37" s="409" t="s">
        <v>1841</v>
      </c>
      <c r="B37" s="1798" t="s">
        <v>3426</v>
      </c>
      <c r="C37" s="1059" t="s">
        <v>0</v>
      </c>
      <c r="D37" s="411"/>
      <c r="E37" s="412">
        <f>车位案例!$S$23</f>
        <v>67438</v>
      </c>
      <c r="F37" s="413"/>
      <c r="G37" s="414">
        <f>车位案例!$S$76</f>
        <v>78000</v>
      </c>
      <c r="H37" s="415"/>
      <c r="I37" s="412">
        <f>车位案例!$S$120</f>
        <v>50000</v>
      </c>
      <c r="J37" s="415"/>
      <c r="K37" s="538"/>
      <c r="L37" s="2469"/>
      <c r="M37" s="2462"/>
      <c r="N37" s="2462"/>
      <c r="O37" s="2462"/>
      <c r="P37" s="3368" t="str">
        <f>A37</f>
        <v>成交单价</v>
      </c>
      <c r="Q37" s="3368"/>
      <c r="R37" s="3369">
        <f>E37</f>
        <v>67438</v>
      </c>
      <c r="S37" s="3369"/>
      <c r="T37" s="3369">
        <f>G37</f>
        <v>78000</v>
      </c>
      <c r="U37" s="3369"/>
      <c r="V37" s="3369">
        <f>I37</f>
        <v>50000</v>
      </c>
      <c r="W37" s="3369"/>
      <c r="X37" s="378"/>
      <c r="Y37" s="663"/>
      <c r="Z37" s="378"/>
      <c r="AA37" s="378"/>
      <c r="AB37" s="378"/>
      <c r="AC37" s="378"/>
    </row>
    <row r="38" spans="1:29" ht="15.75" thickBot="1">
      <c r="A38" s="416" t="s">
        <v>1842</v>
      </c>
      <c r="B38" s="417" t="str">
        <f>B37</f>
        <v>元/车位</v>
      </c>
      <c r="C38" s="1060">
        <f>R39</f>
        <v>66401</v>
      </c>
      <c r="D38" s="2118" t="s">
        <v>2135</v>
      </c>
      <c r="E38" s="1061">
        <f>R38</f>
        <v>69572</v>
      </c>
      <c r="F38" s="2119"/>
      <c r="G38" s="1060">
        <f>T38</f>
        <v>78054</v>
      </c>
      <c r="H38" s="2119"/>
      <c r="I38" s="1061">
        <f>V38</f>
        <v>51577</v>
      </c>
      <c r="J38" s="2119"/>
      <c r="K38" s="2121">
        <f>F38+H38+J38</f>
        <v>0</v>
      </c>
      <c r="L38" s="2469"/>
      <c r="M38" s="2462"/>
      <c r="N38" s="2462"/>
      <c r="O38" s="2462"/>
      <c r="P38" s="3368" t="str">
        <f>A38</f>
        <v>比较价值（元/平方米）</v>
      </c>
      <c r="Q38" s="3368"/>
      <c r="R38" s="3369">
        <f>IF(F1="售价",ROUND(PRODUCT(R37,AA7:AA36),0),ROUND(PRODUCT(R37,AA7:AA36),1))</f>
        <v>69572</v>
      </c>
      <c r="S38" s="3369"/>
      <c r="T38" s="3369">
        <f>IF(F1="售价",ROUND(PRODUCT(T37,AB7:AB36),0),ROUND(PRODUCT(T37,AB7:AB36),1))</f>
        <v>78054</v>
      </c>
      <c r="U38" s="3369"/>
      <c r="V38" s="3369">
        <f>IF(F1="售价",ROUND(PRODUCT(V37,AC7:AC36),0),ROUND(PRODUCT(V37,AC7:AC36),1))</f>
        <v>51577</v>
      </c>
      <c r="W38" s="3369"/>
      <c r="X38" s="378"/>
      <c r="Y38" s="378"/>
      <c r="Z38" s="378"/>
      <c r="AA38" s="378"/>
      <c r="AB38" s="378"/>
      <c r="AC38" s="378"/>
    </row>
    <row r="39" spans="1:29" ht="15.75" thickBot="1">
      <c r="A39" s="420" t="s">
        <v>1843</v>
      </c>
      <c r="B39" s="421"/>
      <c r="C39" s="344">
        <f>R39</f>
        <v>66401</v>
      </c>
      <c r="D39" s="344"/>
      <c r="E39" s="344"/>
      <c r="F39" s="344"/>
      <c r="G39" s="344"/>
      <c r="H39" s="344"/>
      <c r="I39" s="344"/>
      <c r="J39" s="344"/>
      <c r="K39" s="539"/>
      <c r="L39" s="2469"/>
      <c r="M39" s="2462"/>
      <c r="N39" s="2462"/>
      <c r="O39" s="2462"/>
      <c r="P39" s="3365" t="str">
        <f>A39</f>
        <v>估价对象XX用房的比较价值（楼面单价，元/平方米）</v>
      </c>
      <c r="Q39" s="3366"/>
      <c r="R39" s="3431">
        <f>IF(F1="售价",ROUND(IF(D38="简单平均",AVERAGE(R38:W38),R38*F38+T38*H38+V38*J38),0),ROUND(IF(D38="简单平均",AVERAGE(R38:V38),R38*F38+T38*H38+V38*J38),1))</f>
        <v>66401</v>
      </c>
      <c r="S39" s="3431"/>
      <c r="T39" s="3431"/>
      <c r="U39" s="3431"/>
      <c r="V39" s="3431"/>
      <c r="W39" s="3431"/>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5">
      <c r="A42" s="2462"/>
      <c r="B42" s="2462"/>
      <c r="C42" s="425" t="s">
        <v>1844</v>
      </c>
      <c r="D42" s="426"/>
      <c r="E42" s="427">
        <f>IF(E37&lt;E38,E38/E37-1,E37/E38-1)</f>
        <v>3.164388030487264E-2</v>
      </c>
      <c r="F42" s="428" t="str">
        <f>IF(OR(E42&gt;=0.3,E42&lt;=-0.3),"超过30%","")</f>
        <v/>
      </c>
      <c r="G42" s="427">
        <f>IF(G37&lt;G38,G38/G37-1,G37/G38-1)</f>
        <v>6.9230769230776978E-4</v>
      </c>
      <c r="H42" s="428" t="str">
        <f>IF(OR(G42&gt;=0.3,G42&lt;=-0.3),"超过30%","")</f>
        <v/>
      </c>
      <c r="I42" s="427">
        <f>IF(I37&lt;I38,I38/I37-1,I37/I38-1)</f>
        <v>3.1539999999999901E-2</v>
      </c>
      <c r="J42" s="428" t="str">
        <f>IF(OR(I42&gt;=0.3,I42&lt;=-0.3),"超过30%","")</f>
        <v/>
      </c>
      <c r="K42" s="2474"/>
      <c r="L42" s="2470"/>
      <c r="M42" s="2462"/>
      <c r="N42" s="2462"/>
      <c r="O42" s="2462"/>
      <c r="P42" s="2499"/>
      <c r="Q42" s="2462"/>
      <c r="R42" s="2462"/>
      <c r="S42" s="2462"/>
      <c r="T42" s="2462"/>
      <c r="U42" s="2462"/>
      <c r="V42" s="2462"/>
      <c r="W42" s="2462"/>
      <c r="X42" s="2462"/>
      <c r="Y42" s="2462"/>
      <c r="Z42" s="2462"/>
      <c r="AA42" s="2462"/>
      <c r="AB42" s="2462"/>
      <c r="AC42" s="2462"/>
    </row>
    <row r="43" spans="1:29" ht="15">
      <c r="A43" s="2462"/>
      <c r="B43" s="2462"/>
      <c r="C43" s="425" t="s">
        <v>1845</v>
      </c>
      <c r="D43" s="429"/>
      <c r="E43" s="427">
        <f>IF(E38&lt;G38,G38/E38-1,E38/G38-1)</f>
        <v>0.12191686310584715</v>
      </c>
      <c r="F43" s="428" t="str">
        <f>IF(OR(E43&gt;=0.2,E43&lt;=-0.2),"超过20%","")</f>
        <v/>
      </c>
      <c r="G43" s="427">
        <f>IF(G38&lt;I38,I38/G38-1,G38/I38-1)</f>
        <v>0.51334897337960728</v>
      </c>
      <c r="H43" s="428" t="str">
        <f>IF(OR(G43&gt;=0.2,G43&lt;=-0.2),"超过20%","")</f>
        <v>超过20%</v>
      </c>
      <c r="I43" s="427">
        <f>IF(I38&lt;E38,E38/I38-1,I38/E38-1)</f>
        <v>0.34889582565872379</v>
      </c>
      <c r="J43" s="428" t="str">
        <f>IF(OR(I43&gt;=0.2,I43&lt;=-0.2),"超过20%","")</f>
        <v>超过20%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5">
      <c r="A44" s="2472"/>
      <c r="B44" s="2472"/>
      <c r="C44" s="425" t="s">
        <v>1846</v>
      </c>
      <c r="D44" s="429"/>
      <c r="E44" s="427">
        <f>IF(E37&lt;G37,G37/E37-1,E37/G37-1)</f>
        <v>0.1566179305436104</v>
      </c>
      <c r="F44" s="428" t="str">
        <f>IF(OR(E44&gt;=0.3,E44&lt;=-0.3),"超过30%","")</f>
        <v/>
      </c>
      <c r="G44" s="427">
        <f>IF(G37&lt;I37,I37/G37-1,G37/I37-1)</f>
        <v>0.56000000000000005</v>
      </c>
      <c r="H44" s="428" t="str">
        <f>IF(OR(G44&gt;=0.3,G44&lt;=-0.3),"超过30%","")</f>
        <v>超过30%</v>
      </c>
      <c r="I44" s="427">
        <f>IF(I37&lt;E37,E37/I37-1,I37/E37-1)</f>
        <v>0.34875999999999996</v>
      </c>
      <c r="J44" s="428" t="str">
        <f>IF(OR(I44&gt;=0.3,I44&lt;=-0.3),"超过30%","")</f>
        <v>超过30%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1847</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1848</v>
      </c>
      <c r="B48" s="434"/>
      <c r="C48" s="1081" t="str">
        <f>YEAR(C7)&amp;"-"&amp;MONTH(C7)</f>
        <v>2025-3</v>
      </c>
      <c r="D48" s="1082">
        <f>EDATE(C48,-1)</f>
        <v>45689</v>
      </c>
      <c r="E48" s="1082">
        <f t="shared" ref="E48:O48" si="16">EDATE(D48,-1)</f>
        <v>45658</v>
      </c>
      <c r="F48" s="1082">
        <f t="shared" si="16"/>
        <v>45627</v>
      </c>
      <c r="G48" s="1082">
        <f t="shared" si="16"/>
        <v>45597</v>
      </c>
      <c r="H48" s="1082">
        <f t="shared" si="16"/>
        <v>45566</v>
      </c>
      <c r="I48" s="1082">
        <f t="shared" si="16"/>
        <v>45536</v>
      </c>
      <c r="J48" s="1082">
        <f t="shared" si="16"/>
        <v>45505</v>
      </c>
      <c r="K48" s="1082">
        <f t="shared" si="16"/>
        <v>45474</v>
      </c>
      <c r="L48" s="1082">
        <f t="shared" si="16"/>
        <v>45444</v>
      </c>
      <c r="M48" s="1082">
        <f t="shared" si="16"/>
        <v>45413</v>
      </c>
      <c r="N48" s="1082">
        <f t="shared" si="16"/>
        <v>45383</v>
      </c>
      <c r="O48" s="1082">
        <f t="shared" si="16"/>
        <v>45352</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1713</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1678</v>
      </c>
      <c r="B51" s="437"/>
      <c r="C51" s="449" t="s">
        <v>1773</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1716</v>
      </c>
      <c r="B53" s="453" t="s">
        <v>1682</v>
      </c>
      <c r="C53" s="454" t="str">
        <f>C9</f>
        <v>车位</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1685</v>
      </c>
      <c r="C55" s="3104" t="s">
        <v>3405</v>
      </c>
      <c r="D55" s="506" t="s">
        <v>3425</v>
      </c>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v>100</v>
      </c>
      <c r="D56" s="460">
        <v>98</v>
      </c>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1687</v>
      </c>
      <c r="B63" s="453" t="s">
        <v>1723</v>
      </c>
      <c r="C63" s="497" t="s">
        <v>1718</v>
      </c>
      <c r="D63" s="497" t="s">
        <v>1719</v>
      </c>
      <c r="E63" s="497" t="s">
        <v>1720</v>
      </c>
      <c r="F63" s="497" t="s">
        <v>1721</v>
      </c>
      <c r="G63" s="497" t="s">
        <v>1722</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97</v>
      </c>
      <c r="E64" s="468">
        <f>D64-$K14</f>
        <v>94</v>
      </c>
      <c r="F64" s="468">
        <f>E64-$K14</f>
        <v>91</v>
      </c>
      <c r="G64" s="468">
        <f>F64-$K14</f>
        <v>88</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1724</v>
      </c>
      <c r="C65" s="502" t="s">
        <v>1718</v>
      </c>
      <c r="D65" s="502" t="s">
        <v>1719</v>
      </c>
      <c r="E65" s="502" t="s">
        <v>1720</v>
      </c>
      <c r="F65" s="502" t="s">
        <v>1721</v>
      </c>
      <c r="G65" s="502" t="s">
        <v>1722</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97</v>
      </c>
      <c r="E66" s="468">
        <f>D66-$K16</f>
        <v>94</v>
      </c>
      <c r="F66" s="468">
        <f>E66-$K16</f>
        <v>91</v>
      </c>
      <c r="G66" s="468">
        <f>F66-$K16</f>
        <v>88</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1810</v>
      </c>
      <c r="C67" s="574" t="s">
        <v>1796</v>
      </c>
      <c r="D67" s="574" t="s">
        <v>1797</v>
      </c>
      <c r="E67" s="574" t="s">
        <v>1798</v>
      </c>
      <c r="F67" s="574" t="s">
        <v>1799</v>
      </c>
      <c r="G67" s="574" t="s">
        <v>1800</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98</v>
      </c>
      <c r="E68" s="468">
        <f>D68-$K18</f>
        <v>96</v>
      </c>
      <c r="F68" s="468">
        <f>E68-$K18</f>
        <v>94</v>
      </c>
      <c r="G68" s="468">
        <f>F68-$K18</f>
        <v>92</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1730</v>
      </c>
      <c r="C69" s="502" t="s">
        <v>1718</v>
      </c>
      <c r="D69" s="502" t="s">
        <v>1719</v>
      </c>
      <c r="E69" s="502" t="s">
        <v>1720</v>
      </c>
      <c r="F69" s="502" t="s">
        <v>1721</v>
      </c>
      <c r="G69" s="502" t="s">
        <v>1722</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97</v>
      </c>
      <c r="E70" s="468">
        <f>D70-$K20</f>
        <v>94</v>
      </c>
      <c r="F70" s="468">
        <f>E70-$K20</f>
        <v>91</v>
      </c>
      <c r="G70" s="468">
        <f>F70-$K20</f>
        <v>88</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1849</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1691</v>
      </c>
      <c r="B79" s="453" t="s">
        <v>1850</v>
      </c>
      <c r="C79" s="454" t="str">
        <f>C26</f>
        <v>办公</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1851</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1737</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1852</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101</v>
      </c>
      <c r="E87" s="468">
        <f t="shared" ref="E87:M87" si="19">D87+$K$29</f>
        <v>102</v>
      </c>
      <c r="F87" s="468">
        <f t="shared" si="19"/>
        <v>103</v>
      </c>
      <c r="G87" s="468">
        <f t="shared" si="19"/>
        <v>104</v>
      </c>
      <c r="H87" s="468">
        <f t="shared" si="19"/>
        <v>105</v>
      </c>
      <c r="I87" s="468">
        <f t="shared" si="19"/>
        <v>106</v>
      </c>
      <c r="J87" s="468">
        <f t="shared" si="19"/>
        <v>107</v>
      </c>
      <c r="K87" s="468">
        <f t="shared" si="19"/>
        <v>108</v>
      </c>
      <c r="L87" s="468">
        <f t="shared" si="19"/>
        <v>109</v>
      </c>
      <c r="M87" s="468">
        <f t="shared" si="19"/>
        <v>110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1853</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1854</v>
      </c>
      <c r="C90" s="502" t="str">
        <f>C91&amp;"(含)"&amp;"-"&amp;D91</f>
        <v>0(含)-35</v>
      </c>
      <c r="D90" s="502" t="str">
        <f t="shared" ref="D90:L90" si="21">D91&amp;"(含)"&amp;"-"&amp;E91</f>
        <v>35(含)-45</v>
      </c>
      <c r="E90" s="502" t="str">
        <f t="shared" si="21"/>
        <v>45(含)-55</v>
      </c>
      <c r="F90" s="502" t="str">
        <f t="shared" si="21"/>
        <v>55(含)-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v>0</v>
      </c>
      <c r="D91" s="6">
        <v>35</v>
      </c>
      <c r="E91" s="6">
        <v>45</v>
      </c>
      <c r="F91" s="6">
        <v>55</v>
      </c>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v>100</v>
      </c>
      <c r="D92" s="460">
        <v>101</v>
      </c>
      <c r="E92" s="460">
        <v>102</v>
      </c>
      <c r="F92" s="460">
        <v>103</v>
      </c>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1855</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98</v>
      </c>
      <c r="E94" s="468">
        <f t="shared" si="22"/>
        <v>96</v>
      </c>
      <c r="F94" s="468">
        <f t="shared" si="22"/>
        <v>94</v>
      </c>
      <c r="G94" s="468">
        <f t="shared" si="22"/>
        <v>92</v>
      </c>
      <c r="H94" s="468">
        <f t="shared" si="22"/>
        <v>90</v>
      </c>
      <c r="I94" s="468">
        <f t="shared" si="22"/>
        <v>88</v>
      </c>
      <c r="J94" s="468">
        <f t="shared" si="22"/>
        <v>86</v>
      </c>
      <c r="K94" s="468">
        <f t="shared" si="22"/>
        <v>84</v>
      </c>
      <c r="L94" s="468">
        <f t="shared" si="22"/>
        <v>82</v>
      </c>
      <c r="M94" s="469">
        <f t="shared" si="22"/>
        <v>80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1856</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98</v>
      </c>
      <c r="E96" s="468">
        <f>D96-$K33</f>
        <v>96</v>
      </c>
      <c r="F96" s="468">
        <f>E96-$K33</f>
        <v>94</v>
      </c>
      <c r="G96" s="468">
        <f>F96-$K33</f>
        <v>92</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0</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0</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0</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B939-B702-4F33-94ED-F01316BC5310}">
  <dimension ref="S23:S121"/>
  <sheetViews>
    <sheetView topLeftCell="A64" zoomScale="85" zoomScaleNormal="85" workbookViewId="0">
      <selection activeCell="W115" sqref="W115"/>
    </sheetView>
  </sheetViews>
  <sheetFormatPr defaultRowHeight="13.5"/>
  <sheetData>
    <row r="23" spans="19:19">
      <c r="S23">
        <f>ROUND(816/121*10000,0)</f>
        <v>67438</v>
      </c>
    </row>
    <row r="24" spans="19:19">
      <c r="S24">
        <f>ROUND(3845/121,2)</f>
        <v>31.78</v>
      </c>
    </row>
    <row r="76" spans="19:19">
      <c r="S76">
        <f>ROUND(39/5*10000,0)</f>
        <v>78000</v>
      </c>
    </row>
    <row r="77" spans="19:19">
      <c r="S77">
        <f>ROUND(230/5,2)</f>
        <v>46</v>
      </c>
    </row>
    <row r="120" spans="19:19">
      <c r="S120">
        <f>ROUND(150/30*10000,0)</f>
        <v>50000</v>
      </c>
    </row>
    <row r="121" spans="19:19">
      <c r="S121">
        <f>ROUND(1020/30,2)</f>
        <v>34</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13" sqref="K13"/>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3397</v>
      </c>
      <c r="D1" s="1249" t="s">
        <v>43</v>
      </c>
      <c r="E1" s="1250" t="s">
        <v>675</v>
      </c>
      <c r="F1" s="978">
        <f ca="1">J53</f>
        <v>42.01</v>
      </c>
      <c r="G1" s="1264">
        <f>MATCH(C1,'数据-取费表'!A6:A16,0)+5</f>
        <v>8</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875</v>
      </c>
      <c r="B2" s="3096">
        <f ca="1">ROUND(D2/10000,4)</f>
        <v>45.540500000000002</v>
      </c>
      <c r="C2" s="1267" t="s">
        <v>876</v>
      </c>
      <c r="D2" s="1353">
        <f ca="1">C40+J29+L46</f>
        <v>455405</v>
      </c>
      <c r="E2" s="1273" t="s">
        <v>877</v>
      </c>
      <c r="F2" s="1274"/>
      <c r="G2" s="2453"/>
      <c r="H2" s="2443"/>
      <c r="I2" s="2443"/>
      <c r="J2" s="2443"/>
      <c r="K2" s="2444"/>
      <c r="L2" s="2443"/>
      <c r="M2" s="2443"/>
    </row>
    <row r="3" spans="1:37" ht="18" customHeight="1" thickBot="1">
      <c r="A3" s="1275" t="s">
        <v>878</v>
      </c>
      <c r="B3" s="1276">
        <f ca="1">IF(ISERROR(D2/F43),0,ROUND(D2/F43,0))</f>
        <v>1012</v>
      </c>
      <c r="C3" s="1267" t="s">
        <v>879</v>
      </c>
      <c r="D3" s="1267"/>
      <c r="E3" s="1273"/>
      <c r="F3" s="1274"/>
      <c r="G3" s="2453"/>
      <c r="H3" s="639" t="s">
        <v>873</v>
      </c>
      <c r="I3" s="1268"/>
      <c r="J3" s="1268"/>
      <c r="K3" s="1269"/>
      <c r="L3" s="1268"/>
      <c r="M3" s="1268"/>
    </row>
    <row r="4" spans="1:37" ht="18" customHeight="1">
      <c r="A4" s="281" t="s">
        <v>880</v>
      </c>
      <c r="B4" s="282" t="s">
        <v>881</v>
      </c>
      <c r="C4" s="282" t="s">
        <v>882</v>
      </c>
      <c r="D4" s="282" t="s">
        <v>883</v>
      </c>
      <c r="E4" s="283" t="s">
        <v>884</v>
      </c>
      <c r="F4" s="284"/>
      <c r="G4" s="1270"/>
      <c r="H4" s="281" t="s">
        <v>880</v>
      </c>
      <c r="I4" s="282" t="s">
        <v>881</v>
      </c>
      <c r="J4" s="282" t="s">
        <v>882</v>
      </c>
      <c r="K4" s="282" t="s">
        <v>883</v>
      </c>
      <c r="L4" s="283" t="s">
        <v>884</v>
      </c>
      <c r="M4" s="284"/>
    </row>
    <row r="5" spans="1:37" ht="18" customHeight="1">
      <c r="A5" s="285">
        <v>1</v>
      </c>
      <c r="B5" s="286" t="s">
        <v>885</v>
      </c>
      <c r="C5" s="986">
        <f ca="1">C6+C10+C12</f>
        <v>32400</v>
      </c>
      <c r="D5" s="1251" t="s">
        <v>886</v>
      </c>
      <c r="E5" s="987"/>
      <c r="F5" s="988"/>
      <c r="G5" s="1270"/>
      <c r="H5" s="285">
        <v>1</v>
      </c>
      <c r="I5" s="286" t="s">
        <v>885</v>
      </c>
      <c r="J5" s="986">
        <f ca="1">J6+J10+J12</f>
        <v>0</v>
      </c>
      <c r="K5" s="1251" t="s">
        <v>886</v>
      </c>
      <c r="L5" s="987"/>
      <c r="M5" s="988"/>
    </row>
    <row r="6" spans="1:37" ht="18" customHeight="1">
      <c r="A6" s="985" t="s">
        <v>398</v>
      </c>
      <c r="B6" s="3341" t="s">
        <v>691</v>
      </c>
      <c r="C6" s="990">
        <f ca="1">ROUND(F6*F8*F7*(1-F9),0)</f>
        <v>32400</v>
      </c>
      <c r="D6" s="141" t="s">
        <v>2103</v>
      </c>
      <c r="E6" s="288" t="s">
        <v>693</v>
      </c>
      <c r="F6" s="289">
        <f ca="1">INDIRECT("'数据-取费表'!u"&amp;$G$1)</f>
        <v>300</v>
      </c>
      <c r="G6" s="1270"/>
      <c r="H6" s="985" t="s">
        <v>398</v>
      </c>
      <c r="I6" s="3341" t="s">
        <v>691</v>
      </c>
      <c r="J6" s="287">
        <f ca="1">ROUND(M6*M8*M7*(1-M9),0)</f>
        <v>0</v>
      </c>
      <c r="K6" s="1262" t="s">
        <v>2104</v>
      </c>
      <c r="L6" s="288" t="s">
        <v>693</v>
      </c>
      <c r="M6" s="289">
        <f ca="1">INDIRECT("'数据-取费表'!z"&amp;$G$1)</f>
        <v>0</v>
      </c>
    </row>
    <row r="7" spans="1:37" ht="18" customHeight="1">
      <c r="A7" s="989"/>
      <c r="B7" s="3342"/>
      <c r="C7" s="991"/>
      <c r="D7" s="293"/>
      <c r="E7" s="992" t="s">
        <v>694</v>
      </c>
      <c r="F7" s="289">
        <f ca="1">IF(INDIRECT("'数据-取费表'!ah"&amp;$G$1)="",INDIRECT("'数据-取费表'!k"&amp;$G$1),INDIRECT("'数据-取费表'!ah"&amp;$G$1))</f>
        <v>10</v>
      </c>
      <c r="G7" s="1270"/>
      <c r="H7" s="290"/>
      <c r="I7" s="3342"/>
      <c r="J7" s="292"/>
      <c r="K7" s="293"/>
      <c r="L7" s="288" t="s">
        <v>694</v>
      </c>
      <c r="M7" s="289">
        <f ca="1">F7</f>
        <v>10</v>
      </c>
    </row>
    <row r="8" spans="1:37" ht="18" customHeight="1">
      <c r="A8" s="290"/>
      <c r="B8" s="3342"/>
      <c r="C8" s="292"/>
      <c r="D8" s="293"/>
      <c r="E8" s="288" t="s">
        <v>695</v>
      </c>
      <c r="F8" s="289">
        <f ca="1">INDIRECT("'数据-取费表'!ai"&amp;$G$1)</f>
        <v>12</v>
      </c>
      <c r="G8" s="1270"/>
      <c r="H8" s="290"/>
      <c r="I8" s="3342"/>
      <c r="J8" s="292"/>
      <c r="K8" s="293"/>
      <c r="L8" s="288" t="s">
        <v>695</v>
      </c>
      <c r="M8" s="289">
        <f ca="1">INDIRECT("'数据-取费表'!ai"&amp;$G$1)</f>
        <v>12</v>
      </c>
    </row>
    <row r="9" spans="1:37" ht="18" customHeight="1">
      <c r="A9" s="290"/>
      <c r="B9" s="3343"/>
      <c r="C9" s="292"/>
      <c r="D9" s="293"/>
      <c r="E9" s="288" t="s">
        <v>696</v>
      </c>
      <c r="F9" s="298">
        <f ca="1">INDIRECT("'数据-取费表'!w"&amp;$G$1)</f>
        <v>0.1</v>
      </c>
      <c r="G9" s="1270"/>
      <c r="H9" s="290"/>
      <c r="I9" s="3343"/>
      <c r="J9" s="292"/>
      <c r="K9" s="293"/>
      <c r="L9" s="299" t="s">
        <v>696</v>
      </c>
      <c r="M9" s="300">
        <f ca="1">INDIRECT("'数据-取费表'!ab"&amp;$G$1)</f>
        <v>0</v>
      </c>
    </row>
    <row r="10" spans="1:37" ht="18" customHeight="1">
      <c r="A10" s="985" t="s">
        <v>402</v>
      </c>
      <c r="B10" s="1252" t="s">
        <v>697</v>
      </c>
      <c r="C10" s="302">
        <f ca="1">ROUND(IF(F10="押一",C6/12*F11,IF(F10="押二",C6/12*2*F11,IF(F10="押三",C6/12*3*F11,C11*F11))),0)</f>
        <v>0</v>
      </c>
      <c r="D10" s="144" t="s">
        <v>2113</v>
      </c>
      <c r="E10" s="299" t="s">
        <v>698</v>
      </c>
      <c r="F10" s="1031" t="s">
        <v>3420</v>
      </c>
      <c r="G10" s="1270"/>
      <c r="H10" s="985" t="s">
        <v>402</v>
      </c>
      <c r="I10" s="1252" t="s">
        <v>697</v>
      </c>
      <c r="J10" s="287">
        <f ca="1">ROUND(IF(M10="押一",J6/12*M11,IF(M10="押二",J6/12*2*M11,IF(M10="押三",J6/12*3*M11,J11*M11))),0)</f>
        <v>0</v>
      </c>
      <c r="K10" s="1263" t="s">
        <v>2115</v>
      </c>
      <c r="L10" s="299" t="s">
        <v>698</v>
      </c>
      <c r="M10" s="1031"/>
    </row>
    <row r="11" spans="1:37" ht="18" customHeight="1">
      <c r="A11" s="294"/>
      <c r="B11" s="1253" t="s">
        <v>887</v>
      </c>
      <c r="C11" s="885"/>
      <c r="D11" s="293"/>
      <c r="E11" s="299" t="s">
        <v>699</v>
      </c>
      <c r="F11" s="300">
        <f ca="1">'数据-取费表'!B39</f>
        <v>1.4999999999999999E-2</v>
      </c>
      <c r="G11" s="1270"/>
      <c r="H11" s="993"/>
      <c r="I11" s="1253" t="s">
        <v>888</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2609109</v>
      </c>
      <c r="D13" s="996" t="s">
        <v>702</v>
      </c>
      <c r="E13" s="996" t="s">
        <v>703</v>
      </c>
      <c r="F13" s="997">
        <f ca="1">INDIRECT("'数据-取费表'!y"&amp;$G$1)</f>
        <v>0.97</v>
      </c>
      <c r="G13" s="1270"/>
      <c r="H13" s="994">
        <v>2</v>
      </c>
      <c r="I13" s="995" t="s">
        <v>701</v>
      </c>
      <c r="J13" s="984">
        <f ca="1">ROUND(J14*J15,0)</f>
        <v>0</v>
      </c>
      <c r="K13" s="1002" t="s">
        <v>702</v>
      </c>
      <c r="L13" s="1277"/>
      <c r="M13" s="1278"/>
    </row>
    <row r="14" spans="1:37" ht="18" customHeight="1">
      <c r="A14" s="908" t="s">
        <v>397</v>
      </c>
      <c r="B14" s="288" t="s">
        <v>704</v>
      </c>
      <c r="C14" s="303">
        <f ca="1">ROUND(INDIRECT("'数据-取费表'!l"&amp;$G$1)*F43+'数据-取费表'!L14*INDIRECT("'数据-取费表'!S"&amp;$G$1),0)</f>
        <v>2025000</v>
      </c>
      <c r="D14" s="1235" t="s">
        <v>705</v>
      </c>
      <c r="E14" s="1233"/>
      <c r="F14" s="304"/>
      <c r="G14" s="1270"/>
      <c r="H14" s="908" t="s">
        <v>398</v>
      </c>
      <c r="I14" s="288" t="s">
        <v>706</v>
      </c>
      <c r="J14" s="21">
        <f ca="1">C29</f>
        <v>2689803</v>
      </c>
      <c r="K14" s="12"/>
      <c r="L14" s="741"/>
      <c r="M14" s="742"/>
    </row>
    <row r="15" spans="1:37" s="1282" customFormat="1" ht="18" customHeight="1" thickBot="1">
      <c r="A15" s="908" t="s">
        <v>399</v>
      </c>
      <c r="B15" s="288" t="s">
        <v>707</v>
      </c>
      <c r="C15" s="21">
        <f ca="1">ROUND(C14*F15,0)</f>
        <v>101250</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ROUND(INDIRECT("'数据-取费表'!l"&amp;$G$1)*F43*F16,0)</f>
        <v>0</v>
      </c>
      <c r="D16" s="288" t="s">
        <v>708</v>
      </c>
      <c r="E16" s="288" t="s">
        <v>709</v>
      </c>
      <c r="F16" s="307">
        <f ca="1">IF(INDIRECT("'数据-取费表'!c"&amp;$G$1)="住宅",'数据-取费表'!B34,0)</f>
        <v>0</v>
      </c>
      <c r="G16" s="1270"/>
      <c r="H16" s="994" t="s">
        <v>393</v>
      </c>
      <c r="I16" s="995" t="s">
        <v>711</v>
      </c>
      <c r="J16" s="296">
        <f ca="1">ROUND(J17+J22+J23+J24,0)</f>
        <v>5380</v>
      </c>
      <c r="K16" s="1002" t="s">
        <v>712</v>
      </c>
      <c r="L16" s="1003"/>
      <c r="M16" s="988"/>
    </row>
    <row r="17" spans="1:37" s="1282" customFormat="1" ht="18" customHeight="1">
      <c r="A17" s="908" t="s">
        <v>678</v>
      </c>
      <c r="B17" s="288" t="s">
        <v>713</v>
      </c>
      <c r="C17" s="21">
        <f ca="1">ROUND(F17*(F43+INDIRECT("'数据-取费表'!S"&amp;$G$1)),0)</f>
        <v>90000</v>
      </c>
      <c r="D17" s="288" t="s">
        <v>714</v>
      </c>
      <c r="E17" s="288" t="s">
        <v>715</v>
      </c>
      <c r="F17" s="23">
        <f>'数据-取费表'!B35</f>
        <v>200</v>
      </c>
      <c r="G17" s="1281"/>
      <c r="H17" s="908" t="s">
        <v>398</v>
      </c>
      <c r="I17" s="288" t="s">
        <v>716</v>
      </c>
      <c r="J17" s="2117">
        <f ca="1">ROUND(IF(AND(项目基本情况!B11="自然人",项目基本情况!B10="北京市"),J6*M17/(1+'数据-取费表'!C42),J18+J19+J20),0)</f>
        <v>0</v>
      </c>
      <c r="K17" s="1235" t="s">
        <v>717</v>
      </c>
      <c r="L17" s="1234" t="s">
        <v>718</v>
      </c>
      <c r="M17" s="2116">
        <f ca="1">IF(项目基本情况!B11="企业","",IF('数据-取费表'!B10="住宅",IF(M6*M7*M8/12/(1+'数据-取费表'!F30)&gt;100000,4%,2.5%),IF(M6*M7*M8/12/(1+'数据-取费表'!F30)&gt;100000,12%,7%)))</f>
        <v>7.0000000000000007E-2</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40500</v>
      </c>
      <c r="D18" s="288" t="s">
        <v>708</v>
      </c>
      <c r="E18" s="288" t="s">
        <v>709</v>
      </c>
      <c r="F18" s="307">
        <f>'数据-取费表'!B36</f>
        <v>0.02</v>
      </c>
      <c r="G18" s="1281"/>
      <c r="H18" s="908" t="s">
        <v>397</v>
      </c>
      <c r="I18" s="288" t="s">
        <v>720</v>
      </c>
      <c r="J18" s="21">
        <f ca="1">ROUND(J6*M18/(1+'数据-取费表'!C42),0)</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2256750</v>
      </c>
      <c r="D19" s="117" t="s">
        <v>723</v>
      </c>
      <c r="E19" s="1247"/>
      <c r="F19" s="23"/>
      <c r="G19" s="1270"/>
      <c r="H19" s="908" t="s">
        <v>399</v>
      </c>
      <c r="I19" s="288" t="s">
        <v>724</v>
      </c>
      <c r="J19" s="21">
        <f ca="1">IF(K19="按租金收入计税",ROUND(J6*M19/(1+'数据-取费表'!C42),0),ROUND(C29*M19*0.7,0))</f>
        <v>0</v>
      </c>
      <c r="K19" s="1256" t="s">
        <v>3322</v>
      </c>
      <c r="L19" s="288" t="s">
        <v>709</v>
      </c>
      <c r="M19" s="307">
        <f>IF(K19="按租金收入计税",'数据-取费表'!B51,'数据-取费表'!B50)</f>
        <v>0.12</v>
      </c>
    </row>
    <row r="20" spans="1:37" s="1282" customFormat="1" ht="18" customHeight="1">
      <c r="A20" s="908" t="s">
        <v>402</v>
      </c>
      <c r="B20" s="288" t="s">
        <v>725</v>
      </c>
      <c r="C20" s="21">
        <f ca="1">ROUND(C19*F20,0)</f>
        <v>45135</v>
      </c>
      <c r="D20" s="308" t="s">
        <v>726</v>
      </c>
      <c r="E20" s="288" t="s">
        <v>709</v>
      </c>
      <c r="F20" s="307">
        <f>'数据-取费表'!B37</f>
        <v>0.02</v>
      </c>
      <c r="G20" s="1281"/>
      <c r="H20" s="908" t="s">
        <v>677</v>
      </c>
      <c r="I20" s="141" t="s">
        <v>727</v>
      </c>
      <c r="J20" s="22">
        <f ca="1">ROUND(M20*M21,0)</f>
        <v>0</v>
      </c>
      <c r="K20" s="309" t="s">
        <v>728</v>
      </c>
      <c r="L20" s="288" t="s">
        <v>729</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ROUND(J14*M22,0)</f>
        <v>5380</v>
      </c>
      <c r="K22" s="1234" t="s">
        <v>736</v>
      </c>
      <c r="L22" s="288" t="s">
        <v>709</v>
      </c>
      <c r="M22" s="313">
        <f ca="1">INDIRECT("'数据-取费表'!Ak"&amp;$G$1)</f>
        <v>2E-3</v>
      </c>
    </row>
    <row r="23" spans="1:37" s="1282" customFormat="1" ht="18" customHeight="1">
      <c r="A23" s="908" t="s">
        <v>397</v>
      </c>
      <c r="B23" s="288" t="s">
        <v>737</v>
      </c>
      <c r="C23" s="21">
        <f ca="1">IF('数据-取费表'!B22&lt;=1,ROUND(C19*F24*F23/2,0)+ROUND(C20*F24*F23/2,0),ROUND(C19*(POWER((1+F24),F23/2)-1),0)+ROUND(C20*(POWER((1+F24),F23/2)-1),0))</f>
        <v>71358</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ROUND(J13*M23,0)</f>
        <v>0</v>
      </c>
      <c r="K23" s="1234" t="s">
        <v>740</v>
      </c>
      <c r="L23" s="288" t="s">
        <v>741</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742</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3.1E-2</v>
      </c>
      <c r="G24" s="1281"/>
      <c r="H24" s="1004" t="s">
        <v>681</v>
      </c>
      <c r="I24" s="1005" t="s">
        <v>725</v>
      </c>
      <c r="J24" s="1006">
        <f ca="1">ROUND(J5*M24,0)</f>
        <v>0</v>
      </c>
      <c r="K24" s="1007" t="s">
        <v>745</v>
      </c>
      <c r="L24" s="1005" t="s">
        <v>741</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746</v>
      </c>
      <c r="B25" s="288" t="s">
        <v>747</v>
      </c>
      <c r="C25" s="21"/>
      <c r="D25" s="117" t="s">
        <v>748</v>
      </c>
      <c r="E25" s="1247"/>
      <c r="F25" s="23"/>
      <c r="G25" s="1270"/>
      <c r="H25" s="994" t="s">
        <v>394</v>
      </c>
      <c r="I25" s="1009" t="s">
        <v>749</v>
      </c>
      <c r="J25" s="296">
        <f ca="1">J5-J16</f>
        <v>-5380</v>
      </c>
      <c r="K25" s="1010" t="s">
        <v>750</v>
      </c>
      <c r="L25" s="1011"/>
      <c r="M25" s="1012"/>
    </row>
    <row r="26" spans="1:37" ht="18" customHeight="1">
      <c r="A26" s="908" t="s">
        <v>397</v>
      </c>
      <c r="B26" s="288" t="s">
        <v>751</v>
      </c>
      <c r="C26" s="21">
        <f ca="1">ROUND((C19+C20)*F26,0)</f>
        <v>115094</v>
      </c>
      <c r="D26" s="308" t="s">
        <v>752</v>
      </c>
      <c r="E26" s="299" t="s">
        <v>753</v>
      </c>
      <c r="F26" s="298">
        <f ca="1">INDIRECT("'数据-取费表'!q"&amp;$G$1)</f>
        <v>0.05</v>
      </c>
      <c r="G26" s="1270"/>
      <c r="H26" s="285" t="s">
        <v>395</v>
      </c>
      <c r="I26" s="286" t="s">
        <v>754</v>
      </c>
      <c r="J26" s="287">
        <f ca="1">IF(J5&lt;&gt;0,ROUND(J25*(1-((1+M28)/(1+M26))^M27)/(M26-M28),0),0)</f>
        <v>0</v>
      </c>
      <c r="K26" s="309" t="s">
        <v>755</v>
      </c>
      <c r="L26" s="288" t="s">
        <v>756</v>
      </c>
      <c r="M26" s="298">
        <f ca="1">INDIRECT("'数据-取费表'!I"&amp;$G$1)</f>
        <v>5.5E-2</v>
      </c>
    </row>
    <row r="27" spans="1:37" ht="18" customHeight="1">
      <c r="A27" s="908" t="s">
        <v>399</v>
      </c>
      <c r="B27" s="288" t="s">
        <v>757</v>
      </c>
      <c r="C27" s="21">
        <f ca="1">ROUND(F21*F26,4)</f>
        <v>1E-3</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2689803</v>
      </c>
      <c r="D29" s="1007"/>
      <c r="E29" s="1005"/>
      <c r="F29" s="1008"/>
      <c r="G29" s="1281"/>
      <c r="H29" s="318" t="s">
        <v>396</v>
      </c>
      <c r="I29" s="319" t="s">
        <v>765</v>
      </c>
      <c r="J29" s="320">
        <f ca="1">ROUND(J26/(1+F40)^F41,0)</f>
        <v>0</v>
      </c>
      <c r="K29" s="321" t="s">
        <v>766</v>
      </c>
      <c r="L29" s="322"/>
      <c r="M29" s="323">
        <f ca="1">INDIRECT("'数据-取费表'!k"&amp;$G$1)</f>
        <v>450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13744</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ROUND(IF(AND(项目基本情况!B11="自然人",项目基本情况!B10="北京市"),C6*F31/(1+'数据-取费表'!C42),C32+C33+C34),0)</f>
        <v>5431</v>
      </c>
      <c r="D31" s="1235" t="s">
        <v>717</v>
      </c>
      <c r="E31" s="1234" t="s">
        <v>767</v>
      </c>
      <c r="F31" s="2116">
        <f ca="1">IF(项目基本情况!B11="企业","——",IF(M47="住宅",IF(F6*F7*F8/12/(1+'数据-取费表'!F30)&gt;100000,4%,2.5%),IF(F6*F7*F8/12/(1+'数据-取费表'!F30)&gt;100000,12%,7%)))</f>
        <v>7.0000000000000007E-2</v>
      </c>
      <c r="G31" s="1270"/>
      <c r="H31" s="2543" t="s">
        <v>2292</v>
      </c>
      <c r="I31" s="1283"/>
      <c r="J31" s="1284"/>
      <c r="K31" s="115"/>
      <c r="L31" s="2446"/>
      <c r="M31" s="2447"/>
    </row>
    <row r="32" spans="1:37" ht="18" customHeight="1">
      <c r="A32" s="908" t="s">
        <v>397</v>
      </c>
      <c r="B32" s="288" t="s">
        <v>720</v>
      </c>
      <c r="C32" s="21">
        <f ca="1">IF(项目基本情况!B11="自然人","——",ROUND(C6*F32/(1+'数据-取费表'!C42),0))</f>
        <v>1728</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IF(项目基本情况!B11="自然人","——",IF(D33="按租金收入计税",ROUND(C6*F33/(1+'数据-取费表'!C42),0),IF(D33="按房产原值计税",ROUND(C29*F33*0.7,0),INDIRECT("'数据-取费表'!Aj"&amp;$G$1))))</f>
        <v>3703</v>
      </c>
      <c r="D33" s="1256" t="s">
        <v>3322</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IF(项目基本情况!B11="自然人","——",ROUND(F34*F35,0))</f>
        <v>0</v>
      </c>
      <c r="D34" s="309" t="s">
        <v>728</v>
      </c>
      <c r="E34" s="288" t="s">
        <v>729</v>
      </c>
      <c r="F34" s="310">
        <f>'数据-取费表'!B52</f>
        <v>1.5</v>
      </c>
      <c r="G34" s="1270"/>
      <c r="H34" s="2445"/>
      <c r="I34" s="1283"/>
      <c r="J34" s="1284"/>
      <c r="K34" s="2450"/>
      <c r="L34" s="2451"/>
      <c r="M34" s="2451"/>
    </row>
    <row r="35" spans="1:18" ht="18" customHeight="1">
      <c r="A35" s="1018"/>
      <c r="B35" s="1016"/>
      <c r="C35" s="26"/>
      <c r="D35" s="312"/>
      <c r="E35" s="288" t="s">
        <v>733</v>
      </c>
      <c r="F35" s="289">
        <f ca="1">INDIRECT("'数据-取费表'!r"&amp;$G$1)</f>
        <v>0</v>
      </c>
      <c r="G35" s="1270"/>
      <c r="H35" s="2445"/>
      <c r="I35" s="1283"/>
      <c r="J35" s="1284"/>
      <c r="K35" s="2449"/>
      <c r="L35" s="2448"/>
      <c r="M35" s="2448"/>
    </row>
    <row r="36" spans="1:18" ht="18" customHeight="1">
      <c r="A36" s="1017" t="s">
        <v>402</v>
      </c>
      <c r="B36" s="288" t="s">
        <v>735</v>
      </c>
      <c r="C36" s="21">
        <f ca="1">ROUND(C29*F36,0)</f>
        <v>5380</v>
      </c>
      <c r="D36" s="1234" t="s">
        <v>768</v>
      </c>
      <c r="E36" s="288" t="s">
        <v>709</v>
      </c>
      <c r="F36" s="313">
        <f ca="1">INDIRECT("'数据-取费表'!Ak"&amp;$G$1)</f>
        <v>2E-3</v>
      </c>
      <c r="G36" s="1270"/>
      <c r="H36" s="2448"/>
      <c r="I36" s="1283"/>
      <c r="J36" s="1284"/>
      <c r="K36" s="2308"/>
      <c r="L36" s="2448"/>
      <c r="M36" s="2448"/>
    </row>
    <row r="37" spans="1:18" ht="18" customHeight="1">
      <c r="A37" s="908" t="s">
        <v>437</v>
      </c>
      <c r="B37" s="288" t="s">
        <v>739</v>
      </c>
      <c r="C37" s="21">
        <f ca="1">ROUND(C13*F37,0)</f>
        <v>2609</v>
      </c>
      <c r="D37" s="1234" t="s">
        <v>740</v>
      </c>
      <c r="E37" s="288" t="s">
        <v>741</v>
      </c>
      <c r="F37" s="314">
        <f ca="1">INDIRECT("'数据-取费表'!Al"&amp;$G$1)</f>
        <v>1E-3</v>
      </c>
      <c r="G37" s="1270"/>
      <c r="H37" s="2448"/>
      <c r="I37" s="1283"/>
      <c r="J37" s="1284"/>
      <c r="K37" s="2308"/>
      <c r="L37" s="2448"/>
      <c r="M37" s="2448"/>
    </row>
    <row r="38" spans="1:18" ht="18" customHeight="1" thickBot="1">
      <c r="A38" s="1004" t="s">
        <v>681</v>
      </c>
      <c r="B38" s="1005" t="s">
        <v>725</v>
      </c>
      <c r="C38" s="1006">
        <f ca="1">ROUND(C5*F38,0)</f>
        <v>324</v>
      </c>
      <c r="D38" s="1007" t="s">
        <v>745</v>
      </c>
      <c r="E38" s="1005" t="s">
        <v>741</v>
      </c>
      <c r="F38" s="1001">
        <f ca="1">INDIRECT("'数据-取费表'!Am"&amp;$G$1)</f>
        <v>0.01</v>
      </c>
      <c r="G38" s="1270"/>
      <c r="H38" s="2448"/>
      <c r="I38" s="1283"/>
      <c r="J38" s="1284"/>
      <c r="K38" s="2446"/>
      <c r="L38" s="2448"/>
      <c r="M38" s="2448"/>
    </row>
    <row r="39" spans="1:18" ht="24.6" customHeight="1" thickTop="1">
      <c r="A39" s="994" t="s">
        <v>394</v>
      </c>
      <c r="B39" s="1009" t="s">
        <v>769</v>
      </c>
      <c r="C39" s="296">
        <f ca="1">C5-C30</f>
        <v>18656</v>
      </c>
      <c r="D39" s="1010" t="s">
        <v>770</v>
      </c>
      <c r="E39" s="1011"/>
      <c r="F39" s="1012"/>
      <c r="G39" s="1270"/>
      <c r="H39" s="2448"/>
      <c r="I39" s="1283"/>
      <c r="J39" s="1284"/>
      <c r="K39" s="2446"/>
      <c r="L39" s="2448"/>
      <c r="M39" s="2448"/>
    </row>
    <row r="40" spans="1:18" ht="18" customHeight="1">
      <c r="A40" s="285" t="s">
        <v>395</v>
      </c>
      <c r="B40" s="286" t="s">
        <v>771</v>
      </c>
      <c r="C40" s="287">
        <f ca="1">ROUND(C39*(1-((1+F42)/(1+F40))^F41)/(F40-F42),0)</f>
        <v>403845</v>
      </c>
      <c r="D40" s="309" t="s">
        <v>755</v>
      </c>
      <c r="E40" s="288" t="s">
        <v>756</v>
      </c>
      <c r="F40" s="298">
        <f ca="1">INDIRECT("'数据-取费表'!I"&amp;$G$1)</f>
        <v>5.5E-2</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42.01</v>
      </c>
      <c r="G41" s="1270"/>
      <c r="H41" s="115"/>
      <c r="I41" s="1283"/>
      <c r="J41" s="1284"/>
      <c r="K41" s="2308"/>
      <c r="L41" s="115"/>
      <c r="M41" s="115"/>
    </row>
    <row r="42" spans="1:18" ht="18" customHeight="1">
      <c r="A42" s="294"/>
      <c r="B42" s="295"/>
      <c r="C42" s="296"/>
      <c r="D42" s="312"/>
      <c r="E42" s="288" t="s">
        <v>763</v>
      </c>
      <c r="F42" s="298">
        <f ca="1">INDIRECT("'数据-取费表'!v"&amp;$G$1)</f>
        <v>0.02</v>
      </c>
      <c r="G42" s="1270"/>
      <c r="H42" s="115"/>
      <c r="I42" s="1283"/>
      <c r="J42" s="1284"/>
      <c r="K42" s="2308"/>
      <c r="L42" s="115"/>
      <c r="M42" s="115"/>
    </row>
    <row r="43" spans="1:18" ht="18" customHeight="1" thickBot="1">
      <c r="A43" s="318" t="s">
        <v>396</v>
      </c>
      <c r="B43" s="319" t="s">
        <v>773</v>
      </c>
      <c r="C43" s="320">
        <f ca="1">ROUND(C40/F43,0)</f>
        <v>897</v>
      </c>
      <c r="D43" s="321" t="s">
        <v>774</v>
      </c>
      <c r="E43" s="322" t="s">
        <v>775</v>
      </c>
      <c r="F43" s="323">
        <f ca="1">INDIRECT("'数据-取费表'!k"&amp;$G$1)</f>
        <v>450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3338</v>
      </c>
      <c r="B45" s="1285"/>
      <c r="C45" s="1354">
        <f ca="1">ROUND((C68-C40)/10000,4)</f>
        <v>-53.377800000000001</v>
      </c>
      <c r="D45" s="3102" t="s">
        <v>3339</v>
      </c>
      <c r="E45" s="1285"/>
      <c r="F45" s="1285"/>
      <c r="O45" s="1288" t="s">
        <v>805</v>
      </c>
      <c r="P45" s="1344"/>
      <c r="Q45" s="1344"/>
      <c r="R45" s="1344"/>
    </row>
    <row r="46" spans="1:18" s="1270" customFormat="1" ht="13.5" thickBot="1">
      <c r="A46" s="1289" t="s">
        <v>806</v>
      </c>
      <c r="C46" s="1290">
        <f ca="1">ROUND(C45,0)</f>
        <v>-53</v>
      </c>
      <c r="D46" s="1291" t="str">
        <f>C2</f>
        <v>万元</v>
      </c>
      <c r="I46" s="1292" t="s">
        <v>807</v>
      </c>
      <c r="J46" s="1293"/>
      <c r="K46" s="1294"/>
      <c r="L46" s="1295">
        <f ca="1">IF(M47="住宅",0,IF(L48&gt;J51,L60,J60))</f>
        <v>51560</v>
      </c>
      <c r="O46" s="1296" t="s">
        <v>808</v>
      </c>
      <c r="P46" s="1297" t="s">
        <v>809</v>
      </c>
      <c r="Q46" s="1298" t="s">
        <v>810</v>
      </c>
      <c r="R46" s="1298" t="s">
        <v>811</v>
      </c>
    </row>
    <row r="47" spans="1:18" s="1270" customFormat="1" ht="13.5" thickBot="1">
      <c r="A47" s="872" t="s">
        <v>684</v>
      </c>
      <c r="B47" s="904" t="s">
        <v>685</v>
      </c>
      <c r="C47" s="904" t="s">
        <v>686</v>
      </c>
      <c r="D47" s="904" t="s">
        <v>687</v>
      </c>
      <c r="E47" s="974" t="s">
        <v>688</v>
      </c>
      <c r="F47" s="975"/>
      <c r="G47" s="671"/>
      <c r="I47" s="1299" t="s">
        <v>812</v>
      </c>
      <c r="J47" s="1300" t="s">
        <v>3421</v>
      </c>
      <c r="K47" s="1301" t="s">
        <v>813</v>
      </c>
      <c r="L47" s="1302">
        <f ca="1">INDIRECT("'数据-取费表'!d"&amp;$G$1)</f>
        <v>50</v>
      </c>
      <c r="M47" s="1266" t="str">
        <f>IF(ISNUMBER(FIND("住宅",C1)),"住宅","非住宅")</f>
        <v>非住宅</v>
      </c>
      <c r="O47" s="1303" t="s">
        <v>403</v>
      </c>
      <c r="P47" s="1304" t="s">
        <v>814</v>
      </c>
      <c r="Q47" s="1305">
        <f ca="1">C40+J29</f>
        <v>403845</v>
      </c>
      <c r="R47" s="1305" t="s">
        <v>815</v>
      </c>
    </row>
    <row r="48" spans="1:18" s="1270" customFormat="1" ht="28.5" thickBot="1">
      <c r="A48" s="1025" t="s">
        <v>438</v>
      </c>
      <c r="B48" s="286" t="s">
        <v>689</v>
      </c>
      <c r="C48" s="1246">
        <f ca="1">C49+C53+C55</f>
        <v>0</v>
      </c>
      <c r="D48" s="1027"/>
      <c r="E48" s="1028"/>
      <c r="F48" s="888"/>
      <c r="G48" s="671"/>
      <c r="H48" s="672"/>
      <c r="I48" s="1306" t="s">
        <v>816</v>
      </c>
      <c r="J48" s="1307" t="s">
        <v>3422</v>
      </c>
      <c r="K48" s="1308" t="s">
        <v>817</v>
      </c>
      <c r="L48" s="1309">
        <f ca="1">INDIRECT("'数据-取费表'!f"&amp;$G$1)</f>
        <v>42.01</v>
      </c>
      <c r="O48" s="1303" t="s">
        <v>404</v>
      </c>
      <c r="P48" s="1304" t="s">
        <v>818</v>
      </c>
      <c r="Q48" s="1305">
        <f ca="1">J60</f>
        <v>51560</v>
      </c>
      <c r="R48" s="1305" t="s">
        <v>819</v>
      </c>
    </row>
    <row r="49" spans="1:18" s="1270" customFormat="1" ht="13.5" thickBot="1">
      <c r="A49" s="901" t="s">
        <v>439</v>
      </c>
      <c r="B49" s="1257" t="s">
        <v>776</v>
      </c>
      <c r="C49" s="1029">
        <f ca="1">ROUND(F49*F51*F50*(1-F52),0)</f>
        <v>0</v>
      </c>
      <c r="D49" s="971" t="s">
        <v>692</v>
      </c>
      <c r="E49" s="1258" t="s">
        <v>777</v>
      </c>
      <c r="F49" s="976"/>
      <c r="H49" s="672"/>
      <c r="I49" s="1306" t="s">
        <v>820</v>
      </c>
      <c r="J49" s="1310">
        <v>2023</v>
      </c>
      <c r="K49" s="1308" t="s">
        <v>821</v>
      </c>
      <c r="L49" s="1311"/>
      <c r="O49" s="1312" t="s">
        <v>405</v>
      </c>
      <c r="P49" s="1304" t="s">
        <v>822</v>
      </c>
      <c r="Q49" s="1305">
        <f ca="1">C29</f>
        <v>2689803</v>
      </c>
      <c r="R49" s="1305" t="s">
        <v>815</v>
      </c>
    </row>
    <row r="50" spans="1:18" s="1270" customFormat="1" ht="13.5" thickBot="1">
      <c r="A50" s="902"/>
      <c r="B50" s="905"/>
      <c r="C50" s="906"/>
      <c r="D50" s="879"/>
      <c r="E50" s="972" t="s">
        <v>694</v>
      </c>
      <c r="F50" s="973">
        <f ca="1">F7</f>
        <v>10</v>
      </c>
      <c r="H50" s="672"/>
      <c r="I50" s="1306" t="s">
        <v>823</v>
      </c>
      <c r="J50" s="1313">
        <f>SUMPRODUCT((I63:I65=J47)*(J62:L62=J48)*(J63:L65))</f>
        <v>60</v>
      </c>
      <c r="K50" s="1308" t="s">
        <v>824</v>
      </c>
      <c r="L50" s="1311"/>
      <c r="M50" s="1314"/>
      <c r="O50" s="1312" t="s">
        <v>406</v>
      </c>
      <c r="P50" s="1304" t="s">
        <v>825</v>
      </c>
      <c r="Q50" s="1315">
        <f ca="1">J58</f>
        <v>0.4</v>
      </c>
      <c r="R50" s="1305"/>
    </row>
    <row r="51" spans="1:18" s="1270" customFormat="1" ht="13.5" thickBot="1">
      <c r="A51" s="903"/>
      <c r="B51" s="905"/>
      <c r="C51" s="906"/>
      <c r="D51" s="879"/>
      <c r="E51" s="907" t="s">
        <v>695</v>
      </c>
      <c r="F51" s="289">
        <f ca="1">F8</f>
        <v>12</v>
      </c>
      <c r="I51" s="1316" t="s">
        <v>826</v>
      </c>
      <c r="J51" s="1309">
        <f>IF(J49="",J50,J49+J50-YEAR('数据-取费表'!B2))</f>
        <v>58</v>
      </c>
      <c r="K51" s="1317" t="s">
        <v>827</v>
      </c>
      <c r="L51" s="1318">
        <f ca="1">ROUND(-PV(INDIRECT("'数据-取费表'!h"&amp;$G$1),J51,(C39-C13*C76),0),0)</f>
        <v>-3086059</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f ca="1">J53</f>
        <v>42.01</v>
      </c>
      <c r="R52" s="1305" t="s">
        <v>832</v>
      </c>
    </row>
    <row r="53" spans="1:18" s="1270" customFormat="1" ht="30.75" customHeight="1" thickBot="1">
      <c r="A53" s="1026" t="s">
        <v>440</v>
      </c>
      <c r="B53" s="308" t="s">
        <v>697</v>
      </c>
      <c r="C53" s="302">
        <f ca="1">ROUND(IF(F53="押一",C49/12*F11,IF(F53="押二",C49/12*2*F11,IF(F53="押三",C49/12*3*F11,C54*F11))),0)</f>
        <v>0</v>
      </c>
      <c r="D53" s="144" t="s">
        <v>2116</v>
      </c>
      <c r="E53" s="299" t="s">
        <v>698</v>
      </c>
      <c r="F53" s="1031"/>
      <c r="I53" s="1322" t="s">
        <v>833</v>
      </c>
      <c r="J53" s="1983">
        <f ca="1">IF(M47="住宅",IF(D1="——",MAX(J51,L48),MAX(J51,L48-'数据-取费表'!B24)),IF(D1="——",MIN(J51,L48),MIN(J51,L48-'数据-取费表'!B24)))</f>
        <v>42.01</v>
      </c>
      <c r="K53" s="3339" t="s">
        <v>834</v>
      </c>
      <c r="L53" s="3340"/>
      <c r="O53" s="1303" t="s">
        <v>409</v>
      </c>
      <c r="P53" s="1304" t="s">
        <v>835</v>
      </c>
      <c r="Q53" s="1305">
        <f ca="1">Q47+Q48</f>
        <v>455405</v>
      </c>
      <c r="R53" s="1305" t="s">
        <v>410</v>
      </c>
    </row>
    <row r="54" spans="1:18" s="1270" customFormat="1" ht="13.5" thickBot="1">
      <c r="A54" s="901"/>
      <c r="B54" s="1355" t="s">
        <v>888</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f ca="1">ROUND(IF(J47="钢混",J57/J50,1-(1-2%)*(J50-J57)/J50),3)</f>
        <v>0.26700000000000002</v>
      </c>
      <c r="K55" s="1328" t="s">
        <v>838</v>
      </c>
      <c r="L55" s="1329"/>
      <c r="O55" s="1296" t="s">
        <v>808</v>
      </c>
      <c r="P55" s="1297" t="s">
        <v>809</v>
      </c>
      <c r="Q55" s="1298" t="s">
        <v>810</v>
      </c>
      <c r="R55" s="1298" t="s">
        <v>811</v>
      </c>
    </row>
    <row r="56" spans="1:18" s="1270" customFormat="1" ht="36" customHeight="1" thickTop="1" thickBot="1">
      <c r="A56" s="883">
        <v>2</v>
      </c>
      <c r="B56" s="884" t="s">
        <v>701</v>
      </c>
      <c r="C56" s="218">
        <f ca="1">C13</f>
        <v>2609109</v>
      </c>
      <c r="D56" s="1330"/>
      <c r="E56" s="1331"/>
      <c r="F56" s="1323"/>
      <c r="I56" s="1332" t="s">
        <v>839</v>
      </c>
      <c r="J56" s="1333" t="s">
        <v>3423</v>
      </c>
      <c r="K56" s="1306" t="s">
        <v>840</v>
      </c>
      <c r="L56" s="1309" t="str">
        <f ca="1">IF(L48&lt;J51,"——",L48-J51)</f>
        <v>——</v>
      </c>
      <c r="O56" s="1303" t="s">
        <v>403</v>
      </c>
      <c r="P56" s="1304" t="s">
        <v>814</v>
      </c>
      <c r="Q56" s="1305">
        <f ca="1">C40+J29</f>
        <v>403845</v>
      </c>
      <c r="R56" s="1305" t="s">
        <v>815</v>
      </c>
    </row>
    <row r="57" spans="1:18" s="1270" customFormat="1" ht="24.75" thickBot="1">
      <c r="A57" s="1334"/>
      <c r="B57" s="876" t="s">
        <v>764</v>
      </c>
      <c r="C57" s="224">
        <f ca="1">C29</f>
        <v>2689803</v>
      </c>
      <c r="D57" s="1335"/>
      <c r="E57" s="1336"/>
      <c r="F57" s="1337"/>
      <c r="I57" s="1338" t="s">
        <v>841</v>
      </c>
      <c r="J57" s="1339">
        <f ca="1">IF(OR(M47="住宅",J51&lt;L48,J56="是"),"——",J51-L48)</f>
        <v>15.990000000000002</v>
      </c>
      <c r="K57" s="1306" t="s">
        <v>889</v>
      </c>
      <c r="L57" s="1309" t="str">
        <f ca="1">IF(L48&lt;J51,"——",IF(L55="比较法",L49,IF(L55="基准地价",L50,L51)))</f>
        <v>——</v>
      </c>
      <c r="O57" s="1303" t="s">
        <v>404</v>
      </c>
      <c r="P57" s="1304" t="s">
        <v>890</v>
      </c>
      <c r="Q57" s="1305">
        <f ca="1">L60</f>
        <v>0</v>
      </c>
      <c r="R57" s="1305" t="s">
        <v>891</v>
      </c>
    </row>
    <row r="58" spans="1:18" s="1270" customFormat="1" ht="24.75" thickBot="1">
      <c r="A58" s="301" t="s">
        <v>393</v>
      </c>
      <c r="B58" s="884" t="s">
        <v>711</v>
      </c>
      <c r="C58" s="302">
        <f ca="1">ROUND(C59+C64+C65+C66,0)</f>
        <v>7989</v>
      </c>
      <c r="D58" s="886" t="s">
        <v>712</v>
      </c>
      <c r="E58" s="887"/>
      <c r="F58" s="888"/>
      <c r="I58" s="1338" t="s">
        <v>845</v>
      </c>
      <c r="J58" s="1340">
        <f ca="1">IF(J55&lt;0.4,0.4,J55)</f>
        <v>0.4</v>
      </c>
      <c r="K58" s="1317" t="s">
        <v>892</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0</v>
      </c>
      <c r="D59" s="889" t="s">
        <v>717</v>
      </c>
      <c r="E59" s="890" t="s">
        <v>718</v>
      </c>
      <c r="F59" s="2116">
        <f ca="1">IF(项目基本情况!B11="企业","——",IF('数据-取费表'!B10="住宅",IF(F49*F50*F51/12/(1+'数据-取费表'!F30)&gt;100000,4%,2.5%),IF(F49*F50*F51/12/(1+'数据-取费表'!F30)&gt;100000,12%,7%)))</f>
        <v>7.0000000000000007E-2</v>
      </c>
      <c r="I59" s="1338" t="s">
        <v>848</v>
      </c>
      <c r="J59" s="1339">
        <f ca="1">IF(OR(M47="住宅",J51&lt;L48,J56="是"),"——",ROUND(C29*J58,0))</f>
        <v>1075921</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IF(项目基本情况!B11="自然人","——",ROUND(C48*F60/(1+'数据-取费表'!C42),0))</f>
        <v>0</v>
      </c>
      <c r="D60" s="890" t="s">
        <v>721</v>
      </c>
      <c r="E60" s="876" t="s">
        <v>709</v>
      </c>
      <c r="F60" s="315">
        <f t="shared" ref="F60:F66" si="0">F32</f>
        <v>5.6000000000000001E-2</v>
      </c>
      <c r="I60" s="1341" t="s">
        <v>850</v>
      </c>
      <c r="J60" s="1342">
        <f ca="1">IF(OR(M47="住宅",J51&lt;L48,J56="是"),"0",ROUND(J59/(1+J52)^J53,0))</f>
        <v>51560</v>
      </c>
      <c r="K60" s="1343" t="s">
        <v>851</v>
      </c>
      <c r="L60" s="1342">
        <f ca="1">IF(OR(M47="住宅",L48&lt;J51),0,ROUND(L57*(L58/L59-1),0))</f>
        <v>0</v>
      </c>
      <c r="O60" s="1312" t="s">
        <v>407</v>
      </c>
      <c r="P60" s="1304" t="s">
        <v>852</v>
      </c>
      <c r="Q60" s="1305" t="e">
        <f ca="1">L58</f>
        <v>#DIV/0!</v>
      </c>
      <c r="R60" s="1305" t="s">
        <v>853</v>
      </c>
    </row>
    <row r="61" spans="1:18" s="1270" customFormat="1" ht="13.5" thickBot="1">
      <c r="A61" s="908" t="s">
        <v>778</v>
      </c>
      <c r="B61" s="876" t="s">
        <v>779</v>
      </c>
      <c r="C61" s="21">
        <f ca="1">IF(项目基本情况!B11="自然人","——",IF(D61="按租金收入计税",ROUND(C49*F61/(1+'数据-取费表'!C42),0),IF(D61="按房产原值计税",ROUND(C57*F61*0.7,0),INDIRECT("'数据-取费表'!Aj"&amp;$G$1))))</f>
        <v>0</v>
      </c>
      <c r="D61" s="1256" t="s">
        <v>3322</v>
      </c>
      <c r="E61" s="876" t="s">
        <v>780</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782</v>
      </c>
      <c r="C62" s="22">
        <f ca="1">IF(项目基本情况!B11="自然人","——",ROUND(F62*F63,0))</f>
        <v>0</v>
      </c>
      <c r="D62" s="891" t="s">
        <v>783</v>
      </c>
      <c r="E62" s="876" t="s">
        <v>784</v>
      </c>
      <c r="F62" s="310">
        <f t="shared" si="0"/>
        <v>1.5</v>
      </c>
      <c r="I62" s="1345" t="s">
        <v>855</v>
      </c>
      <c r="J62" s="603" t="s">
        <v>856</v>
      </c>
      <c r="K62" s="603" t="s">
        <v>857</v>
      </c>
      <c r="L62" s="603" t="s">
        <v>858</v>
      </c>
      <c r="M62" s="1346" t="s">
        <v>859</v>
      </c>
      <c r="O62" s="1303" t="s">
        <v>409</v>
      </c>
      <c r="P62" s="1304" t="s">
        <v>860</v>
      </c>
      <c r="Q62" s="1305">
        <f ca="1">Q56+Q57</f>
        <v>403845</v>
      </c>
      <c r="R62" s="1305" t="s">
        <v>410</v>
      </c>
    </row>
    <row r="63" spans="1:18" s="1270" customFormat="1" ht="13.5" thickBot="1">
      <c r="A63" s="311"/>
      <c r="B63" s="882"/>
      <c r="C63" s="26"/>
      <c r="D63" s="892"/>
      <c r="E63" s="876" t="s">
        <v>785</v>
      </c>
      <c r="F63" s="289">
        <f t="shared" ca="1" si="0"/>
        <v>0</v>
      </c>
      <c r="I63" s="1345" t="s">
        <v>861</v>
      </c>
      <c r="J63" s="603">
        <v>70</v>
      </c>
      <c r="K63" s="603">
        <v>50</v>
      </c>
      <c r="L63" s="603">
        <v>80</v>
      </c>
      <c r="M63" s="1347">
        <v>0.02</v>
      </c>
      <c r="O63" s="1288" t="s">
        <v>862</v>
      </c>
      <c r="P63" s="1267"/>
      <c r="Q63" s="1267"/>
      <c r="R63" s="1267"/>
    </row>
    <row r="64" spans="1:18" s="1270" customFormat="1" ht="13.5" thickBot="1">
      <c r="A64" s="908" t="s">
        <v>786</v>
      </c>
      <c r="B64" s="876" t="s">
        <v>787</v>
      </c>
      <c r="C64" s="21">
        <f ca="1">ROUND(C57*F64,0)</f>
        <v>5380</v>
      </c>
      <c r="D64" s="890" t="s">
        <v>788</v>
      </c>
      <c r="E64" s="876" t="s">
        <v>780</v>
      </c>
      <c r="F64" s="313">
        <f t="shared" ca="1" si="0"/>
        <v>2E-3</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ROUND(C56*F65,0)</f>
        <v>2609</v>
      </c>
      <c r="D65" s="890" t="s">
        <v>740</v>
      </c>
      <c r="E65" s="876" t="s">
        <v>741</v>
      </c>
      <c r="F65" s="314">
        <f t="shared" ca="1" si="0"/>
        <v>1E-3</v>
      </c>
      <c r="I65" s="1345" t="s">
        <v>864</v>
      </c>
      <c r="J65" s="603">
        <v>40</v>
      </c>
      <c r="K65" s="603">
        <v>30</v>
      </c>
      <c r="L65" s="603">
        <v>50</v>
      </c>
      <c r="M65" s="1347">
        <v>0.02</v>
      </c>
      <c r="O65" s="1303" t="s">
        <v>403</v>
      </c>
      <c r="P65" s="1304" t="s">
        <v>865</v>
      </c>
      <c r="Q65" s="1305">
        <f ca="1">C40+J29</f>
        <v>403845</v>
      </c>
      <c r="R65" s="1305" t="s">
        <v>815</v>
      </c>
    </row>
    <row r="66" spans="1:18" s="1270" customFormat="1" ht="16.5" thickBot="1">
      <c r="A66" s="908" t="s">
        <v>790</v>
      </c>
      <c r="B66" s="876" t="s">
        <v>725</v>
      </c>
      <c r="C66" s="21">
        <f ca="1">ROUND(C48*F66,0)</f>
        <v>0</v>
      </c>
      <c r="D66" s="890" t="s">
        <v>791</v>
      </c>
      <c r="E66" s="876" t="s">
        <v>709</v>
      </c>
      <c r="F66" s="298">
        <f t="shared" ca="1" si="0"/>
        <v>0.01</v>
      </c>
      <c r="O66" s="1303" t="s">
        <v>404</v>
      </c>
      <c r="P66" s="1304" t="s">
        <v>843</v>
      </c>
      <c r="Q66" s="1305">
        <f ca="1">L60</f>
        <v>0</v>
      </c>
      <c r="R66" s="1305" t="s">
        <v>866</v>
      </c>
    </row>
    <row r="67" spans="1:18" s="1270" customFormat="1" ht="16.5" thickBot="1">
      <c r="A67" s="883" t="s">
        <v>394</v>
      </c>
      <c r="B67" s="893" t="s">
        <v>749</v>
      </c>
      <c r="C67" s="302">
        <f ca="1">C48-C58</f>
        <v>-7989</v>
      </c>
      <c r="D67" s="889" t="s">
        <v>750</v>
      </c>
      <c r="E67" s="894"/>
      <c r="F67" s="895"/>
      <c r="O67" s="1312" t="s">
        <v>405</v>
      </c>
      <c r="P67" s="1304" t="s">
        <v>847</v>
      </c>
      <c r="Q67" s="1348">
        <f ca="1">L51</f>
        <v>-3086059</v>
      </c>
      <c r="R67" s="1305" t="s">
        <v>867</v>
      </c>
    </row>
    <row r="68" spans="1:18" s="1270" customFormat="1" ht="16.5" thickBot="1">
      <c r="A68" s="873" t="s">
        <v>395</v>
      </c>
      <c r="B68" s="874" t="s">
        <v>771</v>
      </c>
      <c r="C68" s="287">
        <f ca="1">ROUND(C67*(1-((1+F70)/(1+F68))^F69)/(F68-F70),0)</f>
        <v>-129933</v>
      </c>
      <c r="D68" s="891" t="s">
        <v>755</v>
      </c>
      <c r="E68" s="876" t="s">
        <v>756</v>
      </c>
      <c r="F68" s="298">
        <f ca="1">F40</f>
        <v>5.5E-2</v>
      </c>
      <c r="O68" s="1312" t="s">
        <v>406</v>
      </c>
      <c r="P68" s="1349" t="s">
        <v>868</v>
      </c>
      <c r="Q68" s="1305">
        <f ca="1">ROUND(Q69-Q70*Q71,0)</f>
        <v>-163982</v>
      </c>
      <c r="R68" s="1305" t="s">
        <v>414</v>
      </c>
    </row>
    <row r="69" spans="1:18" s="1270" customFormat="1" ht="13.5" thickBot="1">
      <c r="A69" s="877"/>
      <c r="B69" s="878"/>
      <c r="C69" s="292"/>
      <c r="D69" s="896" t="s">
        <v>759</v>
      </c>
      <c r="E69" s="876" t="s">
        <v>760</v>
      </c>
      <c r="F69" s="317">
        <f ca="1">F41</f>
        <v>42.01</v>
      </c>
      <c r="O69" s="1312" t="s">
        <v>411</v>
      </c>
      <c r="P69" s="1349" t="s">
        <v>869</v>
      </c>
      <c r="Q69" s="1305">
        <f ca="1">C39</f>
        <v>18656</v>
      </c>
      <c r="R69" s="1305" t="s">
        <v>815</v>
      </c>
    </row>
    <row r="70" spans="1:18" s="1270" customFormat="1" ht="13.5" thickBot="1">
      <c r="A70" s="880"/>
      <c r="B70" s="881"/>
      <c r="C70" s="296"/>
      <c r="D70" s="892"/>
      <c r="E70" s="876" t="s">
        <v>763</v>
      </c>
      <c r="F70" s="970"/>
      <c r="O70" s="1312" t="s">
        <v>412</v>
      </c>
      <c r="P70" s="1349" t="s">
        <v>870</v>
      </c>
      <c r="Q70" s="1305">
        <f ca="1">C13</f>
        <v>2609109</v>
      </c>
      <c r="R70" s="1305" t="s">
        <v>815</v>
      </c>
    </row>
    <row r="71" spans="1:18" s="1270" customFormat="1" ht="13.5" thickBot="1">
      <c r="A71" s="897" t="s">
        <v>396</v>
      </c>
      <c r="B71" s="898" t="s">
        <v>773</v>
      </c>
      <c r="C71" s="320">
        <f ca="1">ROUND(C68/F71,0)</f>
        <v>-289</v>
      </c>
      <c r="D71" s="899" t="s">
        <v>774</v>
      </c>
      <c r="E71" s="900" t="s">
        <v>775</v>
      </c>
      <c r="F71" s="323">
        <f ca="1">F43</f>
        <v>450</v>
      </c>
      <c r="O71" s="1312" t="s">
        <v>413</v>
      </c>
      <c r="P71" s="1349" t="s">
        <v>871</v>
      </c>
      <c r="Q71" s="1315">
        <f ca="1">C76</f>
        <v>7.0000000000000007E-2</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182638</v>
      </c>
      <c r="D75" s="1270"/>
      <c r="E75" s="1270"/>
      <c r="F75" s="1270"/>
      <c r="K75" s="1287"/>
      <c r="L75" s="1270"/>
      <c r="O75" s="1303" t="s">
        <v>409</v>
      </c>
      <c r="P75" s="1304" t="s">
        <v>835</v>
      </c>
      <c r="Q75" s="1305">
        <f ca="1">Q65+Q66</f>
        <v>403845</v>
      </c>
      <c r="R75" s="1305" t="s">
        <v>410</v>
      </c>
    </row>
    <row r="76" spans="1:18">
      <c r="B76" s="326" t="s">
        <v>793</v>
      </c>
      <c r="C76" s="327">
        <f ca="1">INDIRECT("'数据-取费表'!j"&amp;$G$1)</f>
        <v>7.0000000000000007E-2</v>
      </c>
      <c r="I76" s="1270"/>
      <c r="J76" s="1270"/>
      <c r="K76" s="1287"/>
      <c r="L76" s="1270"/>
    </row>
    <row r="77" spans="1:18">
      <c r="B77" s="328" t="s">
        <v>794</v>
      </c>
      <c r="C77" s="329"/>
      <c r="I77" s="1270"/>
      <c r="J77" s="1270"/>
      <c r="K77" s="1287"/>
      <c r="L77" s="1270"/>
    </row>
    <row r="78" spans="1:18">
      <c r="B78" s="256" t="s">
        <v>795</v>
      </c>
      <c r="C78" s="330"/>
    </row>
    <row r="79" spans="1:18">
      <c r="B79" s="324" t="s">
        <v>796</v>
      </c>
      <c r="C79" s="260">
        <f ca="1">1-C80</f>
        <v>-8.7899999999999991</v>
      </c>
    </row>
    <row r="80" spans="1:18">
      <c r="B80" s="324" t="s">
        <v>797</v>
      </c>
      <c r="C80" s="260">
        <f ca="1">ROUND(C75/C39,3)</f>
        <v>9.7899999999999991</v>
      </c>
    </row>
    <row r="81" spans="2:3">
      <c r="B81" s="256" t="s">
        <v>798</v>
      </c>
      <c r="C81" s="224"/>
    </row>
    <row r="82" spans="2:3">
      <c r="B82" s="259" t="s">
        <v>799</v>
      </c>
      <c r="C82" s="261">
        <f ca="1">1-C83</f>
        <v>-5.4610000000000003</v>
      </c>
    </row>
    <row r="83" spans="2:3">
      <c r="B83" s="259" t="s">
        <v>800</v>
      </c>
      <c r="C83" s="260">
        <f ca="1">ROUND(C13/C40,3)</f>
        <v>6.4610000000000003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68" priority="3">
      <formula>$F$10="自定义"</formula>
    </cfRule>
  </conditionalFormatting>
  <conditionalFormatting sqref="C54">
    <cfRule type="expression" dxfId="67" priority="1">
      <formula>$F$53="自定义"</formula>
    </cfRule>
  </conditionalFormatting>
  <conditionalFormatting sqref="I55 I60">
    <cfRule type="expression" dxfId="66" priority="5">
      <formula>$J$51&gt;$L$48</formula>
    </cfRule>
  </conditionalFormatting>
  <conditionalFormatting sqref="J11">
    <cfRule type="expression" dxfId="65" priority="2">
      <formula>$M$10="自定义"</formula>
    </cfRule>
  </conditionalFormatting>
  <conditionalFormatting sqref="K55 K60">
    <cfRule type="expression" dxfId="6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1823</v>
      </c>
      <c r="C1" s="1119" t="s">
        <v>1659</v>
      </c>
      <c r="D1" s="1120"/>
      <c r="E1" s="3103"/>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1461</v>
      </c>
      <c r="B3" s="529">
        <f>IF(C2="——",C43,ROUND(B2*10000/D3,0))</f>
        <v>0</v>
      </c>
      <c r="C3" s="337" t="s">
        <v>1765</v>
      </c>
      <c r="D3" s="336">
        <f>IF(D1="",'数据-汇总表'!E3,SUMIF('数据-汇总表'!$C19:$C33,D1,'数据-汇总表'!$E19:$E33))</f>
        <v>3532.0600000000004</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1766</v>
      </c>
      <c r="B4" s="339"/>
      <c r="C4" s="3383" t="s">
        <v>1767</v>
      </c>
      <c r="D4" s="3384"/>
      <c r="E4" s="3385" t="s">
        <v>1768</v>
      </c>
      <c r="F4" s="3386"/>
      <c r="G4" s="3383" t="s">
        <v>1769</v>
      </c>
      <c r="H4" s="3384"/>
      <c r="I4" s="3383" t="s">
        <v>1770</v>
      </c>
      <c r="J4" s="3384"/>
      <c r="K4" s="530" t="s">
        <v>1771</v>
      </c>
      <c r="L4" s="840"/>
      <c r="M4" s="841"/>
      <c r="N4" s="841"/>
      <c r="O4" s="841"/>
      <c r="P4" s="3387" t="s">
        <v>1772</v>
      </c>
      <c r="Q4" s="3388"/>
      <c r="R4" s="3393" t="s">
        <v>1768</v>
      </c>
      <c r="S4" s="3394"/>
      <c r="T4" s="3393" t="s">
        <v>1769</v>
      </c>
      <c r="U4" s="3394"/>
      <c r="V4" s="3369" t="s">
        <v>1770</v>
      </c>
      <c r="W4" s="3369"/>
      <c r="X4" s="1243"/>
      <c r="Y4" s="3393" t="s">
        <v>1772</v>
      </c>
      <c r="Z4" s="3394"/>
      <c r="AA4" s="3380" t="s">
        <v>1768</v>
      </c>
      <c r="AB4" s="3381" t="s">
        <v>1769</v>
      </c>
      <c r="AC4" s="3380" t="s">
        <v>1770</v>
      </c>
    </row>
    <row r="5" spans="1:29" ht="15">
      <c r="A5" s="341"/>
      <c r="B5" s="342"/>
      <c r="C5" s="3401" t="s">
        <v>1670</v>
      </c>
      <c r="D5" s="3402"/>
      <c r="E5" s="3408" t="s">
        <v>1671</v>
      </c>
      <c r="F5" s="3409"/>
      <c r="G5" s="3401" t="s">
        <v>1672</v>
      </c>
      <c r="H5" s="3402"/>
      <c r="I5" s="3401" t="s">
        <v>1673</v>
      </c>
      <c r="J5" s="3402"/>
      <c r="K5" s="530"/>
      <c r="L5" s="840"/>
      <c r="M5" s="841"/>
      <c r="N5" s="841"/>
      <c r="O5" s="841"/>
      <c r="P5" s="3389"/>
      <c r="Q5" s="3390"/>
      <c r="R5" s="3395"/>
      <c r="S5" s="3396"/>
      <c r="T5" s="3395"/>
      <c r="U5" s="3396"/>
      <c r="V5" s="3369"/>
      <c r="W5" s="3369"/>
      <c r="X5" s="1243"/>
      <c r="Y5" s="3395"/>
      <c r="Z5" s="3396"/>
      <c r="AA5" s="3381"/>
      <c r="AB5" s="3381"/>
      <c r="AC5" s="3381"/>
    </row>
    <row r="6" spans="1:29" ht="15.75" thickBot="1">
      <c r="A6" s="343"/>
      <c r="B6" s="344"/>
      <c r="C6" s="3399" t="s">
        <v>1674</v>
      </c>
      <c r="D6" s="3400"/>
      <c r="E6" s="3406" t="s">
        <v>1674</v>
      </c>
      <c r="F6" s="3407"/>
      <c r="G6" s="3399" t="s">
        <v>1674</v>
      </c>
      <c r="H6" s="3400"/>
      <c r="I6" s="3399" t="s">
        <v>1674</v>
      </c>
      <c r="J6" s="3400"/>
      <c r="K6" s="530" t="s">
        <v>1675</v>
      </c>
      <c r="L6" s="840"/>
      <c r="M6" s="841"/>
      <c r="N6" s="841"/>
      <c r="O6" s="841"/>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c r="F7" s="350">
        <f>SUMIF(52:52,YEAR(E7)&amp;"-"&amp;MONTH(E7),53:53)</f>
        <v>0</v>
      </c>
      <c r="G7" s="349"/>
      <c r="H7" s="348">
        <f>SUMIF(52:52,YEAR(G7)&amp;"-"&amp;MONTH(G7),53:53)</f>
        <v>0</v>
      </c>
      <c r="I7" s="349"/>
      <c r="J7" s="348">
        <f>SUMIF(52:52,YEAR(I7)&amp;"-"&amp;MONTH(I7),53:53)</f>
        <v>0</v>
      </c>
      <c r="K7" s="38"/>
      <c r="L7" s="842"/>
      <c r="M7" s="843"/>
      <c r="N7" s="843"/>
      <c r="O7" s="843"/>
      <c r="P7" s="3403" t="s">
        <v>1677</v>
      </c>
      <c r="Q7" s="3405"/>
      <c r="R7" s="654" t="s">
        <v>14</v>
      </c>
      <c r="S7" s="655">
        <f t="shared" ref="S7:S15" si="0">F7</f>
        <v>0</v>
      </c>
      <c r="T7" s="654" t="s">
        <v>14</v>
      </c>
      <c r="U7" s="655">
        <f t="shared" ref="U7:U15" si="1">H7</f>
        <v>0</v>
      </c>
      <c r="V7" s="654" t="s">
        <v>14</v>
      </c>
      <c r="W7" s="655">
        <f t="shared" ref="W7:W15" si="2">J7</f>
        <v>0</v>
      </c>
      <c r="X7" s="656"/>
      <c r="Y7" s="3403" t="s">
        <v>1677</v>
      </c>
      <c r="Z7" s="3404"/>
      <c r="AA7" s="50" t="e">
        <f>D7/F7</f>
        <v>#DIV/0!</v>
      </c>
      <c r="AB7" s="50" t="e">
        <f>D7/H7</f>
        <v>#DIV/0!</v>
      </c>
      <c r="AC7" s="50" t="e">
        <f>D7/J7</f>
        <v>#DIV/0!</v>
      </c>
    </row>
    <row r="8" spans="1:29" s="101" customFormat="1" ht="15.75" thickBot="1">
      <c r="A8" s="345" t="s">
        <v>1678</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03" t="s">
        <v>1680</v>
      </c>
      <c r="Q8" s="3404"/>
      <c r="R8" s="654" t="s">
        <v>14</v>
      </c>
      <c r="S8" s="655">
        <f t="shared" si="0"/>
        <v>100</v>
      </c>
      <c r="T8" s="654" t="s">
        <v>14</v>
      </c>
      <c r="U8" s="655">
        <f t="shared" si="1"/>
        <v>100</v>
      </c>
      <c r="V8" s="654" t="s">
        <v>14</v>
      </c>
      <c r="W8" s="655">
        <f t="shared" si="2"/>
        <v>100</v>
      </c>
      <c r="X8" s="656"/>
      <c r="Y8" s="3403" t="s">
        <v>1680</v>
      </c>
      <c r="Z8" s="3404"/>
      <c r="AA8" s="50">
        <f t="shared" ref="AA8:AA40" si="3">D8/F8</f>
        <v>1</v>
      </c>
      <c r="AB8" s="50">
        <f t="shared" ref="AB8:AB40" si="4">D8/H8</f>
        <v>1</v>
      </c>
      <c r="AC8" s="50">
        <f t="shared" ref="AC8:AC40" si="5">D8/J8</f>
        <v>1</v>
      </c>
    </row>
    <row r="9" spans="1:29" s="101" customFormat="1">
      <c r="A9" s="352" t="s">
        <v>1681</v>
      </c>
      <c r="B9" s="60" t="s">
        <v>1682</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68"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50">
        <f t="shared" si="5"/>
        <v>1</v>
      </c>
    </row>
    <row r="10" spans="1:29" s="359" customFormat="1" ht="27">
      <c r="A10" s="356"/>
      <c r="B10" s="357" t="s">
        <v>1685</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68"/>
      <c r="Q10" s="523" t="str">
        <f t="shared" si="6"/>
        <v>土地使用年限（年）</v>
      </c>
      <c r="R10" s="654" t="s">
        <v>14</v>
      </c>
      <c r="S10" s="655">
        <f t="shared" si="0"/>
        <v>100</v>
      </c>
      <c r="T10" s="654" t="s">
        <v>14</v>
      </c>
      <c r="U10" s="655">
        <f t="shared" si="1"/>
        <v>100</v>
      </c>
      <c r="V10" s="654" t="s">
        <v>14</v>
      </c>
      <c r="W10" s="655">
        <f t="shared" si="2"/>
        <v>100</v>
      </c>
      <c r="X10" s="656"/>
      <c r="Y10" s="3243"/>
      <c r="Z10" s="50" t="str">
        <f t="shared" si="7"/>
        <v>土地使用年限（年）</v>
      </c>
      <c r="AA10" s="50">
        <f t="shared" si="3"/>
        <v>1</v>
      </c>
      <c r="AB10" s="50">
        <f t="shared" si="4"/>
        <v>1</v>
      </c>
      <c r="AC10" s="50">
        <f t="shared" si="5"/>
        <v>1</v>
      </c>
    </row>
    <row r="11" spans="1:29" ht="15">
      <c r="A11" s="360"/>
      <c r="B11" s="357" t="s">
        <v>1686</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68"/>
      <c r="Q11" s="523" t="str">
        <f t="shared" si="6"/>
        <v>容积率</v>
      </c>
      <c r="R11" s="654" t="s">
        <v>14</v>
      </c>
      <c r="S11" s="655">
        <f t="shared" si="0"/>
        <v>100</v>
      </c>
      <c r="T11" s="654" t="s">
        <v>14</v>
      </c>
      <c r="U11" s="655">
        <f t="shared" si="1"/>
        <v>100</v>
      </c>
      <c r="V11" s="654" t="s">
        <v>14</v>
      </c>
      <c r="W11" s="655">
        <f t="shared" si="2"/>
        <v>100</v>
      </c>
      <c r="X11" s="656"/>
      <c r="Y11" s="3243"/>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68"/>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68"/>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68"/>
      <c r="Q14" s="523">
        <f t="shared" si="6"/>
        <v>111</v>
      </c>
      <c r="R14" s="654" t="s">
        <v>14</v>
      </c>
      <c r="S14" s="655">
        <f t="shared" si="0"/>
        <v>100</v>
      </c>
      <c r="T14" s="654" t="s">
        <v>14</v>
      </c>
      <c r="U14" s="655">
        <f t="shared" si="1"/>
        <v>100</v>
      </c>
      <c r="V14" s="654" t="s">
        <v>14</v>
      </c>
      <c r="W14" s="655">
        <f t="shared" si="2"/>
        <v>100</v>
      </c>
      <c r="X14" s="656"/>
      <c r="Y14" s="3243"/>
      <c r="Z14" s="50">
        <f t="shared" si="7"/>
        <v>111</v>
      </c>
      <c r="AA14" s="50">
        <f t="shared" si="3"/>
        <v>1</v>
      </c>
      <c r="AB14" s="50">
        <f t="shared" si="4"/>
        <v>1</v>
      </c>
      <c r="AC14" s="50">
        <f t="shared" si="5"/>
        <v>1</v>
      </c>
    </row>
    <row r="15" spans="1:29" ht="15">
      <c r="A15" s="372" t="s">
        <v>1687</v>
      </c>
      <c r="B15" s="58" t="s">
        <v>1824</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70" t="s">
        <v>1688</v>
      </c>
      <c r="Q15" s="1241" t="str">
        <f t="shared" si="6"/>
        <v>产业集聚程度</v>
      </c>
      <c r="R15" s="657" t="s">
        <v>14</v>
      </c>
      <c r="S15" s="658">
        <f t="shared" si="0"/>
        <v>100</v>
      </c>
      <c r="T15" s="657" t="s">
        <v>14</v>
      </c>
      <c r="U15" s="658">
        <f t="shared" si="1"/>
        <v>100</v>
      </c>
      <c r="V15" s="657" t="s">
        <v>14</v>
      </c>
      <c r="W15" s="658">
        <f t="shared" si="2"/>
        <v>100</v>
      </c>
      <c r="X15" s="1243"/>
      <c r="Y15" s="3370" t="s">
        <v>1688</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71"/>
      <c r="Q16" s="1241"/>
      <c r="R16" s="657"/>
      <c r="S16" s="658"/>
      <c r="T16" s="657"/>
      <c r="U16" s="658"/>
      <c r="V16" s="657"/>
      <c r="W16" s="658"/>
      <c r="X16" s="1243"/>
      <c r="Y16" s="3371"/>
      <c r="Z16" s="1242"/>
      <c r="AA16" s="1242">
        <v>1</v>
      </c>
      <c r="AB16" s="1242">
        <v>1</v>
      </c>
      <c r="AC16" s="1242">
        <v>1</v>
      </c>
    </row>
    <row r="17" spans="1:29" ht="15">
      <c r="A17" s="360"/>
      <c r="B17" s="383" t="s">
        <v>1256</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71"/>
      <c r="Q17" s="1241" t="str">
        <f>B17</f>
        <v>交通便捷度</v>
      </c>
      <c r="R17" s="657" t="s">
        <v>14</v>
      </c>
      <c r="S17" s="658">
        <f>F17</f>
        <v>100</v>
      </c>
      <c r="T17" s="657" t="s">
        <v>14</v>
      </c>
      <c r="U17" s="658">
        <f>H17</f>
        <v>100</v>
      </c>
      <c r="V17" s="657" t="s">
        <v>14</v>
      </c>
      <c r="W17" s="658">
        <f>J17</f>
        <v>100</v>
      </c>
      <c r="X17" s="1243"/>
      <c r="Y17" s="3371"/>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71"/>
      <c r="Q18" s="1241"/>
      <c r="R18" s="657"/>
      <c r="S18" s="658"/>
      <c r="T18" s="657"/>
      <c r="U18" s="658"/>
      <c r="V18" s="657"/>
      <c r="W18" s="658"/>
      <c r="X18" s="1243"/>
      <c r="Y18" s="3371"/>
      <c r="Z18" s="1242"/>
      <c r="AA18" s="1242">
        <v>1</v>
      </c>
      <c r="AB18" s="1242">
        <v>1</v>
      </c>
      <c r="AC18" s="1242">
        <v>1</v>
      </c>
    </row>
    <row r="19" spans="1:29" ht="15">
      <c r="A19" s="360"/>
      <c r="B19" s="383" t="s">
        <v>1809</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71"/>
      <c r="Q19" s="1241" t="str">
        <f>B19</f>
        <v>公共配套设施</v>
      </c>
      <c r="R19" s="657" t="s">
        <v>14</v>
      </c>
      <c r="S19" s="658">
        <f>F19</f>
        <v>100</v>
      </c>
      <c r="T19" s="657" t="s">
        <v>14</v>
      </c>
      <c r="U19" s="658">
        <f>H19</f>
        <v>100</v>
      </c>
      <c r="V19" s="657" t="s">
        <v>14</v>
      </c>
      <c r="W19" s="658">
        <f>J19</f>
        <v>100</v>
      </c>
      <c r="X19" s="1243"/>
      <c r="Y19" s="3371"/>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71"/>
      <c r="Q20" s="1241"/>
      <c r="R20" s="657"/>
      <c r="S20" s="658"/>
      <c r="T20" s="657"/>
      <c r="U20" s="658"/>
      <c r="V20" s="657"/>
      <c r="W20" s="658"/>
      <c r="X20" s="1243"/>
      <c r="Y20" s="3371"/>
      <c r="Z20" s="1242"/>
      <c r="AA20" s="1242">
        <v>1</v>
      </c>
      <c r="AB20" s="1242">
        <v>1</v>
      </c>
      <c r="AC20" s="1242">
        <v>1</v>
      </c>
    </row>
    <row r="21" spans="1:29" ht="15">
      <c r="A21" s="360"/>
      <c r="B21" s="579" t="s">
        <v>1810</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71"/>
      <c r="Q21" s="1241" t="str">
        <f>B21</f>
        <v>基础设施水平</v>
      </c>
      <c r="R21" s="657" t="s">
        <v>14</v>
      </c>
      <c r="S21" s="658">
        <f>F21</f>
        <v>100</v>
      </c>
      <c r="T21" s="657" t="s">
        <v>14</v>
      </c>
      <c r="U21" s="658">
        <f>H21</f>
        <v>100</v>
      </c>
      <c r="V21" s="657" t="s">
        <v>14</v>
      </c>
      <c r="W21" s="658">
        <f>J21</f>
        <v>100</v>
      </c>
      <c r="X21" s="1243"/>
      <c r="Y21" s="3371"/>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71"/>
      <c r="Q22" s="1241"/>
      <c r="R22" s="657"/>
      <c r="S22" s="658"/>
      <c r="T22" s="657"/>
      <c r="U22" s="658"/>
      <c r="V22" s="657"/>
      <c r="W22" s="658"/>
      <c r="X22" s="1243"/>
      <c r="Y22" s="3371"/>
      <c r="Z22" s="1242"/>
      <c r="AA22" s="1242">
        <v>1</v>
      </c>
      <c r="AB22" s="1242">
        <v>1</v>
      </c>
      <c r="AC22" s="1242">
        <v>1</v>
      </c>
    </row>
    <row r="23" spans="1:29" ht="15">
      <c r="A23" s="360"/>
      <c r="B23" s="383" t="s">
        <v>1811</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71"/>
      <c r="Q23" s="1241" t="str">
        <f>B23</f>
        <v>环境质量</v>
      </c>
      <c r="R23" s="657" t="s">
        <v>14</v>
      </c>
      <c r="S23" s="658">
        <f>F23</f>
        <v>100</v>
      </c>
      <c r="T23" s="657" t="s">
        <v>14</v>
      </c>
      <c r="U23" s="658">
        <f>H23</f>
        <v>100</v>
      </c>
      <c r="V23" s="657" t="s">
        <v>14</v>
      </c>
      <c r="W23" s="658">
        <f>J23</f>
        <v>100</v>
      </c>
      <c r="X23" s="1243"/>
      <c r="Y23" s="3371"/>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71"/>
      <c r="Q24" s="1241"/>
      <c r="R24" s="657"/>
      <c r="S24" s="658"/>
      <c r="T24" s="657"/>
      <c r="U24" s="658"/>
      <c r="V24" s="657"/>
      <c r="W24" s="658"/>
      <c r="X24" s="1243"/>
      <c r="Y24" s="3371"/>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71"/>
      <c r="Q25" s="1241">
        <f>B25</f>
        <v>111</v>
      </c>
      <c r="R25" s="657" t="s">
        <v>14</v>
      </c>
      <c r="S25" s="658">
        <f>F25</f>
        <v>100</v>
      </c>
      <c r="T25" s="657" t="s">
        <v>14</v>
      </c>
      <c r="U25" s="658">
        <f>H25</f>
        <v>100</v>
      </c>
      <c r="V25" s="657" t="s">
        <v>14</v>
      </c>
      <c r="W25" s="658">
        <f>J25</f>
        <v>100</v>
      </c>
      <c r="X25" s="1243"/>
      <c r="Y25" s="3371"/>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71"/>
      <c r="Q26" s="1241">
        <f t="shared" ref="Q26:Q40" si="11">B26</f>
        <v>111</v>
      </c>
      <c r="R26" s="657" t="s">
        <v>14</v>
      </c>
      <c r="S26" s="658">
        <f>F26</f>
        <v>100</v>
      </c>
      <c r="T26" s="657" t="s">
        <v>14</v>
      </c>
      <c r="U26" s="658">
        <f>H26</f>
        <v>100</v>
      </c>
      <c r="V26" s="657" t="s">
        <v>14</v>
      </c>
      <c r="W26" s="658">
        <f>J26</f>
        <v>100</v>
      </c>
      <c r="X26" s="1243"/>
      <c r="Y26" s="3371"/>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71"/>
      <c r="Q27" s="523">
        <f t="shared" si="11"/>
        <v>111</v>
      </c>
      <c r="R27" s="654" t="s">
        <v>14</v>
      </c>
      <c r="S27" s="655">
        <f>F27</f>
        <v>100</v>
      </c>
      <c r="T27" s="654" t="s">
        <v>14</v>
      </c>
      <c r="U27" s="655">
        <f>H27</f>
        <v>100</v>
      </c>
      <c r="V27" s="654" t="s">
        <v>14</v>
      </c>
      <c r="W27" s="655">
        <f>J27</f>
        <v>100</v>
      </c>
      <c r="X27" s="656"/>
      <c r="Y27" s="3371"/>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71"/>
      <c r="Q28" s="1241">
        <f t="shared" si="11"/>
        <v>111</v>
      </c>
      <c r="R28" s="657" t="s">
        <v>14</v>
      </c>
      <c r="S28" s="658">
        <f t="shared" ref="S28:S40" si="12">F28</f>
        <v>100</v>
      </c>
      <c r="T28" s="657" t="s">
        <v>14</v>
      </c>
      <c r="U28" s="658">
        <f t="shared" ref="U28:U40" si="13">H28</f>
        <v>100</v>
      </c>
      <c r="V28" s="657" t="s">
        <v>14</v>
      </c>
      <c r="W28" s="658">
        <f t="shared" ref="W28:W40" si="14">J28</f>
        <v>100</v>
      </c>
      <c r="X28" s="1243"/>
      <c r="Y28" s="3371"/>
      <c r="Z28" s="1242">
        <f t="shared" ref="Z28:Z40" si="15">Q28</f>
        <v>111</v>
      </c>
      <c r="AA28" s="1242">
        <f t="shared" si="3"/>
        <v>1</v>
      </c>
      <c r="AB28" s="1242">
        <f t="shared" si="4"/>
        <v>1</v>
      </c>
      <c r="AC28" s="1242">
        <f t="shared" si="5"/>
        <v>1</v>
      </c>
    </row>
    <row r="29" spans="1:29" ht="28.5">
      <c r="A29" s="397" t="s">
        <v>1691</v>
      </c>
      <c r="B29" s="60" t="s">
        <v>1814</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32" t="s">
        <v>1693</v>
      </c>
      <c r="Q29" s="1241" t="str">
        <f t="shared" si="11"/>
        <v>建筑类型</v>
      </c>
      <c r="R29" s="657" t="s">
        <v>14</v>
      </c>
      <c r="S29" s="658">
        <f t="shared" si="12"/>
        <v>100</v>
      </c>
      <c r="T29" s="657" t="s">
        <v>14</v>
      </c>
      <c r="U29" s="658">
        <f t="shared" si="13"/>
        <v>100</v>
      </c>
      <c r="V29" s="657" t="s">
        <v>14</v>
      </c>
      <c r="W29" s="658">
        <f t="shared" si="14"/>
        <v>100</v>
      </c>
      <c r="X29" s="1243"/>
      <c r="Y29" s="3375" t="s">
        <v>1693</v>
      </c>
      <c r="Z29" s="1242" t="str">
        <f t="shared" si="15"/>
        <v>建筑类型</v>
      </c>
      <c r="AA29" s="1242">
        <f t="shared" si="3"/>
        <v>1</v>
      </c>
      <c r="AB29" s="1242">
        <f t="shared" si="4"/>
        <v>1</v>
      </c>
      <c r="AC29" s="1242">
        <f t="shared" si="5"/>
        <v>1</v>
      </c>
    </row>
    <row r="30" spans="1:29" s="401" customFormat="1" ht="15">
      <c r="A30" s="399"/>
      <c r="B30" s="357" t="s">
        <v>1694</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75"/>
      <c r="Q30" s="524" t="str">
        <f t="shared" si="11"/>
        <v>项目建筑规模</v>
      </c>
      <c r="R30" s="659" t="s">
        <v>14</v>
      </c>
      <c r="S30" s="660" t="e">
        <f t="shared" si="12"/>
        <v>#N/A</v>
      </c>
      <c r="T30" s="659" t="s">
        <v>14</v>
      </c>
      <c r="U30" s="660" t="e">
        <f t="shared" si="13"/>
        <v>#N/A</v>
      </c>
      <c r="V30" s="659" t="s">
        <v>14</v>
      </c>
      <c r="W30" s="660" t="e">
        <f t="shared" si="14"/>
        <v>#N/A</v>
      </c>
      <c r="X30" s="661"/>
      <c r="Y30" s="3375"/>
      <c r="Z30" s="662" t="str">
        <f t="shared" si="15"/>
        <v>项目建筑规模</v>
      </c>
      <c r="AA30" s="1242" t="e">
        <f t="shared" si="3"/>
        <v>#N/A</v>
      </c>
      <c r="AB30" s="1242" t="e">
        <f t="shared" si="4"/>
        <v>#N/A</v>
      </c>
      <c r="AC30" s="1242" t="e">
        <f t="shared" si="5"/>
        <v>#N/A</v>
      </c>
    </row>
    <row r="31" spans="1:29" ht="15">
      <c r="A31" s="402"/>
      <c r="B31" s="357" t="s">
        <v>1695</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75"/>
      <c r="Q31" s="1241" t="str">
        <f t="shared" si="11"/>
        <v>建筑结构</v>
      </c>
      <c r="R31" s="657" t="s">
        <v>14</v>
      </c>
      <c r="S31" s="658">
        <f t="shared" si="12"/>
        <v>100</v>
      </c>
      <c r="T31" s="657" t="s">
        <v>14</v>
      </c>
      <c r="U31" s="658">
        <f t="shared" si="13"/>
        <v>100</v>
      </c>
      <c r="V31" s="657" t="s">
        <v>14</v>
      </c>
      <c r="W31" s="658">
        <f t="shared" si="14"/>
        <v>100</v>
      </c>
      <c r="X31" s="1243"/>
      <c r="Y31" s="3375"/>
      <c r="Z31" s="1242" t="str">
        <f t="shared" si="15"/>
        <v>建筑结构</v>
      </c>
      <c r="AA31" s="1242">
        <f t="shared" si="3"/>
        <v>1</v>
      </c>
      <c r="AB31" s="1242">
        <f t="shared" si="4"/>
        <v>1</v>
      </c>
      <c r="AC31" s="1242">
        <f t="shared" si="5"/>
        <v>1</v>
      </c>
    </row>
    <row r="32" spans="1:29" ht="15">
      <c r="A32" s="402"/>
      <c r="B32" s="357" t="s">
        <v>1782</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75"/>
      <c r="Q32" s="1241" t="str">
        <f t="shared" si="11"/>
        <v>公共部分装修</v>
      </c>
      <c r="R32" s="657" t="s">
        <v>14</v>
      </c>
      <c r="S32" s="658">
        <f t="shared" si="12"/>
        <v>100</v>
      </c>
      <c r="T32" s="657" t="s">
        <v>14</v>
      </c>
      <c r="U32" s="658">
        <f t="shared" si="13"/>
        <v>100</v>
      </c>
      <c r="V32" s="657" t="s">
        <v>14</v>
      </c>
      <c r="W32" s="658">
        <f t="shared" si="14"/>
        <v>100</v>
      </c>
      <c r="X32" s="1243"/>
      <c r="Y32" s="3375"/>
      <c r="Z32" s="1242" t="str">
        <f t="shared" si="15"/>
        <v>公共部分装修</v>
      </c>
      <c r="AA32" s="1242">
        <f t="shared" si="3"/>
        <v>1</v>
      </c>
      <c r="AB32" s="1242">
        <f t="shared" si="4"/>
        <v>1</v>
      </c>
      <c r="AC32" s="1242">
        <f t="shared" si="5"/>
        <v>1</v>
      </c>
    </row>
    <row r="33" spans="1:29" ht="15">
      <c r="A33" s="402"/>
      <c r="B33" s="357" t="s">
        <v>1783</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75"/>
      <c r="Q33" s="1241" t="str">
        <f t="shared" si="11"/>
        <v>成新度</v>
      </c>
      <c r="R33" s="657" t="s">
        <v>14</v>
      </c>
      <c r="S33" s="658" t="e">
        <f t="shared" si="12"/>
        <v>#N/A</v>
      </c>
      <c r="T33" s="657" t="s">
        <v>14</v>
      </c>
      <c r="U33" s="658" t="e">
        <f t="shared" si="13"/>
        <v>#N/A</v>
      </c>
      <c r="V33" s="657" t="s">
        <v>14</v>
      </c>
      <c r="W33" s="658" t="e">
        <f t="shared" si="14"/>
        <v>#N/A</v>
      </c>
      <c r="X33" s="1243"/>
      <c r="Y33" s="3375"/>
      <c r="Z33" s="1242" t="str">
        <f t="shared" si="15"/>
        <v>成新度</v>
      </c>
      <c r="AA33" s="1242" t="e">
        <f t="shared" si="3"/>
        <v>#N/A</v>
      </c>
      <c r="AB33" s="1242" t="e">
        <f t="shared" si="4"/>
        <v>#N/A</v>
      </c>
      <c r="AC33" s="1242" t="e">
        <f t="shared" si="5"/>
        <v>#N/A</v>
      </c>
    </row>
    <row r="34" spans="1:29" s="101" customFormat="1" ht="15">
      <c r="A34" s="403"/>
      <c r="B34" s="357" t="s">
        <v>1816</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75"/>
      <c r="Q34" s="523" t="str">
        <f t="shared" si="11"/>
        <v>物业管理</v>
      </c>
      <c r="R34" s="654" t="s">
        <v>14</v>
      </c>
      <c r="S34" s="655">
        <f t="shared" si="12"/>
        <v>100</v>
      </c>
      <c r="T34" s="654" t="s">
        <v>14</v>
      </c>
      <c r="U34" s="655">
        <f t="shared" si="13"/>
        <v>100</v>
      </c>
      <c r="V34" s="654" t="s">
        <v>14</v>
      </c>
      <c r="W34" s="655">
        <f t="shared" si="14"/>
        <v>100</v>
      </c>
      <c r="X34" s="656"/>
      <c r="Y34" s="3375"/>
      <c r="Z34" s="50" t="str">
        <f t="shared" si="15"/>
        <v>物业管理</v>
      </c>
      <c r="AA34" s="50">
        <f t="shared" si="3"/>
        <v>1</v>
      </c>
      <c r="AB34" s="50">
        <f t="shared" si="4"/>
        <v>1</v>
      </c>
      <c r="AC34" s="50">
        <f t="shared" si="5"/>
        <v>1</v>
      </c>
    </row>
    <row r="35" spans="1:29" ht="15">
      <c r="A35" s="402"/>
      <c r="B35" s="357" t="s">
        <v>1784</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75" t="s">
        <v>1693</v>
      </c>
      <c r="Q35" s="1241" t="str">
        <f t="shared" si="11"/>
        <v>市政基础设施</v>
      </c>
      <c r="R35" s="657" t="s">
        <v>14</v>
      </c>
      <c r="S35" s="658">
        <f t="shared" si="12"/>
        <v>100</v>
      </c>
      <c r="T35" s="657" t="s">
        <v>14</v>
      </c>
      <c r="U35" s="658">
        <f t="shared" si="13"/>
        <v>100</v>
      </c>
      <c r="V35" s="657" t="s">
        <v>14</v>
      </c>
      <c r="W35" s="658">
        <f t="shared" si="14"/>
        <v>100</v>
      </c>
      <c r="X35" s="1243"/>
      <c r="Y35" s="3375" t="s">
        <v>1693</v>
      </c>
      <c r="Z35" s="1242" t="str">
        <f t="shared" si="15"/>
        <v>市政基础设施</v>
      </c>
      <c r="AA35" s="1242">
        <f t="shared" si="3"/>
        <v>1</v>
      </c>
      <c r="AB35" s="1242">
        <f t="shared" si="4"/>
        <v>1</v>
      </c>
      <c r="AC35" s="1242">
        <f t="shared" si="5"/>
        <v>1</v>
      </c>
    </row>
    <row r="36" spans="1:29" ht="15">
      <c r="A36" s="402"/>
      <c r="B36" s="357" t="s">
        <v>1789</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75"/>
      <c r="Q36" s="1241" t="str">
        <f t="shared" si="11"/>
        <v>内部装修</v>
      </c>
      <c r="R36" s="657" t="s">
        <v>14</v>
      </c>
      <c r="S36" s="658">
        <f t="shared" si="12"/>
        <v>100</v>
      </c>
      <c r="T36" s="657" t="s">
        <v>14</v>
      </c>
      <c r="U36" s="658">
        <f t="shared" si="13"/>
        <v>100</v>
      </c>
      <c r="V36" s="657" t="s">
        <v>14</v>
      </c>
      <c r="W36" s="658">
        <f t="shared" si="14"/>
        <v>100</v>
      </c>
      <c r="X36" s="1243"/>
      <c r="Y36" s="3375"/>
      <c r="Z36" s="1242" t="str">
        <f t="shared" si="15"/>
        <v>内部装修</v>
      </c>
      <c r="AA36" s="1242">
        <f t="shared" si="3"/>
        <v>1</v>
      </c>
      <c r="AB36" s="1242">
        <f t="shared" si="4"/>
        <v>1</v>
      </c>
      <c r="AC36" s="1242">
        <f t="shared" si="5"/>
        <v>1</v>
      </c>
    </row>
    <row r="37" spans="1:29" ht="15">
      <c r="A37" s="402"/>
      <c r="B37" s="357" t="s">
        <v>1825</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75"/>
      <c r="Q37" s="1241" t="str">
        <f t="shared" si="11"/>
        <v>内部装修状况</v>
      </c>
      <c r="R37" s="657" t="s">
        <v>14</v>
      </c>
      <c r="S37" s="658">
        <f t="shared" si="12"/>
        <v>100</v>
      </c>
      <c r="T37" s="657" t="s">
        <v>14</v>
      </c>
      <c r="U37" s="658">
        <f t="shared" si="13"/>
        <v>100</v>
      </c>
      <c r="V37" s="657" t="s">
        <v>14</v>
      </c>
      <c r="W37" s="658">
        <f t="shared" si="14"/>
        <v>100</v>
      </c>
      <c r="X37" s="1243"/>
      <c r="Y37" s="3375"/>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75"/>
      <c r="Q38" s="524">
        <f t="shared" si="11"/>
        <v>111</v>
      </c>
      <c r="R38" s="659" t="s">
        <v>14</v>
      </c>
      <c r="S38" s="660">
        <f t="shared" si="12"/>
        <v>100</v>
      </c>
      <c r="T38" s="659" t="s">
        <v>14</v>
      </c>
      <c r="U38" s="660">
        <f t="shared" si="13"/>
        <v>100</v>
      </c>
      <c r="V38" s="659" t="s">
        <v>14</v>
      </c>
      <c r="W38" s="660">
        <f t="shared" si="14"/>
        <v>100</v>
      </c>
      <c r="X38" s="661"/>
      <c r="Y38" s="3375"/>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75"/>
      <c r="Q39" s="1241">
        <f t="shared" si="11"/>
        <v>111</v>
      </c>
      <c r="R39" s="657" t="s">
        <v>14</v>
      </c>
      <c r="S39" s="658">
        <f t="shared" si="12"/>
        <v>100</v>
      </c>
      <c r="T39" s="657" t="s">
        <v>14</v>
      </c>
      <c r="U39" s="658">
        <f t="shared" si="13"/>
        <v>100</v>
      </c>
      <c r="V39" s="657" t="s">
        <v>14</v>
      </c>
      <c r="W39" s="658">
        <f t="shared" si="14"/>
        <v>100</v>
      </c>
      <c r="X39" s="1243"/>
      <c r="Y39" s="3375"/>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76"/>
      <c r="Q40" s="1241">
        <f t="shared" si="11"/>
        <v>111</v>
      </c>
      <c r="R40" s="657" t="s">
        <v>14</v>
      </c>
      <c r="S40" s="658">
        <f t="shared" si="12"/>
        <v>100</v>
      </c>
      <c r="T40" s="657" t="s">
        <v>14</v>
      </c>
      <c r="U40" s="658">
        <f t="shared" si="13"/>
        <v>100</v>
      </c>
      <c r="V40" s="657" t="s">
        <v>14</v>
      </c>
      <c r="W40" s="658">
        <f t="shared" si="14"/>
        <v>100</v>
      </c>
      <c r="X40" s="1243"/>
      <c r="Y40" s="3376"/>
      <c r="Z40" s="1242">
        <f t="shared" si="15"/>
        <v>111</v>
      </c>
      <c r="AA40" s="1242">
        <f t="shared" si="3"/>
        <v>1</v>
      </c>
      <c r="AB40" s="1242">
        <f t="shared" si="4"/>
        <v>1</v>
      </c>
      <c r="AC40" s="1242">
        <f t="shared" si="5"/>
        <v>1</v>
      </c>
    </row>
    <row r="41" spans="1:29" ht="15">
      <c r="A41" s="409" t="s">
        <v>1705</v>
      </c>
      <c r="B41" s="410"/>
      <c r="C41" s="1059" t="s">
        <v>0</v>
      </c>
      <c r="D41" s="411"/>
      <c r="E41" s="412"/>
      <c r="F41" s="413"/>
      <c r="G41" s="414"/>
      <c r="H41" s="415"/>
      <c r="I41" s="412"/>
      <c r="J41" s="415"/>
      <c r="K41" s="664"/>
      <c r="L41" s="853"/>
      <c r="M41" s="841"/>
      <c r="N41" s="841"/>
      <c r="O41" s="841"/>
      <c r="P41" s="3368" t="str">
        <f>A41</f>
        <v>成交单价（元/平方米）</v>
      </c>
      <c r="Q41" s="3368"/>
      <c r="R41" s="3369">
        <f>E41</f>
        <v>0</v>
      </c>
      <c r="S41" s="3369"/>
      <c r="T41" s="3369">
        <f>G41</f>
        <v>0</v>
      </c>
      <c r="U41" s="3369"/>
      <c r="V41" s="3369">
        <f>I41</f>
        <v>0</v>
      </c>
      <c r="W41" s="3369"/>
      <c r="X41" s="378"/>
      <c r="Y41" s="663"/>
      <c r="Z41" s="378"/>
      <c r="AA41" s="378"/>
      <c r="AB41" s="378"/>
      <c r="AC41" s="378"/>
    </row>
    <row r="42" spans="1:29" ht="15.75" thickBot="1">
      <c r="A42" s="416" t="s">
        <v>1790</v>
      </c>
      <c r="B42" s="417"/>
      <c r="C42" s="1060" t="e">
        <f>R43</f>
        <v>#DIV/0!</v>
      </c>
      <c r="D42" s="2118" t="s">
        <v>2135</v>
      </c>
      <c r="E42" s="1061" t="e">
        <f>R42</f>
        <v>#DIV/0!</v>
      </c>
      <c r="F42" s="2119"/>
      <c r="G42" s="1060" t="e">
        <f>T42</f>
        <v>#DIV/0!</v>
      </c>
      <c r="H42" s="2119"/>
      <c r="I42" s="1061" t="e">
        <f>V42</f>
        <v>#DIV/0!</v>
      </c>
      <c r="J42" s="2119"/>
      <c r="K42" s="2121">
        <f>F42+H42+J42</f>
        <v>0</v>
      </c>
      <c r="L42" s="853"/>
      <c r="M42" s="841"/>
      <c r="N42" s="841"/>
      <c r="O42" s="84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78"/>
      <c r="Y42" s="378"/>
      <c r="Z42" s="378"/>
      <c r="AA42" s="378"/>
      <c r="AB42" s="378"/>
      <c r="AC42" s="378"/>
    </row>
    <row r="43" spans="1:29" ht="15.75" thickBot="1">
      <c r="A43" s="420" t="s">
        <v>1791</v>
      </c>
      <c r="B43" s="421"/>
      <c r="C43" s="344" t="e">
        <f>R43</f>
        <v>#DIV/0!</v>
      </c>
      <c r="D43" s="344"/>
      <c r="E43" s="344"/>
      <c r="F43" s="344"/>
      <c r="G43" s="344"/>
      <c r="H43" s="344"/>
      <c r="I43" s="344"/>
      <c r="J43" s="344"/>
      <c r="K43" s="665"/>
      <c r="L43" s="853"/>
      <c r="M43" s="841"/>
      <c r="N43" s="841"/>
      <c r="O43" s="84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1795</v>
      </c>
      <c r="B51" s="378"/>
      <c r="C51" s="649"/>
      <c r="D51" s="649"/>
      <c r="E51" s="649"/>
      <c r="F51" s="650"/>
      <c r="G51" s="650"/>
      <c r="H51" s="649"/>
      <c r="I51" s="649"/>
      <c r="J51" s="649"/>
      <c r="K51" s="867"/>
      <c r="L51" s="868"/>
      <c r="M51" s="866"/>
      <c r="N51" s="866"/>
      <c r="O51" s="866"/>
      <c r="P51" s="431"/>
      <c r="Q51" s="432"/>
    </row>
    <row r="52" spans="1:17" s="435" customFormat="1" ht="15">
      <c r="A52" s="433" t="s">
        <v>1676</v>
      </c>
      <c r="B52" s="434"/>
      <c r="C52" s="1081" t="str">
        <f>YEAR(C7)&amp;"-"&amp;MONTH(C7)</f>
        <v>2025-3</v>
      </c>
      <c r="D52" s="1082">
        <f>EDATE(C52,-1)</f>
        <v>45689</v>
      </c>
      <c r="E52" s="1082">
        <f t="shared" ref="E52:O52" si="16">EDATE(D52,-1)</f>
        <v>45658</v>
      </c>
      <c r="F52" s="1082">
        <f t="shared" si="16"/>
        <v>45627</v>
      </c>
      <c r="G52" s="1082">
        <f t="shared" si="16"/>
        <v>45597</v>
      </c>
      <c r="H52" s="1082">
        <f t="shared" si="16"/>
        <v>45566</v>
      </c>
      <c r="I52" s="1082">
        <f t="shared" si="16"/>
        <v>45536</v>
      </c>
      <c r="J52" s="1082">
        <f t="shared" si="16"/>
        <v>45505</v>
      </c>
      <c r="K52" s="1082">
        <f t="shared" si="16"/>
        <v>45474</v>
      </c>
      <c r="L52" s="1082">
        <f t="shared" si="16"/>
        <v>45444</v>
      </c>
      <c r="M52" s="1082">
        <f t="shared" si="16"/>
        <v>45413</v>
      </c>
      <c r="N52" s="1082">
        <f t="shared" si="16"/>
        <v>45383</v>
      </c>
      <c r="O52" s="1082">
        <f t="shared" si="16"/>
        <v>45352</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1713</v>
      </c>
      <c r="B54" s="443"/>
      <c r="C54" s="444"/>
      <c r="D54" s="445"/>
      <c r="E54" s="445"/>
      <c r="F54" s="445"/>
      <c r="G54" s="445"/>
      <c r="H54" s="445"/>
      <c r="I54" s="445"/>
      <c r="J54" s="445"/>
      <c r="K54" s="445"/>
      <c r="L54" s="445"/>
      <c r="M54" s="446"/>
      <c r="N54" s="2513"/>
      <c r="O54" s="2514"/>
      <c r="P54" s="432"/>
      <c r="Q54" s="432"/>
    </row>
    <row r="55" spans="1:17" s="101" customFormat="1" ht="15">
      <c r="A55" s="448" t="s">
        <v>1678</v>
      </c>
      <c r="B55" s="437"/>
      <c r="C55" s="449" t="s">
        <v>1773</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1716</v>
      </c>
      <c r="B57" s="453" t="s">
        <v>1682</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1685</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1686</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1687</v>
      </c>
      <c r="B70" s="453" t="s">
        <v>1826</v>
      </c>
      <c r="C70" s="497" t="s">
        <v>1718</v>
      </c>
      <c r="D70" s="497" t="s">
        <v>1719</v>
      </c>
      <c r="E70" s="497" t="s">
        <v>1720</v>
      </c>
      <c r="F70" s="497" t="s">
        <v>1721</v>
      </c>
      <c r="G70" s="497" t="s">
        <v>1722</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1723</v>
      </c>
      <c r="C72" s="502" t="s">
        <v>1718</v>
      </c>
      <c r="D72" s="502" t="s">
        <v>1719</v>
      </c>
      <c r="E72" s="502" t="s">
        <v>1720</v>
      </c>
      <c r="F72" s="502" t="s">
        <v>1721</v>
      </c>
      <c r="G72" s="502" t="s">
        <v>1722</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1724</v>
      </c>
      <c r="C74" s="502" t="s">
        <v>1718</v>
      </c>
      <c r="D74" s="502" t="s">
        <v>1719</v>
      </c>
      <c r="E74" s="502" t="s">
        <v>1720</v>
      </c>
      <c r="F74" s="502" t="s">
        <v>1721</v>
      </c>
      <c r="G74" s="502" t="s">
        <v>1722</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1810</v>
      </c>
      <c r="C76" s="574" t="s">
        <v>1796</v>
      </c>
      <c r="D76" s="574" t="s">
        <v>1797</v>
      </c>
      <c r="E76" s="574" t="s">
        <v>1798</v>
      </c>
      <c r="F76" s="574" t="s">
        <v>1799</v>
      </c>
      <c r="G76" s="574" t="s">
        <v>1800</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1819</v>
      </c>
      <c r="C78" s="502" t="s">
        <v>1718</v>
      </c>
      <c r="D78" s="502" t="s">
        <v>1719</v>
      </c>
      <c r="E78" s="502" t="s">
        <v>1720</v>
      </c>
      <c r="F78" s="502" t="s">
        <v>1721</v>
      </c>
      <c r="G78" s="502" t="s">
        <v>1722</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1691</v>
      </c>
      <c r="B88" s="453" t="s">
        <v>1733</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1734</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1735</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1737</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1738</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1739</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1741</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1827</v>
      </c>
      <c r="C106" s="502" t="s">
        <v>1718</v>
      </c>
      <c r="D106" s="502" t="s">
        <v>1719</v>
      </c>
      <c r="E106" s="502" t="s">
        <v>1720</v>
      </c>
      <c r="F106" s="502" t="s">
        <v>1721</v>
      </c>
      <c r="G106" s="502" t="s">
        <v>1722</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3320</v>
      </c>
      <c r="C1" s="1119" t="s">
        <v>1659</v>
      </c>
      <c r="D1" s="1120"/>
      <c r="E1" s="3103"/>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IF(C2="——",C37,ROUND(B2*10000/D3,0))</f>
        <v>#DIV/0!</v>
      </c>
      <c r="C3" s="337" t="s">
        <v>1765</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387" t="s">
        <v>1772</v>
      </c>
      <c r="Q4" s="3388"/>
      <c r="R4" s="3393" t="s">
        <v>1768</v>
      </c>
      <c r="S4" s="3394"/>
      <c r="T4" s="3393" t="s">
        <v>1769</v>
      </c>
      <c r="U4" s="3394"/>
      <c r="V4" s="3369" t="s">
        <v>1770</v>
      </c>
      <c r="W4" s="3369"/>
      <c r="X4" s="1243"/>
      <c r="Y4" s="3393" t="s">
        <v>1772</v>
      </c>
      <c r="Z4" s="3394"/>
      <c r="AA4" s="3380" t="s">
        <v>1768</v>
      </c>
      <c r="AB4" s="3381" t="s">
        <v>1769</v>
      </c>
      <c r="AC4" s="3380" t="s">
        <v>1770</v>
      </c>
    </row>
    <row r="5" spans="1:29" ht="15">
      <c r="A5" s="341"/>
      <c r="B5" s="342"/>
      <c r="C5" s="3401" t="s">
        <v>1670</v>
      </c>
      <c r="D5" s="3402"/>
      <c r="E5" s="3408" t="s">
        <v>1671</v>
      </c>
      <c r="F5" s="3409"/>
      <c r="G5" s="3401" t="s">
        <v>1672</v>
      </c>
      <c r="H5" s="3402"/>
      <c r="I5" s="3401" t="s">
        <v>1673</v>
      </c>
      <c r="J5" s="3402"/>
      <c r="K5" s="530"/>
      <c r="L5" s="2461"/>
      <c r="M5" s="2462"/>
      <c r="N5" s="2462"/>
      <c r="O5" s="2462"/>
      <c r="P5" s="3389"/>
      <c r="Q5" s="3390"/>
      <c r="R5" s="3395"/>
      <c r="S5" s="3396"/>
      <c r="T5" s="3395"/>
      <c r="U5" s="3396"/>
      <c r="V5" s="3369"/>
      <c r="W5" s="3369"/>
      <c r="X5" s="1243"/>
      <c r="Y5" s="3395"/>
      <c r="Z5" s="3396"/>
      <c r="AA5" s="3381"/>
      <c r="AB5" s="3381"/>
      <c r="AC5" s="3381"/>
    </row>
    <row r="6" spans="1:29" ht="15.75" thickBot="1">
      <c r="A6" s="343"/>
      <c r="B6" s="344"/>
      <c r="C6" s="3399" t="s">
        <v>1674</v>
      </c>
      <c r="D6" s="3400"/>
      <c r="E6" s="3406" t="s">
        <v>1674</v>
      </c>
      <c r="F6" s="3407"/>
      <c r="G6" s="3399" t="s">
        <v>1674</v>
      </c>
      <c r="H6" s="3400"/>
      <c r="I6" s="3399" t="s">
        <v>1674</v>
      </c>
      <c r="J6" s="3400"/>
      <c r="K6" s="530" t="s">
        <v>1675</v>
      </c>
      <c r="L6" s="2461"/>
      <c r="M6" s="2462"/>
      <c r="N6" s="2462"/>
      <c r="O6" s="2462"/>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03" t="s">
        <v>1677</v>
      </c>
      <c r="Q7" s="3405"/>
      <c r="R7" s="654" t="s">
        <v>14</v>
      </c>
      <c r="S7" s="655">
        <f t="shared" ref="S7:S14" si="0">F7</f>
        <v>0</v>
      </c>
      <c r="T7" s="654" t="s">
        <v>14</v>
      </c>
      <c r="U7" s="655">
        <f t="shared" ref="U7:U14" si="1">H7</f>
        <v>0</v>
      </c>
      <c r="V7" s="654" t="s">
        <v>14</v>
      </c>
      <c r="W7" s="655">
        <f t="shared" ref="W7:W14" si="2">J7</f>
        <v>0</v>
      </c>
      <c r="X7" s="656"/>
      <c r="Y7" s="3403" t="s">
        <v>1677</v>
      </c>
      <c r="Z7" s="3404"/>
      <c r="AA7" s="50" t="e">
        <f>D7/F7</f>
        <v>#DIV/0!</v>
      </c>
      <c r="AB7" s="50" t="e">
        <f>D7/H7</f>
        <v>#DIV/0!</v>
      </c>
      <c r="AC7" s="50" t="e">
        <f>D7/J7</f>
        <v>#DIV/0!</v>
      </c>
    </row>
    <row r="8" spans="1:29" s="101" customFormat="1" ht="15.75" thickBot="1">
      <c r="A8" s="345" t="s">
        <v>1678</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03" t="s">
        <v>1680</v>
      </c>
      <c r="Q8" s="3404"/>
      <c r="R8" s="654" t="s">
        <v>14</v>
      </c>
      <c r="S8" s="655">
        <f t="shared" si="0"/>
        <v>100</v>
      </c>
      <c r="T8" s="654" t="s">
        <v>14</v>
      </c>
      <c r="U8" s="655">
        <f t="shared" si="1"/>
        <v>100</v>
      </c>
      <c r="V8" s="654" t="s">
        <v>14</v>
      </c>
      <c r="W8" s="655">
        <f t="shared" si="2"/>
        <v>100</v>
      </c>
      <c r="X8" s="656"/>
      <c r="Y8" s="3403" t="s">
        <v>1680</v>
      </c>
      <c r="Z8" s="3404"/>
      <c r="AA8" s="50">
        <f t="shared" ref="AA8:AA34" si="3">D8/F8</f>
        <v>1</v>
      </c>
      <c r="AB8" s="50">
        <f t="shared" ref="AB8:AB34" si="4">D8/H8</f>
        <v>1</v>
      </c>
      <c r="AC8" s="50">
        <f t="shared" ref="AC8:AC34" si="5">D8/J8</f>
        <v>1</v>
      </c>
    </row>
    <row r="9" spans="1:29" s="101" customFormat="1">
      <c r="A9" s="352" t="s">
        <v>1681</v>
      </c>
      <c r="B9" s="60" t="s">
        <v>1682</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68" t="s">
        <v>1683</v>
      </c>
      <c r="Q9" s="523" t="str">
        <f t="shared" ref="Q9:Q14" si="6">B9</f>
        <v>用途</v>
      </c>
      <c r="R9" s="654" t="s">
        <v>14</v>
      </c>
      <c r="S9" s="655">
        <f t="shared" si="0"/>
        <v>100</v>
      </c>
      <c r="T9" s="654" t="s">
        <v>14</v>
      </c>
      <c r="U9" s="655">
        <f t="shared" si="1"/>
        <v>100</v>
      </c>
      <c r="V9" s="654" t="s">
        <v>14</v>
      </c>
      <c r="W9" s="655">
        <f t="shared" si="2"/>
        <v>100</v>
      </c>
      <c r="X9" s="656"/>
      <c r="Y9" s="3243" t="s">
        <v>1684</v>
      </c>
      <c r="Z9" s="50" t="str">
        <f t="shared" ref="Z9:Z14" si="7">Q9</f>
        <v>用途</v>
      </c>
      <c r="AA9" s="50">
        <f t="shared" si="3"/>
        <v>1</v>
      </c>
      <c r="AB9" s="50">
        <f t="shared" si="4"/>
        <v>1</v>
      </c>
      <c r="AC9" s="50">
        <f t="shared" si="5"/>
        <v>1</v>
      </c>
    </row>
    <row r="10" spans="1:29" s="359" customFormat="1" ht="27">
      <c r="A10" s="356"/>
      <c r="B10" s="357" t="s">
        <v>1685</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68"/>
      <c r="Q10" s="523" t="str">
        <f t="shared" si="6"/>
        <v>土地使用年限（年）</v>
      </c>
      <c r="R10" s="654" t="s">
        <v>14</v>
      </c>
      <c r="S10" s="655">
        <f t="shared" si="0"/>
        <v>100</v>
      </c>
      <c r="T10" s="654" t="s">
        <v>14</v>
      </c>
      <c r="U10" s="655">
        <f t="shared" si="1"/>
        <v>100</v>
      </c>
      <c r="V10" s="654" t="s">
        <v>14</v>
      </c>
      <c r="W10" s="655">
        <f t="shared" si="2"/>
        <v>100</v>
      </c>
      <c r="X10" s="656"/>
      <c r="Y10" s="3243"/>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68"/>
      <c r="Q11" s="523">
        <f t="shared" si="6"/>
        <v>111</v>
      </c>
      <c r="R11" s="654" t="s">
        <v>14</v>
      </c>
      <c r="S11" s="655">
        <f t="shared" si="0"/>
        <v>100</v>
      </c>
      <c r="T11" s="654" t="s">
        <v>14</v>
      </c>
      <c r="U11" s="655">
        <f t="shared" si="1"/>
        <v>100</v>
      </c>
      <c r="V11" s="654" t="s">
        <v>14</v>
      </c>
      <c r="W11" s="655">
        <f t="shared" si="2"/>
        <v>100</v>
      </c>
      <c r="X11" s="656"/>
      <c r="Y11" s="3243"/>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68"/>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68"/>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50">
        <f t="shared" si="5"/>
        <v>1</v>
      </c>
    </row>
    <row r="14" spans="1:29" ht="15">
      <c r="A14" s="372" t="s">
        <v>1687</v>
      </c>
      <c r="B14" s="58" t="s">
        <v>1830</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70" t="s">
        <v>1688</v>
      </c>
      <c r="Q14" s="1241" t="str">
        <f t="shared" si="6"/>
        <v>交通便捷度</v>
      </c>
      <c r="R14" s="657" t="s">
        <v>14</v>
      </c>
      <c r="S14" s="658">
        <f t="shared" si="0"/>
        <v>100</v>
      </c>
      <c r="T14" s="657" t="s">
        <v>14</v>
      </c>
      <c r="U14" s="658">
        <f t="shared" si="1"/>
        <v>100</v>
      </c>
      <c r="V14" s="657" t="s">
        <v>14</v>
      </c>
      <c r="W14" s="658">
        <f t="shared" si="2"/>
        <v>100</v>
      </c>
      <c r="X14" s="1243"/>
      <c r="Y14" s="3370" t="s">
        <v>1688</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71"/>
      <c r="Q15" s="1241"/>
      <c r="R15" s="657"/>
      <c r="S15" s="658"/>
      <c r="T15" s="657"/>
      <c r="U15" s="658"/>
      <c r="V15" s="657"/>
      <c r="W15" s="658"/>
      <c r="X15" s="1243"/>
      <c r="Y15" s="3371"/>
      <c r="Z15" s="1242"/>
      <c r="AA15" s="1242">
        <v>1</v>
      </c>
      <c r="AB15" s="1242">
        <v>1</v>
      </c>
      <c r="AC15" s="1242">
        <v>1</v>
      </c>
    </row>
    <row r="16" spans="1:29" ht="15">
      <c r="A16" s="360"/>
      <c r="B16" s="383" t="s">
        <v>1809</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71"/>
      <c r="Q16" s="1241" t="str">
        <f>B16</f>
        <v>公共配套设施</v>
      </c>
      <c r="R16" s="657" t="s">
        <v>14</v>
      </c>
      <c r="S16" s="658">
        <f>F16</f>
        <v>100</v>
      </c>
      <c r="T16" s="657" t="s">
        <v>14</v>
      </c>
      <c r="U16" s="658">
        <f>H16</f>
        <v>100</v>
      </c>
      <c r="V16" s="657" t="s">
        <v>14</v>
      </c>
      <c r="W16" s="658">
        <f>J16</f>
        <v>100</v>
      </c>
      <c r="X16" s="1243"/>
      <c r="Y16" s="3371"/>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71"/>
      <c r="Q17" s="1241"/>
      <c r="R17" s="657"/>
      <c r="S17" s="658"/>
      <c r="T17" s="657"/>
      <c r="U17" s="658"/>
      <c r="V17" s="657"/>
      <c r="W17" s="658"/>
      <c r="X17" s="1243"/>
      <c r="Y17" s="3371"/>
      <c r="Z17" s="1242"/>
      <c r="AA17" s="1242">
        <v>1</v>
      </c>
      <c r="AB17" s="1242">
        <v>1</v>
      </c>
      <c r="AC17" s="1242">
        <v>1</v>
      </c>
    </row>
    <row r="18" spans="1:29" ht="15">
      <c r="A18" s="360"/>
      <c r="B18" s="579" t="s">
        <v>1810</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71"/>
      <c r="Q18" s="1241" t="str">
        <f>B18</f>
        <v>基础设施水平</v>
      </c>
      <c r="R18" s="657" t="s">
        <v>14</v>
      </c>
      <c r="S18" s="658">
        <f>F18</f>
        <v>100</v>
      </c>
      <c r="T18" s="657" t="s">
        <v>14</v>
      </c>
      <c r="U18" s="658">
        <f>H18</f>
        <v>100</v>
      </c>
      <c r="V18" s="657" t="s">
        <v>14</v>
      </c>
      <c r="W18" s="658">
        <f>J18</f>
        <v>100</v>
      </c>
      <c r="X18" s="1243"/>
      <c r="Y18" s="3371"/>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71"/>
      <c r="Q19" s="1241"/>
      <c r="R19" s="657"/>
      <c r="S19" s="658"/>
      <c r="T19" s="657"/>
      <c r="U19" s="658"/>
      <c r="V19" s="657"/>
      <c r="W19" s="658"/>
      <c r="X19" s="1243"/>
      <c r="Y19" s="3371"/>
      <c r="Z19" s="1242"/>
      <c r="AA19" s="1242">
        <v>1</v>
      </c>
      <c r="AB19" s="1242">
        <v>1</v>
      </c>
      <c r="AC19" s="1242">
        <v>1</v>
      </c>
    </row>
    <row r="20" spans="1:29" ht="15">
      <c r="A20" s="360"/>
      <c r="B20" s="383" t="s">
        <v>1831</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71"/>
      <c r="Q20" s="1241" t="str">
        <f>B20</f>
        <v>自然及人文环境</v>
      </c>
      <c r="R20" s="657" t="s">
        <v>14</v>
      </c>
      <c r="S20" s="658">
        <f>F20</f>
        <v>100</v>
      </c>
      <c r="T20" s="657" t="s">
        <v>14</v>
      </c>
      <c r="U20" s="658">
        <f>H20</f>
        <v>100</v>
      </c>
      <c r="V20" s="657" t="s">
        <v>14</v>
      </c>
      <c r="W20" s="658">
        <f>J20</f>
        <v>100</v>
      </c>
      <c r="X20" s="1243"/>
      <c r="Y20" s="3371"/>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71"/>
      <c r="Q21" s="1241"/>
      <c r="R21" s="657"/>
      <c r="S21" s="658"/>
      <c r="T21" s="657"/>
      <c r="U21" s="658"/>
      <c r="V21" s="657"/>
      <c r="W21" s="658"/>
      <c r="X21" s="1243"/>
      <c r="Y21" s="3371"/>
      <c r="Z21" s="1242"/>
      <c r="AA21" s="1242">
        <v>1</v>
      </c>
      <c r="AB21" s="1242">
        <v>1</v>
      </c>
      <c r="AC21" s="1242">
        <v>1</v>
      </c>
    </row>
    <row r="22" spans="1:29" ht="15">
      <c r="A22" s="360"/>
      <c r="B22" s="383" t="s">
        <v>1832</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71"/>
      <c r="Q22" s="1241" t="str">
        <f>B22</f>
        <v>楼层</v>
      </c>
      <c r="R22" s="657" t="s">
        <v>14</v>
      </c>
      <c r="S22" s="658">
        <f>F22</f>
        <v>100</v>
      </c>
      <c r="T22" s="657" t="s">
        <v>14</v>
      </c>
      <c r="U22" s="658">
        <f>H22</f>
        <v>100</v>
      </c>
      <c r="V22" s="657" t="s">
        <v>14</v>
      </c>
      <c r="W22" s="658">
        <f>J22</f>
        <v>100</v>
      </c>
      <c r="X22" s="1243"/>
      <c r="Y22" s="3371"/>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71"/>
      <c r="Q23" s="1241">
        <f>B23</f>
        <v>111</v>
      </c>
      <c r="R23" s="657" t="s">
        <v>14</v>
      </c>
      <c r="S23" s="658">
        <f>F23</f>
        <v>100</v>
      </c>
      <c r="T23" s="657" t="s">
        <v>14</v>
      </c>
      <c r="U23" s="658">
        <f>H23</f>
        <v>100</v>
      </c>
      <c r="V23" s="657" t="s">
        <v>14</v>
      </c>
      <c r="W23" s="658">
        <f>J23</f>
        <v>100</v>
      </c>
      <c r="X23" s="1243"/>
      <c r="Y23" s="3371"/>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71"/>
      <c r="Q24" s="1241">
        <f t="shared" ref="Q24:Q34" si="11">B24</f>
        <v>111</v>
      </c>
      <c r="R24" s="657" t="s">
        <v>14</v>
      </c>
      <c r="S24" s="658">
        <f>F24</f>
        <v>100</v>
      </c>
      <c r="T24" s="657" t="s">
        <v>14</v>
      </c>
      <c r="U24" s="658">
        <f>H24</f>
        <v>100</v>
      </c>
      <c r="V24" s="657" t="s">
        <v>14</v>
      </c>
      <c r="W24" s="658">
        <f>J24</f>
        <v>100</v>
      </c>
      <c r="X24" s="1243"/>
      <c r="Y24" s="3371"/>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71"/>
      <c r="Q25" s="523">
        <f t="shared" si="11"/>
        <v>111</v>
      </c>
      <c r="R25" s="654" t="s">
        <v>14</v>
      </c>
      <c r="S25" s="655">
        <f>F25</f>
        <v>100</v>
      </c>
      <c r="T25" s="654" t="s">
        <v>14</v>
      </c>
      <c r="U25" s="655">
        <f>H25</f>
        <v>100</v>
      </c>
      <c r="V25" s="654" t="s">
        <v>14</v>
      </c>
      <c r="W25" s="655">
        <f>J25</f>
        <v>100</v>
      </c>
      <c r="X25" s="656"/>
      <c r="Y25" s="3371"/>
      <c r="Z25" s="50">
        <f>Q25</f>
        <v>111</v>
      </c>
      <c r="AA25" s="1242">
        <f>D25/F25</f>
        <v>1</v>
      </c>
      <c r="AB25" s="1242">
        <f>D25/H25</f>
        <v>1</v>
      </c>
      <c r="AC25" s="1242">
        <f>D25/J25</f>
        <v>1</v>
      </c>
    </row>
    <row r="26" spans="1:29" ht="28.5">
      <c r="A26" s="397" t="s">
        <v>1691</v>
      </c>
      <c r="B26" s="60" t="s">
        <v>1835</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32" t="s">
        <v>1693</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75" t="s">
        <v>1693</v>
      </c>
      <c r="Z26" s="1242" t="str">
        <f t="shared" ref="Z26:Z34" si="15">Q26</f>
        <v>公共部分装修</v>
      </c>
      <c r="AA26" s="1242">
        <f t="shared" si="3"/>
        <v>1</v>
      </c>
      <c r="AB26" s="1242">
        <f t="shared" si="4"/>
        <v>1</v>
      </c>
      <c r="AC26" s="1242">
        <f t="shared" si="5"/>
        <v>1</v>
      </c>
    </row>
    <row r="27" spans="1:29" s="401" customFormat="1" ht="15">
      <c r="A27" s="399"/>
      <c r="B27" s="357" t="s">
        <v>1836</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75"/>
      <c r="Q27" s="524" t="str">
        <f t="shared" si="11"/>
        <v>成新率</v>
      </c>
      <c r="R27" s="659" t="s">
        <v>14</v>
      </c>
      <c r="S27" s="660" t="e">
        <f t="shared" si="12"/>
        <v>#N/A</v>
      </c>
      <c r="T27" s="659" t="s">
        <v>14</v>
      </c>
      <c r="U27" s="660" t="e">
        <f t="shared" si="13"/>
        <v>#N/A</v>
      </c>
      <c r="V27" s="659" t="s">
        <v>14</v>
      </c>
      <c r="W27" s="660" t="e">
        <f t="shared" si="14"/>
        <v>#N/A</v>
      </c>
      <c r="X27" s="661"/>
      <c r="Y27" s="3375"/>
      <c r="Z27" s="662" t="str">
        <f t="shared" si="15"/>
        <v>成新率</v>
      </c>
      <c r="AA27" s="1242" t="e">
        <f t="shared" si="3"/>
        <v>#N/A</v>
      </c>
      <c r="AB27" s="1242" t="e">
        <f t="shared" si="4"/>
        <v>#N/A</v>
      </c>
      <c r="AC27" s="1242" t="e">
        <f t="shared" si="5"/>
        <v>#N/A</v>
      </c>
    </row>
    <row r="28" spans="1:29" ht="15">
      <c r="A28" s="402"/>
      <c r="B28" s="357" t="s">
        <v>1837</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75"/>
      <c r="Q28" s="1241" t="str">
        <f t="shared" si="11"/>
        <v>物业等级</v>
      </c>
      <c r="R28" s="657" t="s">
        <v>14</v>
      </c>
      <c r="S28" s="658">
        <f t="shared" si="12"/>
        <v>100</v>
      </c>
      <c r="T28" s="657" t="s">
        <v>14</v>
      </c>
      <c r="U28" s="658">
        <f t="shared" si="13"/>
        <v>100</v>
      </c>
      <c r="V28" s="657" t="s">
        <v>14</v>
      </c>
      <c r="W28" s="658">
        <f t="shared" si="14"/>
        <v>100</v>
      </c>
      <c r="X28" s="1243"/>
      <c r="Y28" s="3375"/>
      <c r="Z28" s="1242" t="str">
        <f t="shared" si="15"/>
        <v>物业等级</v>
      </c>
      <c r="AA28" s="1242">
        <f t="shared" si="3"/>
        <v>1</v>
      </c>
      <c r="AB28" s="1242">
        <f t="shared" si="4"/>
        <v>1</v>
      </c>
      <c r="AC28" s="1242">
        <f t="shared" si="5"/>
        <v>1</v>
      </c>
    </row>
    <row r="29" spans="1:29" ht="15">
      <c r="A29" s="402"/>
      <c r="B29" s="357" t="s">
        <v>1857</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75"/>
      <c r="Q29" s="1241" t="str">
        <f t="shared" si="11"/>
        <v>有无电梯</v>
      </c>
      <c r="R29" s="657" t="s">
        <v>14</v>
      </c>
      <c r="S29" s="658">
        <f t="shared" si="12"/>
        <v>100</v>
      </c>
      <c r="T29" s="657" t="s">
        <v>14</v>
      </c>
      <c r="U29" s="658">
        <f t="shared" si="13"/>
        <v>100</v>
      </c>
      <c r="V29" s="657" t="s">
        <v>14</v>
      </c>
      <c r="W29" s="658">
        <f t="shared" si="14"/>
        <v>100</v>
      </c>
      <c r="X29" s="1243"/>
      <c r="Y29" s="3375"/>
      <c r="Z29" s="1242" t="str">
        <f t="shared" si="15"/>
        <v>有无电梯</v>
      </c>
      <c r="AA29" s="1242">
        <f t="shared" si="3"/>
        <v>1</v>
      </c>
      <c r="AB29" s="1242">
        <f t="shared" si="4"/>
        <v>1</v>
      </c>
      <c r="AC29" s="1242">
        <f t="shared" si="5"/>
        <v>1</v>
      </c>
    </row>
    <row r="30" spans="1:29" ht="15">
      <c r="A30" s="402"/>
      <c r="B30" s="357" t="s">
        <v>1858</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75"/>
      <c r="Q30" s="1241" t="str">
        <f t="shared" si="11"/>
        <v>建筑面积</v>
      </c>
      <c r="R30" s="657" t="s">
        <v>14</v>
      </c>
      <c r="S30" s="658" t="e">
        <f t="shared" si="12"/>
        <v>#N/A</v>
      </c>
      <c r="T30" s="657" t="s">
        <v>14</v>
      </c>
      <c r="U30" s="658" t="e">
        <f t="shared" si="13"/>
        <v>#N/A</v>
      </c>
      <c r="V30" s="657" t="s">
        <v>14</v>
      </c>
      <c r="W30" s="658" t="e">
        <f t="shared" si="14"/>
        <v>#N/A</v>
      </c>
      <c r="X30" s="1243"/>
      <c r="Y30" s="3375"/>
      <c r="Z30" s="1242" t="str">
        <f t="shared" si="15"/>
        <v>建筑面积</v>
      </c>
      <c r="AA30" s="1242" t="e">
        <f t="shared" si="3"/>
        <v>#N/A</v>
      </c>
      <c r="AB30" s="1242" t="e">
        <f t="shared" si="4"/>
        <v>#N/A</v>
      </c>
      <c r="AC30" s="1242" t="e">
        <f t="shared" si="5"/>
        <v>#N/A</v>
      </c>
    </row>
    <row r="31" spans="1:29" s="101" customFormat="1" ht="15">
      <c r="A31" s="403"/>
      <c r="B31" s="357" t="s">
        <v>1859</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75"/>
      <c r="Q31" s="523" t="str">
        <f t="shared" si="11"/>
        <v>是否封闭</v>
      </c>
      <c r="R31" s="654" t="s">
        <v>14</v>
      </c>
      <c r="S31" s="655">
        <f t="shared" si="12"/>
        <v>100</v>
      </c>
      <c r="T31" s="654" t="s">
        <v>14</v>
      </c>
      <c r="U31" s="655">
        <f t="shared" si="13"/>
        <v>100</v>
      </c>
      <c r="V31" s="654" t="s">
        <v>14</v>
      </c>
      <c r="W31" s="655">
        <f t="shared" si="14"/>
        <v>100</v>
      </c>
      <c r="X31" s="656"/>
      <c r="Y31" s="3375"/>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75" t="s">
        <v>1693</v>
      </c>
      <c r="Q32" s="1241">
        <f t="shared" si="11"/>
        <v>111</v>
      </c>
      <c r="R32" s="657" t="s">
        <v>14</v>
      </c>
      <c r="S32" s="658">
        <f t="shared" si="12"/>
        <v>100</v>
      </c>
      <c r="T32" s="657" t="s">
        <v>14</v>
      </c>
      <c r="U32" s="658">
        <f t="shared" si="13"/>
        <v>100</v>
      </c>
      <c r="V32" s="657" t="s">
        <v>14</v>
      </c>
      <c r="W32" s="658">
        <f t="shared" si="14"/>
        <v>100</v>
      </c>
      <c r="X32" s="1243"/>
      <c r="Y32" s="3375" t="s">
        <v>1693</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75"/>
      <c r="Q33" s="1241">
        <f t="shared" si="11"/>
        <v>111</v>
      </c>
      <c r="R33" s="657" t="s">
        <v>14</v>
      </c>
      <c r="S33" s="658">
        <f t="shared" si="12"/>
        <v>100</v>
      </c>
      <c r="T33" s="657" t="s">
        <v>14</v>
      </c>
      <c r="U33" s="658">
        <f t="shared" si="13"/>
        <v>100</v>
      </c>
      <c r="V33" s="657" t="s">
        <v>14</v>
      </c>
      <c r="W33" s="658">
        <f t="shared" si="14"/>
        <v>100</v>
      </c>
      <c r="X33" s="1243"/>
      <c r="Y33" s="3375"/>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75"/>
      <c r="Q34" s="1241">
        <f t="shared" si="11"/>
        <v>111</v>
      </c>
      <c r="R34" s="657" t="s">
        <v>14</v>
      </c>
      <c r="S34" s="658">
        <f t="shared" si="12"/>
        <v>100</v>
      </c>
      <c r="T34" s="657" t="s">
        <v>14</v>
      </c>
      <c r="U34" s="658">
        <f t="shared" si="13"/>
        <v>100</v>
      </c>
      <c r="V34" s="657" t="s">
        <v>14</v>
      </c>
      <c r="W34" s="658">
        <f t="shared" si="14"/>
        <v>100</v>
      </c>
      <c r="X34" s="1243"/>
      <c r="Y34" s="3375"/>
      <c r="Z34" s="1242">
        <f t="shared" si="15"/>
        <v>111</v>
      </c>
      <c r="AA34" s="1242">
        <f t="shared" si="3"/>
        <v>1</v>
      </c>
      <c r="AB34" s="1242">
        <f t="shared" si="4"/>
        <v>1</v>
      </c>
      <c r="AC34" s="1242">
        <f t="shared" si="5"/>
        <v>1</v>
      </c>
    </row>
    <row r="35" spans="1:30" ht="15">
      <c r="A35" s="409" t="s">
        <v>1705</v>
      </c>
      <c r="B35" s="410"/>
      <c r="C35" s="1059" t="s">
        <v>0</v>
      </c>
      <c r="D35" s="411"/>
      <c r="E35" s="412"/>
      <c r="F35" s="413"/>
      <c r="G35" s="414"/>
      <c r="H35" s="415"/>
      <c r="I35" s="412"/>
      <c r="J35" s="415"/>
      <c r="K35" s="664"/>
      <c r="L35" s="2469"/>
      <c r="M35" s="2462"/>
      <c r="N35" s="2462"/>
      <c r="O35" s="2462"/>
      <c r="P35" s="3368" t="str">
        <f>A35</f>
        <v>成交单价（元/平方米）</v>
      </c>
      <c r="Q35" s="3368"/>
      <c r="R35" s="3369">
        <f>E35</f>
        <v>0</v>
      </c>
      <c r="S35" s="3369"/>
      <c r="T35" s="3369">
        <f>G35</f>
        <v>0</v>
      </c>
      <c r="U35" s="3369"/>
      <c r="V35" s="3369">
        <f>I35</f>
        <v>0</v>
      </c>
      <c r="W35" s="3369"/>
      <c r="X35" s="378"/>
      <c r="Y35" s="663"/>
      <c r="Z35" s="378"/>
      <c r="AA35" s="378"/>
      <c r="AB35" s="378"/>
      <c r="AC35" s="378"/>
    </row>
    <row r="36" spans="1:30" ht="15.75" thickBot="1">
      <c r="A36" s="416" t="s">
        <v>1790</v>
      </c>
      <c r="B36" s="417"/>
      <c r="C36" s="1060" t="e">
        <f>R37</f>
        <v>#DIV/0!</v>
      </c>
      <c r="D36" s="2118" t="s">
        <v>2135</v>
      </c>
      <c r="E36" s="1061" t="e">
        <f>R36</f>
        <v>#DIV/0!</v>
      </c>
      <c r="F36" s="2119"/>
      <c r="G36" s="1060" t="e">
        <f>T36</f>
        <v>#DIV/0!</v>
      </c>
      <c r="H36" s="2119"/>
      <c r="I36" s="1061" t="e">
        <f>V36</f>
        <v>#DIV/0!</v>
      </c>
      <c r="J36" s="2119"/>
      <c r="K36" s="2121">
        <f>F36+H36+J36</f>
        <v>0</v>
      </c>
      <c r="L36" s="2469"/>
      <c r="M36" s="2462"/>
      <c r="N36" s="2462"/>
      <c r="O36" s="2462"/>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78"/>
      <c r="Y36" s="378"/>
      <c r="Z36" s="378"/>
      <c r="AA36" s="378"/>
      <c r="AB36" s="378"/>
      <c r="AC36" s="378"/>
    </row>
    <row r="37" spans="1:30" ht="15.75" thickBot="1">
      <c r="A37" s="420" t="s">
        <v>1791</v>
      </c>
      <c r="B37" s="421"/>
      <c r="C37" s="344" t="e">
        <f>R37</f>
        <v>#DIV/0!</v>
      </c>
      <c r="D37" s="344"/>
      <c r="E37" s="344"/>
      <c r="F37" s="344"/>
      <c r="G37" s="344"/>
      <c r="H37" s="344"/>
      <c r="I37" s="344"/>
      <c r="J37" s="344"/>
      <c r="K37" s="665"/>
      <c r="L37" s="2469"/>
      <c r="M37" s="2462"/>
      <c r="N37" s="2462"/>
      <c r="O37" s="2462"/>
      <c r="P37" s="3365" t="str">
        <f>A37</f>
        <v>估价对象XX用房的比较价值（楼面单价，元/平方米）</v>
      </c>
      <c r="Q37" s="3366"/>
      <c r="R37" s="3431" t="e">
        <f>IF(F1="售价",ROUND(IF(D36="简单平均",AVERAGE(R36:W36),R36*F36+T36*H36+V36*J36),0),ROUND(IF(D36="简单平均",AVERAGE(R36:V36),R36*F36+T36*H36+V36*J36),1))</f>
        <v>#DIV/0!</v>
      </c>
      <c r="S37" s="3431"/>
      <c r="T37" s="3431"/>
      <c r="U37" s="3431"/>
      <c r="V37" s="3431"/>
      <c r="W37" s="3431"/>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1792</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1793</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1794</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1795</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1676</v>
      </c>
      <c r="B46" s="434"/>
      <c r="C46" s="1081" t="str">
        <f>YEAR(C7)&amp;"-"&amp;MONTH(C7)</f>
        <v>2025-3</v>
      </c>
      <c r="D46" s="1082">
        <f>EDATE(C46,-1)</f>
        <v>45689</v>
      </c>
      <c r="E46" s="1082">
        <f t="shared" ref="E46:O46" si="16">EDATE(D46,-1)</f>
        <v>45658</v>
      </c>
      <c r="F46" s="1082">
        <f t="shared" si="16"/>
        <v>45627</v>
      </c>
      <c r="G46" s="1082">
        <f t="shared" si="16"/>
        <v>45597</v>
      </c>
      <c r="H46" s="1082">
        <f t="shared" si="16"/>
        <v>45566</v>
      </c>
      <c r="I46" s="1082">
        <f t="shared" si="16"/>
        <v>45536</v>
      </c>
      <c r="J46" s="1082">
        <f t="shared" si="16"/>
        <v>45505</v>
      </c>
      <c r="K46" s="1082">
        <f t="shared" si="16"/>
        <v>45474</v>
      </c>
      <c r="L46" s="1082">
        <f t="shared" si="16"/>
        <v>45444</v>
      </c>
      <c r="M46" s="1082">
        <f t="shared" si="16"/>
        <v>45413</v>
      </c>
      <c r="N46" s="1082">
        <f t="shared" si="16"/>
        <v>45383</v>
      </c>
      <c r="O46" s="1082">
        <f t="shared" si="16"/>
        <v>45352</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1713</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1678</v>
      </c>
      <c r="B49" s="437"/>
      <c r="C49" s="449" t="s">
        <v>1773</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1716</v>
      </c>
      <c r="B51" s="453" t="s">
        <v>1682</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1685</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1687</v>
      </c>
      <c r="B61" s="453" t="s">
        <v>1723</v>
      </c>
      <c r="C61" s="497" t="s">
        <v>1718</v>
      </c>
      <c r="D61" s="497" t="s">
        <v>1719</v>
      </c>
      <c r="E61" s="497" t="s">
        <v>1720</v>
      </c>
      <c r="F61" s="497" t="s">
        <v>1721</v>
      </c>
      <c r="G61" s="497" t="s">
        <v>1722</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1860</v>
      </c>
      <c r="C63" s="502" t="s">
        <v>1718</v>
      </c>
      <c r="D63" s="502" t="s">
        <v>1719</v>
      </c>
      <c r="E63" s="502" t="s">
        <v>1720</v>
      </c>
      <c r="F63" s="502" t="s">
        <v>1721</v>
      </c>
      <c r="G63" s="502" t="s">
        <v>1722</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1810</v>
      </c>
      <c r="C65" s="574" t="s">
        <v>1796</v>
      </c>
      <c r="D65" s="574" t="s">
        <v>1797</v>
      </c>
      <c r="E65" s="574" t="s">
        <v>1798</v>
      </c>
      <c r="F65" s="574" t="s">
        <v>1799</v>
      </c>
      <c r="G65" s="574" t="s">
        <v>1800</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1730</v>
      </c>
      <c r="C67" s="502" t="s">
        <v>1718</v>
      </c>
      <c r="D67" s="502" t="s">
        <v>1719</v>
      </c>
      <c r="E67" s="502" t="s">
        <v>1720</v>
      </c>
      <c r="F67" s="502" t="s">
        <v>1721</v>
      </c>
      <c r="G67" s="502" t="s">
        <v>1722</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1849</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1691</v>
      </c>
      <c r="B77" s="453" t="s">
        <v>1737</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1852</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1853</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1861</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1862</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1863</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905</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69"/>
      <c r="B4" s="3158" t="s">
        <v>914</v>
      </c>
      <c r="C4" s="3158"/>
      <c r="D4" s="3158"/>
      <c r="E4" s="1369"/>
    </row>
    <row r="5" spans="1:5" ht="16.5" thickTop="1">
      <c r="B5" s="3156" t="s">
        <v>906</v>
      </c>
      <c r="C5" s="1370" t="s">
        <v>907</v>
      </c>
      <c r="D5" s="779" t="e">
        <f ca="1">'结果表-商业'!H101</f>
        <v>#REF!</v>
      </c>
    </row>
    <row r="6" spans="1:5" ht="15.75">
      <c r="B6" s="3156"/>
      <c r="C6" s="1370" t="s">
        <v>908</v>
      </c>
      <c r="D6" s="779" t="e">
        <f ca="1">NUMBERSTRING(INT(D5*10000),2)&amp;"元整"</f>
        <v>#REF!</v>
      </c>
    </row>
    <row r="7" spans="1:5" ht="15.75">
      <c r="B7" s="3161"/>
      <c r="C7" s="1371" t="s">
        <v>909</v>
      </c>
      <c r="D7" s="780" t="e">
        <f ca="1">'结果表-商业'!H102</f>
        <v>#REF!</v>
      </c>
    </row>
    <row r="8" spans="1:5" ht="15.75">
      <c r="B8" s="3162" t="str">
        <f>'结果表-商业'!E103</f>
        <v>2.估价师知悉的法定优先受偿款</v>
      </c>
      <c r="C8" s="1372" t="s">
        <v>910</v>
      </c>
      <c r="D8" s="780">
        <f>'结果表-商业'!H103</f>
        <v>0</v>
      </c>
    </row>
    <row r="9" spans="1:5" ht="15.75">
      <c r="B9" s="3164"/>
      <c r="C9" s="1370" t="s">
        <v>908</v>
      </c>
      <c r="D9" s="779" t="str">
        <f>NUMBERSTRING(INT(D8*10000),2)&amp;"元整"</f>
        <v>零元整</v>
      </c>
    </row>
    <row r="10" spans="1:5" ht="15">
      <c r="B10" s="1373" t="s">
        <v>913</v>
      </c>
      <c r="C10" s="1374" t="s">
        <v>911</v>
      </c>
      <c r="D10" s="781">
        <f>'结果表-商业'!H104</f>
        <v>0</v>
      </c>
    </row>
    <row r="11" spans="1:5" ht="15">
      <c r="B11" s="1373" t="s">
        <v>915</v>
      </c>
      <c r="C11" s="1374" t="s">
        <v>916</v>
      </c>
      <c r="D11" s="781">
        <f>'结果表-商业'!H105</f>
        <v>0</v>
      </c>
    </row>
    <row r="12" spans="1:5" ht="15">
      <c r="B12" s="1373" t="s">
        <v>917</v>
      </c>
      <c r="C12" s="1374" t="s">
        <v>916</v>
      </c>
      <c r="D12" s="781">
        <f>'结果表-商业'!H106</f>
        <v>0</v>
      </c>
    </row>
    <row r="13" spans="1:5" ht="15.75">
      <c r="B13" s="3155" t="str">
        <f>'结果表-商业'!E107</f>
        <v>3.房地产抵押价值</v>
      </c>
      <c r="C13" s="1375" t="s">
        <v>907</v>
      </c>
      <c r="D13" s="782" t="e">
        <f ca="1">'结果表-商业'!H107</f>
        <v>#REF!</v>
      </c>
    </row>
    <row r="14" spans="1:5" ht="15.75">
      <c r="B14" s="3156"/>
      <c r="C14" s="1370" t="s">
        <v>908</v>
      </c>
      <c r="D14" s="779" t="e">
        <f ca="1">NUMBERSTRING(INT(D13*10000),2)&amp;"元整"</f>
        <v>#REF!</v>
      </c>
    </row>
    <row r="15" spans="1:5" ht="15">
      <c r="B15" s="3161"/>
      <c r="C15" s="1371" t="s">
        <v>918</v>
      </c>
      <c r="D15" s="786" t="e">
        <f ca="1">'结果表-商业'!H108</f>
        <v>#REF!</v>
      </c>
    </row>
    <row r="16" spans="1:5" ht="15">
      <c r="B16" s="3162" t="str">
        <f>'结果表-商业'!E109</f>
        <v>——</v>
      </c>
      <c r="C16" s="1375" t="s">
        <v>919</v>
      </c>
      <c r="D16" s="1376" t="str">
        <f>'结果表-商业'!H109</f>
        <v>——</v>
      </c>
    </row>
    <row r="17" spans="1:5" ht="15.75">
      <c r="B17" s="3163"/>
      <c r="C17" s="1370" t="s">
        <v>920</v>
      </c>
      <c r="D17" s="779" t="e">
        <f>NUMBERSTRING(INT(D16*10000),2)&amp;"元整"</f>
        <v>#VALUE!</v>
      </c>
    </row>
    <row r="18" spans="1:5" ht="15">
      <c r="B18" s="3164"/>
      <c r="C18" s="1371" t="s">
        <v>909</v>
      </c>
      <c r="D18" s="786" t="str">
        <f>'结果表-商业'!H110</f>
        <v>——</v>
      </c>
    </row>
    <row r="19" spans="1:5" ht="15.75">
      <c r="B19" s="3155" t="str">
        <f>'结果表-商业'!E111</f>
        <v>——</v>
      </c>
      <c r="C19" s="1375" t="s">
        <v>907</v>
      </c>
      <c r="D19" s="780" t="str">
        <f>'结果表-商业'!H111</f>
        <v>——</v>
      </c>
    </row>
    <row r="20" spans="1:5" ht="15.75">
      <c r="B20" s="3156"/>
      <c r="C20" s="1370" t="s">
        <v>920</v>
      </c>
      <c r="D20" s="779" t="e">
        <f>NUMBERSTRING(INT(D19*10000),2)&amp;"元整"</f>
        <v>#VALUE!</v>
      </c>
    </row>
    <row r="21" spans="1:5" ht="15.75" thickBot="1">
      <c r="B21" s="3157"/>
      <c r="C21" s="1377" t="s">
        <v>918</v>
      </c>
      <c r="D21" s="787" t="str">
        <f>'结果表-商业'!H112</f>
        <v>——</v>
      </c>
    </row>
    <row r="22" spans="1:5" ht="15" thickTop="1">
      <c r="B22" s="1378" t="s">
        <v>921</v>
      </c>
    </row>
    <row r="24" spans="1:5" ht="18.75">
      <c r="A24" s="1379"/>
      <c r="B24" s="1380" t="s">
        <v>912</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1865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387" t="s">
        <v>1772</v>
      </c>
      <c r="Q4" s="3388"/>
      <c r="R4" s="3393" t="s">
        <v>1768</v>
      </c>
      <c r="S4" s="3394"/>
      <c r="T4" s="3393" t="s">
        <v>1769</v>
      </c>
      <c r="U4" s="3394"/>
      <c r="V4" s="3369" t="s">
        <v>1770</v>
      </c>
      <c r="W4" s="3369"/>
      <c r="X4" s="1243"/>
      <c r="Y4" s="3393" t="s">
        <v>1772</v>
      </c>
      <c r="Z4" s="3394"/>
      <c r="AA4" s="3380" t="s">
        <v>1768</v>
      </c>
      <c r="AB4" s="3381" t="s">
        <v>1769</v>
      </c>
      <c r="AC4" s="3380" t="s">
        <v>1770</v>
      </c>
    </row>
    <row r="5" spans="1:29" ht="15">
      <c r="A5" s="341"/>
      <c r="B5" s="342"/>
      <c r="C5" s="3401" t="s">
        <v>1670</v>
      </c>
      <c r="D5" s="3402"/>
      <c r="E5" s="3408" t="s">
        <v>1671</v>
      </c>
      <c r="F5" s="3409"/>
      <c r="G5" s="3401" t="s">
        <v>1672</v>
      </c>
      <c r="H5" s="3402"/>
      <c r="I5" s="3401" t="s">
        <v>1673</v>
      </c>
      <c r="J5" s="3402"/>
      <c r="K5" s="530"/>
      <c r="L5" s="2461"/>
      <c r="M5" s="2462"/>
      <c r="N5" s="2462"/>
      <c r="O5" s="2462"/>
      <c r="P5" s="3389"/>
      <c r="Q5" s="3390"/>
      <c r="R5" s="3395"/>
      <c r="S5" s="3396"/>
      <c r="T5" s="3395"/>
      <c r="U5" s="3396"/>
      <c r="V5" s="3369"/>
      <c r="W5" s="3369"/>
      <c r="X5" s="1243"/>
      <c r="Y5" s="3395"/>
      <c r="Z5" s="3396"/>
      <c r="AA5" s="3381"/>
      <c r="AB5" s="3381"/>
      <c r="AC5" s="3381"/>
    </row>
    <row r="6" spans="1:29" ht="15.75" thickBot="1">
      <c r="A6" s="343"/>
      <c r="B6" s="344"/>
      <c r="C6" s="3399" t="s">
        <v>1674</v>
      </c>
      <c r="D6" s="3400"/>
      <c r="E6" s="3406" t="s">
        <v>1674</v>
      </c>
      <c r="F6" s="3407"/>
      <c r="G6" s="3399" t="s">
        <v>1674</v>
      </c>
      <c r="H6" s="3400"/>
      <c r="I6" s="3399" t="s">
        <v>1674</v>
      </c>
      <c r="J6" s="3400"/>
      <c r="K6" s="530" t="s">
        <v>1675</v>
      </c>
      <c r="L6" s="2461"/>
      <c r="M6" s="2462"/>
      <c r="N6" s="2462"/>
      <c r="O6" s="2462"/>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03" t="s">
        <v>1677</v>
      </c>
      <c r="Q7" s="3405"/>
      <c r="R7" s="654" t="s">
        <v>14</v>
      </c>
      <c r="S7" s="655">
        <f t="shared" ref="S7:S15" si="0">F7</f>
        <v>0</v>
      </c>
      <c r="T7" s="654" t="s">
        <v>14</v>
      </c>
      <c r="U7" s="655">
        <f t="shared" ref="U7:U15" si="1">H7</f>
        <v>0</v>
      </c>
      <c r="V7" s="654" t="s">
        <v>14</v>
      </c>
      <c r="W7" s="655">
        <f t="shared" ref="W7:W15" si="2">J7</f>
        <v>0</v>
      </c>
      <c r="X7" s="656"/>
      <c r="Y7" s="3403" t="s">
        <v>1677</v>
      </c>
      <c r="Z7" s="3404"/>
      <c r="AA7" s="50" t="e">
        <f>D7/F7</f>
        <v>#DIV/0!</v>
      </c>
      <c r="AB7" s="50" t="e">
        <f>D7/H7</f>
        <v>#DIV/0!</v>
      </c>
      <c r="AC7" s="50" t="e">
        <f>D7/J7</f>
        <v>#DIV/0!</v>
      </c>
    </row>
    <row r="8" spans="1:29" s="101" customFormat="1" ht="15.75" thickBot="1">
      <c r="A8" s="345" t="s">
        <v>1678</v>
      </c>
      <c r="B8" s="346"/>
      <c r="C8" s="351" t="s">
        <v>1679</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03" t="s">
        <v>1680</v>
      </c>
      <c r="Q8" s="3404"/>
      <c r="R8" s="654" t="s">
        <v>14</v>
      </c>
      <c r="S8" s="655">
        <f t="shared" si="0"/>
        <v>0</v>
      </c>
      <c r="T8" s="654" t="s">
        <v>14</v>
      </c>
      <c r="U8" s="655">
        <f t="shared" si="1"/>
        <v>0</v>
      </c>
      <c r="V8" s="654" t="s">
        <v>14</v>
      </c>
      <c r="W8" s="655">
        <f t="shared" si="2"/>
        <v>0</v>
      </c>
      <c r="X8" s="656"/>
      <c r="Y8" s="3403" t="s">
        <v>1680</v>
      </c>
      <c r="Z8" s="3404"/>
      <c r="AA8" s="50" t="e">
        <f t="shared" ref="AA8:AA45" si="3">D8/F8</f>
        <v>#DIV/0!</v>
      </c>
      <c r="AB8" s="50" t="e">
        <f t="shared" ref="AB8:AB45" si="4">D8/H8</f>
        <v>#DIV/0!</v>
      </c>
      <c r="AC8" s="50" t="e">
        <f t="shared" ref="AC8:AC45" si="5">D8/J8</f>
        <v>#DIV/0!</v>
      </c>
    </row>
    <row r="9" spans="1:29" s="101" customFormat="1">
      <c r="A9" s="352" t="s">
        <v>1681</v>
      </c>
      <c r="B9" s="60" t="s">
        <v>1682</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68"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96"/>
      <c r="F10" s="113">
        <f>ROUND(100/'数据-取费表'!G16,0)</f>
        <v>105</v>
      </c>
      <c r="G10" s="395"/>
      <c r="H10" s="113">
        <f>ROUND(100/'数据-取费表'!G16,0)</f>
        <v>105</v>
      </c>
      <c r="I10" s="395"/>
      <c r="J10" s="113">
        <f>ROUND(100/'数据-取费表'!G16,0)</f>
        <v>105</v>
      </c>
      <c r="K10" s="585"/>
      <c r="L10" s="2464"/>
      <c r="M10" s="2465"/>
      <c r="N10" s="2465"/>
      <c r="O10" s="2516"/>
      <c r="P10" s="3368"/>
      <c r="Q10" s="523" t="str">
        <f t="shared" si="6"/>
        <v>土地使用年限（年）</v>
      </c>
      <c r="R10" s="654" t="s">
        <v>14</v>
      </c>
      <c r="S10" s="655">
        <f t="shared" si="0"/>
        <v>105</v>
      </c>
      <c r="T10" s="654" t="s">
        <v>14</v>
      </c>
      <c r="U10" s="655">
        <f t="shared" si="1"/>
        <v>105</v>
      </c>
      <c r="V10" s="654" t="s">
        <v>14</v>
      </c>
      <c r="W10" s="655">
        <f t="shared" si="2"/>
        <v>105</v>
      </c>
      <c r="X10" s="656"/>
      <c r="Y10" s="3243"/>
      <c r="Z10" s="50" t="str">
        <f t="shared" si="7"/>
        <v>土地使用年限（年）</v>
      </c>
      <c r="AA10" s="50">
        <f t="shared" si="3"/>
        <v>0.95238095238095233</v>
      </c>
      <c r="AB10" s="50">
        <f t="shared" si="4"/>
        <v>0.95238095238095233</v>
      </c>
      <c r="AC10" s="50">
        <f t="shared" si="5"/>
        <v>0.95238095238095233</v>
      </c>
    </row>
    <row r="11" spans="1:29" ht="15">
      <c r="A11" s="360"/>
      <c r="B11" s="357" t="s">
        <v>1686</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68"/>
      <c r="Q11" s="523" t="str">
        <f t="shared" si="6"/>
        <v>容积率</v>
      </c>
      <c r="R11" s="654" t="s">
        <v>14</v>
      </c>
      <c r="S11" s="655" t="e">
        <f t="shared" si="0"/>
        <v>#N/A</v>
      </c>
      <c r="T11" s="654" t="s">
        <v>14</v>
      </c>
      <c r="U11" s="655" t="e">
        <f t="shared" si="1"/>
        <v>#N/A</v>
      </c>
      <c r="V11" s="654" t="s">
        <v>14</v>
      </c>
      <c r="W11" s="655" t="e">
        <f t="shared" si="2"/>
        <v>#N/A</v>
      </c>
      <c r="X11" s="656"/>
      <c r="Y11" s="3243"/>
      <c r="Z11" s="50" t="str">
        <f t="shared" si="7"/>
        <v>容积率</v>
      </c>
      <c r="AA11" s="50" t="e">
        <f t="shared" si="3"/>
        <v>#N/A</v>
      </c>
      <c r="AB11" s="50" t="e">
        <f t="shared" si="4"/>
        <v>#N/A</v>
      </c>
      <c r="AC11" s="50" t="e">
        <f t="shared" si="5"/>
        <v>#N/A</v>
      </c>
    </row>
    <row r="12" spans="1:29" s="101" customFormat="1" ht="15">
      <c r="A12" s="363"/>
      <c r="B12" s="440" t="s">
        <v>1867</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68"/>
      <c r="Q12" s="523" t="str">
        <f t="shared" si="6"/>
        <v>配建</v>
      </c>
      <c r="R12" s="654" t="s">
        <v>14</v>
      </c>
      <c r="S12" s="655">
        <f t="shared" si="0"/>
        <v>100</v>
      </c>
      <c r="T12" s="654" t="s">
        <v>14</v>
      </c>
      <c r="U12" s="655">
        <f t="shared" si="1"/>
        <v>100</v>
      </c>
      <c r="V12" s="654" t="s">
        <v>14</v>
      </c>
      <c r="W12" s="655">
        <f t="shared" si="2"/>
        <v>100</v>
      </c>
      <c r="X12" s="656"/>
      <c r="Y12" s="3243"/>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68"/>
      <c r="Q13" s="523">
        <f t="shared" si="6"/>
        <v>111</v>
      </c>
      <c r="R13" s="654" t="s">
        <v>14</v>
      </c>
      <c r="S13" s="655">
        <f t="shared" si="0"/>
        <v>100</v>
      </c>
      <c r="T13" s="654" t="s">
        <v>14</v>
      </c>
      <c r="U13" s="655">
        <f t="shared" si="1"/>
        <v>100</v>
      </c>
      <c r="V13" s="654" t="s">
        <v>14</v>
      </c>
      <c r="W13" s="655">
        <f t="shared" si="2"/>
        <v>100</v>
      </c>
      <c r="X13" s="656"/>
      <c r="Y13" s="3243"/>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68"/>
      <c r="Q14" s="523">
        <f t="shared" si="6"/>
        <v>111</v>
      </c>
      <c r="R14" s="654" t="s">
        <v>14</v>
      </c>
      <c r="S14" s="655">
        <f t="shared" si="0"/>
        <v>100</v>
      </c>
      <c r="T14" s="654" t="s">
        <v>14</v>
      </c>
      <c r="U14" s="655">
        <f t="shared" si="1"/>
        <v>100</v>
      </c>
      <c r="V14" s="654" t="s">
        <v>14</v>
      </c>
      <c r="W14" s="655">
        <f t="shared" si="2"/>
        <v>100</v>
      </c>
      <c r="X14" s="656"/>
      <c r="Y14" s="3243"/>
      <c r="Z14" s="50">
        <f t="shared" si="7"/>
        <v>111</v>
      </c>
      <c r="AA14" s="50">
        <f>D14/F14</f>
        <v>1</v>
      </c>
      <c r="AB14" s="50">
        <f>D14/H14</f>
        <v>1</v>
      </c>
      <c r="AC14" s="50">
        <f>D14/J14</f>
        <v>1</v>
      </c>
    </row>
    <row r="15" spans="1:29" ht="15">
      <c r="A15" s="372" t="s">
        <v>1687</v>
      </c>
      <c r="B15" s="58" t="s">
        <v>1254</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70" t="s">
        <v>1688</v>
      </c>
      <c r="Q15" s="1241" t="str">
        <f t="shared" si="6"/>
        <v>居住社区成熟度</v>
      </c>
      <c r="R15" s="657" t="s">
        <v>14</v>
      </c>
      <c r="S15" s="658">
        <f t="shared" si="0"/>
        <v>100</v>
      </c>
      <c r="T15" s="657" t="s">
        <v>14</v>
      </c>
      <c r="U15" s="658">
        <f t="shared" si="1"/>
        <v>100</v>
      </c>
      <c r="V15" s="657" t="s">
        <v>14</v>
      </c>
      <c r="W15" s="658">
        <f t="shared" si="2"/>
        <v>100</v>
      </c>
      <c r="X15" s="1243"/>
      <c r="Y15" s="3370" t="s">
        <v>1688</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71"/>
      <c r="Q16" s="1241"/>
      <c r="R16" s="657"/>
      <c r="S16" s="658"/>
      <c r="T16" s="657"/>
      <c r="U16" s="658"/>
      <c r="V16" s="657"/>
      <c r="W16" s="658"/>
      <c r="X16" s="1243"/>
      <c r="Y16" s="3371"/>
      <c r="Z16" s="1242"/>
      <c r="AA16" s="1242">
        <v>1</v>
      </c>
      <c r="AB16" s="1242">
        <v>1</v>
      </c>
      <c r="AC16" s="1242">
        <v>1</v>
      </c>
    </row>
    <row r="17" spans="1:29" ht="15">
      <c r="A17" s="360"/>
      <c r="B17" s="383" t="s">
        <v>1774</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71"/>
      <c r="Q17" s="1241" t="str">
        <f>B17</f>
        <v>商业繁华度</v>
      </c>
      <c r="R17" s="657" t="s">
        <v>14</v>
      </c>
      <c r="S17" s="658">
        <f>F17</f>
        <v>100</v>
      </c>
      <c r="T17" s="657" t="s">
        <v>14</v>
      </c>
      <c r="U17" s="658">
        <f>H17</f>
        <v>100</v>
      </c>
      <c r="V17" s="657" t="s">
        <v>14</v>
      </c>
      <c r="W17" s="658">
        <f>J17</f>
        <v>100</v>
      </c>
      <c r="X17" s="1243"/>
      <c r="Y17" s="3371"/>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71"/>
      <c r="Q18" s="1241"/>
      <c r="R18" s="657"/>
      <c r="S18" s="658"/>
      <c r="T18" s="657"/>
      <c r="U18" s="658"/>
      <c r="V18" s="657"/>
      <c r="W18" s="658"/>
      <c r="X18" s="1243"/>
      <c r="Y18" s="3371"/>
      <c r="Z18" s="1242"/>
      <c r="AA18" s="1242">
        <v>1</v>
      </c>
      <c r="AB18" s="1242">
        <v>1</v>
      </c>
      <c r="AC18" s="1242">
        <v>1</v>
      </c>
    </row>
    <row r="19" spans="1:29" ht="15">
      <c r="A19" s="360"/>
      <c r="B19" s="383" t="s">
        <v>1808</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71"/>
      <c r="Q19" s="1241" t="str">
        <f>B19</f>
        <v>办公集聚程度</v>
      </c>
      <c r="R19" s="657" t="s">
        <v>14</v>
      </c>
      <c r="S19" s="658">
        <f>F19</f>
        <v>100</v>
      </c>
      <c r="T19" s="657" t="s">
        <v>14</v>
      </c>
      <c r="U19" s="658">
        <f>H19</f>
        <v>100</v>
      </c>
      <c r="V19" s="657" t="s">
        <v>14</v>
      </c>
      <c r="W19" s="658">
        <f>J19</f>
        <v>100</v>
      </c>
      <c r="X19" s="1243"/>
      <c r="Y19" s="3371"/>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71"/>
      <c r="Q20" s="1241"/>
      <c r="R20" s="657"/>
      <c r="S20" s="658"/>
      <c r="T20" s="657"/>
      <c r="U20" s="658"/>
      <c r="V20" s="657"/>
      <c r="W20" s="658"/>
      <c r="X20" s="1243"/>
      <c r="Y20" s="3371"/>
      <c r="Z20" s="1242"/>
      <c r="AA20" s="1242">
        <v>1</v>
      </c>
      <c r="AB20" s="1242">
        <v>1</v>
      </c>
      <c r="AC20" s="1242">
        <v>1</v>
      </c>
    </row>
    <row r="21" spans="1:29" ht="15">
      <c r="A21" s="360"/>
      <c r="B21" s="383" t="s">
        <v>1830</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71"/>
      <c r="Q21" s="1241" t="str">
        <f>B21</f>
        <v>交通便捷度</v>
      </c>
      <c r="R21" s="657" t="s">
        <v>14</v>
      </c>
      <c r="S21" s="658">
        <f>F21</f>
        <v>100</v>
      </c>
      <c r="T21" s="657" t="s">
        <v>14</v>
      </c>
      <c r="U21" s="658">
        <f>H21</f>
        <v>100</v>
      </c>
      <c r="V21" s="657" t="s">
        <v>14</v>
      </c>
      <c r="W21" s="658">
        <f>J21</f>
        <v>100</v>
      </c>
      <c r="X21" s="1243"/>
      <c r="Y21" s="3371"/>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71"/>
      <c r="Q22" s="1241"/>
      <c r="R22" s="657"/>
      <c r="S22" s="658"/>
      <c r="T22" s="657"/>
      <c r="U22" s="658"/>
      <c r="V22" s="657"/>
      <c r="W22" s="658"/>
      <c r="X22" s="1243"/>
      <c r="Y22" s="3371"/>
      <c r="Z22" s="1242"/>
      <c r="AA22" s="1242">
        <v>1</v>
      </c>
      <c r="AB22" s="1242">
        <v>1</v>
      </c>
      <c r="AC22" s="1242">
        <v>1</v>
      </c>
    </row>
    <row r="23" spans="1:29" ht="15">
      <c r="A23" s="341"/>
      <c r="B23" s="383" t="s">
        <v>1868</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71"/>
      <c r="Q23" s="1241" t="str">
        <f t="shared" ref="Q23:Q37" si="8">B23</f>
        <v>区域土地利用方向</v>
      </c>
      <c r="R23" s="657" t="s">
        <v>14</v>
      </c>
      <c r="S23" s="658">
        <f>F23</f>
        <v>100</v>
      </c>
      <c r="T23" s="657" t="s">
        <v>14</v>
      </c>
      <c r="U23" s="658">
        <f>H23</f>
        <v>100</v>
      </c>
      <c r="V23" s="657" t="s">
        <v>14</v>
      </c>
      <c r="W23" s="658">
        <f>J23</f>
        <v>100</v>
      </c>
      <c r="X23" s="1243"/>
      <c r="Y23" s="3371"/>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71"/>
      <c r="Q24" s="1241"/>
      <c r="R24" s="657"/>
      <c r="S24" s="658"/>
      <c r="T24" s="657"/>
      <c r="U24" s="658"/>
      <c r="V24" s="657"/>
      <c r="W24" s="658"/>
      <c r="X24" s="1243"/>
      <c r="Y24" s="3371"/>
      <c r="Z24" s="1242"/>
      <c r="AA24" s="1242"/>
      <c r="AB24" s="1242"/>
      <c r="AC24" s="1242"/>
    </row>
    <row r="25" spans="1:29" ht="27">
      <c r="A25" s="341"/>
      <c r="B25" s="579" t="s">
        <v>1869</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71"/>
      <c r="Q25" s="1241" t="str">
        <f t="shared" si="8"/>
        <v>自然及人文环境状况</v>
      </c>
      <c r="R25" s="657" t="s">
        <v>14</v>
      </c>
      <c r="S25" s="658">
        <f>F25</f>
        <v>100</v>
      </c>
      <c r="T25" s="657" t="s">
        <v>14</v>
      </c>
      <c r="U25" s="658">
        <f>H25</f>
        <v>100</v>
      </c>
      <c r="V25" s="657" t="s">
        <v>14</v>
      </c>
      <c r="W25" s="658">
        <f>J25</f>
        <v>100</v>
      </c>
      <c r="X25" s="1243"/>
      <c r="Y25" s="3371"/>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71"/>
      <c r="Q26" s="1241"/>
      <c r="R26" s="657"/>
      <c r="S26" s="658"/>
      <c r="T26" s="657"/>
      <c r="U26" s="658"/>
      <c r="V26" s="657"/>
      <c r="W26" s="658"/>
      <c r="X26" s="1243"/>
      <c r="Y26" s="3371"/>
      <c r="Z26" s="1242"/>
      <c r="AA26" s="1242">
        <v>1</v>
      </c>
      <c r="AB26" s="1242">
        <v>1</v>
      </c>
      <c r="AC26" s="1242">
        <v>1</v>
      </c>
    </row>
    <row r="27" spans="1:29" s="101" customFormat="1" ht="15">
      <c r="A27" s="436"/>
      <c r="B27" s="579" t="s">
        <v>1775</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71"/>
      <c r="Q27" s="523" t="str">
        <f t="shared" si="8"/>
        <v>公共配套设施</v>
      </c>
      <c r="R27" s="654" t="s">
        <v>14</v>
      </c>
      <c r="S27" s="655">
        <f>F27</f>
        <v>100</v>
      </c>
      <c r="T27" s="654" t="s">
        <v>14</v>
      </c>
      <c r="U27" s="655">
        <f>H27</f>
        <v>100</v>
      </c>
      <c r="V27" s="654" t="s">
        <v>14</v>
      </c>
      <c r="W27" s="655">
        <f>J27</f>
        <v>100</v>
      </c>
      <c r="X27" s="656"/>
      <c r="Y27" s="3371"/>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71"/>
      <c r="Q28" s="523"/>
      <c r="R28" s="654"/>
      <c r="S28" s="655"/>
      <c r="T28" s="654"/>
      <c r="U28" s="655"/>
      <c r="V28" s="654"/>
      <c r="W28" s="655"/>
      <c r="X28" s="656"/>
      <c r="Y28" s="3371"/>
      <c r="Z28" s="50"/>
      <c r="AA28" s="1242">
        <v>1</v>
      </c>
      <c r="AB28" s="1242">
        <v>1</v>
      </c>
      <c r="AC28" s="1242">
        <v>1</v>
      </c>
    </row>
    <row r="29" spans="1:29" s="101" customFormat="1" ht="15">
      <c r="A29" s="436"/>
      <c r="B29" s="579" t="s">
        <v>1776</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71"/>
      <c r="Q29" s="523" t="str">
        <f t="shared" ref="Q29" si="9">B29</f>
        <v>基础设施水平</v>
      </c>
      <c r="R29" s="654" t="s">
        <v>14</v>
      </c>
      <c r="S29" s="655">
        <f>F29</f>
        <v>100</v>
      </c>
      <c r="T29" s="654" t="s">
        <v>14</v>
      </c>
      <c r="U29" s="655">
        <f>H29</f>
        <v>100</v>
      </c>
      <c r="V29" s="654" t="s">
        <v>14</v>
      </c>
      <c r="W29" s="655">
        <f>J29</f>
        <v>100</v>
      </c>
      <c r="X29" s="656"/>
      <c r="Y29" s="3371"/>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71"/>
      <c r="Q30" s="523"/>
      <c r="R30" s="654"/>
      <c r="S30" s="655"/>
      <c r="T30" s="654"/>
      <c r="U30" s="655"/>
      <c r="V30" s="654"/>
      <c r="W30" s="655"/>
      <c r="X30" s="656"/>
      <c r="Y30" s="3371"/>
      <c r="Z30" s="50"/>
      <c r="AA30" s="1242">
        <v>1</v>
      </c>
      <c r="AB30" s="1242">
        <v>1</v>
      </c>
      <c r="AC30" s="1242">
        <v>1</v>
      </c>
    </row>
    <row r="31" spans="1:29" ht="15">
      <c r="A31" s="360"/>
      <c r="B31" s="388" t="s">
        <v>1777</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71"/>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71"/>
      <c r="Z31" s="1242" t="str">
        <f t="shared" ref="Z31:Z45" si="13">Q31</f>
        <v>临街状况</v>
      </c>
      <c r="AA31" s="1242">
        <f t="shared" si="3"/>
        <v>1</v>
      </c>
      <c r="AB31" s="1242">
        <f t="shared" si="4"/>
        <v>1</v>
      </c>
      <c r="AC31" s="1242">
        <f t="shared" si="5"/>
        <v>1</v>
      </c>
    </row>
    <row r="32" spans="1:29" ht="27">
      <c r="A32" s="360"/>
      <c r="B32" s="579" t="s">
        <v>1812</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71"/>
      <c r="Q32" s="1241" t="str">
        <f t="shared" si="8"/>
        <v>毗邻道路的类型与等级</v>
      </c>
      <c r="R32" s="657" t="s">
        <v>14</v>
      </c>
      <c r="S32" s="658">
        <f t="shared" si="10"/>
        <v>100</v>
      </c>
      <c r="T32" s="657" t="s">
        <v>14</v>
      </c>
      <c r="U32" s="658">
        <f t="shared" si="11"/>
        <v>100</v>
      </c>
      <c r="V32" s="657" t="s">
        <v>14</v>
      </c>
      <c r="W32" s="658">
        <f t="shared" si="12"/>
        <v>100</v>
      </c>
      <c r="X32" s="1243"/>
      <c r="Y32" s="3371"/>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71"/>
      <c r="Q33" s="1241"/>
      <c r="R33" s="657"/>
      <c r="S33" s="658"/>
      <c r="T33" s="657"/>
      <c r="U33" s="658"/>
      <c r="V33" s="657"/>
      <c r="W33" s="658"/>
      <c r="X33" s="1243"/>
      <c r="Y33" s="3371"/>
      <c r="Z33" s="1242"/>
      <c r="AA33" s="1242">
        <v>1</v>
      </c>
      <c r="AB33" s="1242">
        <v>1</v>
      </c>
      <c r="AC33" s="1242">
        <v>1</v>
      </c>
    </row>
    <row r="34" spans="1:29" ht="15">
      <c r="A34" s="360"/>
      <c r="B34" s="357" t="s">
        <v>1870</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71"/>
      <c r="Q34" s="1241" t="str">
        <f t="shared" si="8"/>
        <v>土地级别</v>
      </c>
      <c r="R34" s="657" t="s">
        <v>14</v>
      </c>
      <c r="S34" s="658">
        <f t="shared" si="10"/>
        <v>100</v>
      </c>
      <c r="T34" s="657" t="s">
        <v>14</v>
      </c>
      <c r="U34" s="658">
        <f t="shared" si="11"/>
        <v>100</v>
      </c>
      <c r="V34" s="657" t="s">
        <v>14</v>
      </c>
      <c r="W34" s="658">
        <f t="shared" si="12"/>
        <v>100</v>
      </c>
      <c r="X34" s="1243"/>
      <c r="Y34" s="3371"/>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71"/>
      <c r="Q35" s="1241">
        <f t="shared" si="8"/>
        <v>111</v>
      </c>
      <c r="R35" s="657" t="s">
        <v>14</v>
      </c>
      <c r="S35" s="658">
        <f t="shared" si="10"/>
        <v>100</v>
      </c>
      <c r="T35" s="657" t="s">
        <v>14</v>
      </c>
      <c r="U35" s="658">
        <f t="shared" si="11"/>
        <v>100</v>
      </c>
      <c r="V35" s="657" t="s">
        <v>14</v>
      </c>
      <c r="W35" s="658">
        <f t="shared" si="12"/>
        <v>100</v>
      </c>
      <c r="X35" s="1243"/>
      <c r="Y35" s="3371"/>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32" t="s">
        <v>1693</v>
      </c>
      <c r="Q36" s="1241">
        <f t="shared" si="8"/>
        <v>111</v>
      </c>
      <c r="R36" s="657" t="s">
        <v>14</v>
      </c>
      <c r="S36" s="658">
        <f t="shared" si="10"/>
        <v>100</v>
      </c>
      <c r="T36" s="657" t="s">
        <v>14</v>
      </c>
      <c r="U36" s="658">
        <f t="shared" si="11"/>
        <v>100</v>
      </c>
      <c r="V36" s="657" t="s">
        <v>14</v>
      </c>
      <c r="W36" s="658">
        <f t="shared" si="12"/>
        <v>100</v>
      </c>
      <c r="X36" s="1243"/>
      <c r="Y36" s="3375" t="s">
        <v>1693</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75"/>
      <c r="Q37" s="1241">
        <f t="shared" si="8"/>
        <v>111</v>
      </c>
      <c r="R37" s="659" t="s">
        <v>14</v>
      </c>
      <c r="S37" s="660">
        <f t="shared" si="10"/>
        <v>100</v>
      </c>
      <c r="T37" s="659" t="s">
        <v>14</v>
      </c>
      <c r="U37" s="660">
        <f t="shared" si="11"/>
        <v>100</v>
      </c>
      <c r="V37" s="659" t="s">
        <v>14</v>
      </c>
      <c r="W37" s="660">
        <f t="shared" si="12"/>
        <v>100</v>
      </c>
      <c r="X37" s="661"/>
      <c r="Y37" s="3375"/>
      <c r="Z37" s="662">
        <f t="shared" si="13"/>
        <v>111</v>
      </c>
      <c r="AA37" s="1242">
        <f t="shared" si="3"/>
        <v>1</v>
      </c>
      <c r="AB37" s="1242">
        <f t="shared" si="4"/>
        <v>1</v>
      </c>
      <c r="AC37" s="1242">
        <f t="shared" si="5"/>
        <v>1</v>
      </c>
    </row>
    <row r="38" spans="1:29" ht="15">
      <c r="A38" s="402" t="s">
        <v>1691</v>
      </c>
      <c r="B38" s="388" t="s">
        <v>1871</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75"/>
      <c r="Q38" s="1241" t="str">
        <f>B38</f>
        <v>宗地面积</v>
      </c>
      <c r="R38" s="657" t="s">
        <v>14</v>
      </c>
      <c r="S38" s="658" t="e">
        <f t="shared" si="10"/>
        <v>#N/A</v>
      </c>
      <c r="T38" s="657" t="s">
        <v>14</v>
      </c>
      <c r="U38" s="658" t="e">
        <f t="shared" si="11"/>
        <v>#N/A</v>
      </c>
      <c r="V38" s="657" t="s">
        <v>14</v>
      </c>
      <c r="W38" s="658" t="e">
        <f t="shared" si="12"/>
        <v>#N/A</v>
      </c>
      <c r="X38" s="1243"/>
      <c r="Y38" s="3375"/>
      <c r="Z38" s="1242" t="str">
        <f t="shared" si="13"/>
        <v>宗地面积</v>
      </c>
      <c r="AA38" s="1242" t="e">
        <f t="shared" si="3"/>
        <v>#N/A</v>
      </c>
      <c r="AB38" s="1242" t="e">
        <f t="shared" si="4"/>
        <v>#N/A</v>
      </c>
      <c r="AC38" s="1242" t="e">
        <f t="shared" si="5"/>
        <v>#N/A</v>
      </c>
    </row>
    <row r="39" spans="1:29" ht="15">
      <c r="A39" s="402"/>
      <c r="B39" s="357" t="s">
        <v>1872</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75"/>
      <c r="Q39" s="1241" t="str">
        <f t="shared" ref="Q39:Q45" si="14">B39</f>
        <v>宗地形状</v>
      </c>
      <c r="R39" s="657" t="s">
        <v>14</v>
      </c>
      <c r="S39" s="658">
        <f t="shared" si="10"/>
        <v>100</v>
      </c>
      <c r="T39" s="657" t="s">
        <v>14</v>
      </c>
      <c r="U39" s="658">
        <f t="shared" si="11"/>
        <v>100</v>
      </c>
      <c r="V39" s="657" t="s">
        <v>14</v>
      </c>
      <c r="W39" s="658">
        <f t="shared" si="12"/>
        <v>100</v>
      </c>
      <c r="X39" s="1243"/>
      <c r="Y39" s="3375"/>
      <c r="Z39" s="1242" t="str">
        <f t="shared" si="13"/>
        <v>宗地形状</v>
      </c>
      <c r="AA39" s="1242">
        <f t="shared" si="3"/>
        <v>1</v>
      </c>
      <c r="AB39" s="1242">
        <f t="shared" si="4"/>
        <v>1</v>
      </c>
      <c r="AC39" s="1242">
        <f t="shared" si="5"/>
        <v>1</v>
      </c>
    </row>
    <row r="40" spans="1:29" ht="15">
      <c r="A40" s="402"/>
      <c r="B40" s="357" t="s">
        <v>1873</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75"/>
      <c r="Q40" s="1241" t="str">
        <f t="shared" si="14"/>
        <v>临街宽度及深度</v>
      </c>
      <c r="R40" s="657" t="s">
        <v>14</v>
      </c>
      <c r="S40" s="658">
        <f t="shared" si="10"/>
        <v>100</v>
      </c>
      <c r="T40" s="657" t="s">
        <v>14</v>
      </c>
      <c r="U40" s="658">
        <f t="shared" si="11"/>
        <v>100</v>
      </c>
      <c r="V40" s="657" t="s">
        <v>14</v>
      </c>
      <c r="W40" s="658">
        <f t="shared" si="12"/>
        <v>100</v>
      </c>
      <c r="X40" s="1243"/>
      <c r="Y40" s="3375"/>
      <c r="Z40" s="1242" t="str">
        <f t="shared" si="13"/>
        <v>临街宽度及深度</v>
      </c>
      <c r="AA40" s="1242">
        <f t="shared" si="3"/>
        <v>1</v>
      </c>
      <c r="AB40" s="1242">
        <f t="shared" si="4"/>
        <v>1</v>
      </c>
      <c r="AC40" s="1242">
        <f t="shared" si="5"/>
        <v>1</v>
      </c>
    </row>
    <row r="41" spans="1:29" s="101" customFormat="1" ht="15">
      <c r="A41" s="403"/>
      <c r="B41" s="357" t="s">
        <v>1874</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75"/>
      <c r="Q41" s="1241" t="str">
        <f t="shared" si="14"/>
        <v>宗地开发程度</v>
      </c>
      <c r="R41" s="654" t="s">
        <v>14</v>
      </c>
      <c r="S41" s="655">
        <f t="shared" si="10"/>
        <v>100</v>
      </c>
      <c r="T41" s="654" t="s">
        <v>14</v>
      </c>
      <c r="U41" s="655">
        <f t="shared" si="11"/>
        <v>100</v>
      </c>
      <c r="V41" s="654" t="s">
        <v>14</v>
      </c>
      <c r="W41" s="655">
        <f t="shared" si="12"/>
        <v>100</v>
      </c>
      <c r="X41" s="656"/>
      <c r="Y41" s="3375"/>
      <c r="Z41" s="50" t="str">
        <f t="shared" si="13"/>
        <v>宗地开发程度</v>
      </c>
      <c r="AA41" s="50">
        <f t="shared" si="3"/>
        <v>1</v>
      </c>
      <c r="AB41" s="50">
        <f t="shared" si="4"/>
        <v>1</v>
      </c>
      <c r="AC41" s="50">
        <f t="shared" si="5"/>
        <v>1</v>
      </c>
    </row>
    <row r="42" spans="1:29" ht="15">
      <c r="A42" s="402"/>
      <c r="B42" s="357" t="s">
        <v>1875</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75" t="s">
        <v>1693</v>
      </c>
      <c r="Q42" s="1241" t="str">
        <f t="shared" si="14"/>
        <v>工程地质条件</v>
      </c>
      <c r="R42" s="657" t="s">
        <v>14</v>
      </c>
      <c r="S42" s="658">
        <f t="shared" si="10"/>
        <v>100</v>
      </c>
      <c r="T42" s="657" t="s">
        <v>14</v>
      </c>
      <c r="U42" s="658">
        <f t="shared" si="11"/>
        <v>100</v>
      </c>
      <c r="V42" s="657" t="s">
        <v>14</v>
      </c>
      <c r="W42" s="658">
        <f t="shared" si="12"/>
        <v>100</v>
      </c>
      <c r="X42" s="1243"/>
      <c r="Y42" s="3375" t="s">
        <v>1693</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75"/>
      <c r="Q43" s="1241">
        <f t="shared" si="14"/>
        <v>111</v>
      </c>
      <c r="R43" s="657" t="s">
        <v>14</v>
      </c>
      <c r="S43" s="658">
        <f t="shared" si="10"/>
        <v>100</v>
      </c>
      <c r="T43" s="657" t="s">
        <v>14</v>
      </c>
      <c r="U43" s="658">
        <f t="shared" si="11"/>
        <v>100</v>
      </c>
      <c r="V43" s="657" t="s">
        <v>14</v>
      </c>
      <c r="W43" s="658">
        <f t="shared" si="12"/>
        <v>100</v>
      </c>
      <c r="X43" s="1243"/>
      <c r="Y43" s="3375"/>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75"/>
      <c r="Q44" s="1241">
        <f t="shared" si="14"/>
        <v>111</v>
      </c>
      <c r="R44" s="657" t="s">
        <v>14</v>
      </c>
      <c r="S44" s="658">
        <f t="shared" si="10"/>
        <v>100</v>
      </c>
      <c r="T44" s="657" t="s">
        <v>14</v>
      </c>
      <c r="U44" s="658">
        <f t="shared" si="11"/>
        <v>100</v>
      </c>
      <c r="V44" s="657" t="s">
        <v>14</v>
      </c>
      <c r="W44" s="658">
        <f t="shared" si="12"/>
        <v>100</v>
      </c>
      <c r="X44" s="1243"/>
      <c r="Y44" s="3375"/>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75"/>
      <c r="Q45" s="1241">
        <f t="shared" si="14"/>
        <v>111</v>
      </c>
      <c r="R45" s="659" t="s">
        <v>14</v>
      </c>
      <c r="S45" s="660">
        <f t="shared" si="10"/>
        <v>100</v>
      </c>
      <c r="T45" s="659" t="s">
        <v>14</v>
      </c>
      <c r="U45" s="660">
        <f t="shared" si="11"/>
        <v>100</v>
      </c>
      <c r="V45" s="659" t="s">
        <v>14</v>
      </c>
      <c r="W45" s="660">
        <f t="shared" si="12"/>
        <v>100</v>
      </c>
      <c r="X45" s="661"/>
      <c r="Y45" s="3375"/>
      <c r="Z45" s="662">
        <f t="shared" si="13"/>
        <v>111</v>
      </c>
      <c r="AA45" s="1242">
        <f t="shared" si="3"/>
        <v>1</v>
      </c>
      <c r="AB45" s="1242">
        <f t="shared" si="4"/>
        <v>1</v>
      </c>
      <c r="AC45" s="1242">
        <f t="shared" si="5"/>
        <v>1</v>
      </c>
    </row>
    <row r="46" spans="1:29" ht="15">
      <c r="A46" s="409" t="s">
        <v>1841</v>
      </c>
      <c r="B46" s="1807" t="s">
        <v>1876</v>
      </c>
      <c r="C46" s="595" t="s">
        <v>0</v>
      </c>
      <c r="D46" s="411"/>
      <c r="E46" s="412"/>
      <c r="F46" s="413"/>
      <c r="G46" s="414"/>
      <c r="H46" s="415"/>
      <c r="I46" s="412"/>
      <c r="J46" s="415"/>
      <c r="K46" s="664"/>
      <c r="L46" s="2469"/>
      <c r="M46" s="2462"/>
      <c r="N46" s="2462"/>
      <c r="O46" s="2462"/>
      <c r="P46" s="3368" t="str">
        <f>A46</f>
        <v>成交单价</v>
      </c>
      <c r="Q46" s="3368"/>
      <c r="R46" s="3369">
        <f>E46</f>
        <v>0</v>
      </c>
      <c r="S46" s="3369"/>
      <c r="T46" s="3369">
        <f>G46</f>
        <v>0</v>
      </c>
      <c r="U46" s="3369"/>
      <c r="V46" s="3369">
        <f>I46</f>
        <v>0</v>
      </c>
      <c r="W46" s="3369"/>
      <c r="X46" s="378"/>
      <c r="Y46" s="663"/>
      <c r="Z46" s="378"/>
      <c r="AA46" s="378"/>
      <c r="AB46" s="378"/>
      <c r="AC46" s="378"/>
    </row>
    <row r="47" spans="1:29" ht="15.75" thickBot="1">
      <c r="A47" s="416" t="s">
        <v>1790</v>
      </c>
      <c r="B47" s="596"/>
      <c r="C47" s="419" t="e">
        <f>R48</f>
        <v>#DIV/0!</v>
      </c>
      <c r="D47" s="2118" t="s">
        <v>2135</v>
      </c>
      <c r="E47" s="419" t="e">
        <f>R47</f>
        <v>#DIV/0!</v>
      </c>
      <c r="F47" s="2119"/>
      <c r="G47" s="418" t="e">
        <f>T47</f>
        <v>#DIV/0!</v>
      </c>
      <c r="H47" s="2119"/>
      <c r="I47" s="419" t="e">
        <f>V47</f>
        <v>#DIV/0!</v>
      </c>
      <c r="J47" s="2119"/>
      <c r="K47" s="2121">
        <f>F47+H47+J47</f>
        <v>0</v>
      </c>
      <c r="L47" s="2469"/>
      <c r="M47" s="2462"/>
      <c r="N47" s="2462"/>
      <c r="O47" s="2462"/>
      <c r="P47" s="3368" t="str">
        <f>A47</f>
        <v>比较价值（元/平方米）</v>
      </c>
      <c r="Q47" s="3368"/>
      <c r="R47" s="3433" t="e">
        <f>ROUND(PRODUCT(R46,AA7:AA45),0)</f>
        <v>#DIV/0!</v>
      </c>
      <c r="S47" s="3433"/>
      <c r="T47" s="3433" t="e">
        <f>ROUND(PRODUCT(T46,AB7:AB45),0)</f>
        <v>#DIV/0!</v>
      </c>
      <c r="U47" s="3433"/>
      <c r="V47" s="3433" t="e">
        <f>ROUND(PRODUCT(V46,AC7:AC45),0)</f>
        <v>#DIV/0!</v>
      </c>
      <c r="W47" s="3433"/>
      <c r="X47" s="378"/>
      <c r="Y47" s="378"/>
      <c r="Z47" s="378"/>
      <c r="AA47" s="378"/>
      <c r="AB47" s="378"/>
      <c r="AC47" s="378"/>
    </row>
    <row r="48" spans="1:29" ht="15.75" thickBot="1">
      <c r="A48" s="420" t="s">
        <v>1877</v>
      </c>
      <c r="B48" s="421"/>
      <c r="C48" s="422" t="e">
        <f>R48</f>
        <v>#DIV/0!</v>
      </c>
      <c r="D48" s="422"/>
      <c r="E48" s="422"/>
      <c r="F48" s="422"/>
      <c r="G48" s="422"/>
      <c r="H48" s="422"/>
      <c r="I48" s="422"/>
      <c r="J48" s="422"/>
      <c r="K48" s="665"/>
      <c r="L48" s="2469"/>
      <c r="M48" s="2462"/>
      <c r="N48" s="2462"/>
      <c r="O48" s="2462"/>
      <c r="P48" s="3365" t="str">
        <f>A48</f>
        <v>估价对象XX用房的比较价值（楼面单价，元/平方米）</v>
      </c>
      <c r="Q48" s="3366"/>
      <c r="R48" s="3434" t="e">
        <f>ROUND(IF(D47="简单平均",AVERAGE(R47:W47),R47*F47+T47*H47+V47*J47),0)</f>
        <v>#DIV/0!</v>
      </c>
      <c r="S48" s="3434"/>
      <c r="T48" s="3434"/>
      <c r="U48" s="3434"/>
      <c r="V48" s="3434"/>
      <c r="W48" s="3434"/>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1792</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1793</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1794</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1878</v>
      </c>
      <c r="B55" s="598" t="s">
        <v>1879</v>
      </c>
      <c r="C55" s="1808" t="s">
        <v>1880</v>
      </c>
      <c r="D55" s="1809" t="s">
        <v>1881</v>
      </c>
      <c r="E55" s="599" t="s">
        <v>1882</v>
      </c>
      <c r="F55" s="817" t="s">
        <v>1883</v>
      </c>
      <c r="G55" s="3383" t="s">
        <v>1884</v>
      </c>
      <c r="H55" s="3435"/>
      <c r="I55" s="121" t="s">
        <v>1885</v>
      </c>
      <c r="J55" s="1810">
        <f>项目基本情况!F35</f>
        <v>0</v>
      </c>
      <c r="K55" s="1811" t="s">
        <v>1886</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1887</v>
      </c>
      <c r="B56" s="602" t="e">
        <f>C48</f>
        <v>#DIV/0!</v>
      </c>
      <c r="C56" s="603">
        <v>1</v>
      </c>
      <c r="D56" s="870">
        <v>1</v>
      </c>
      <c r="E56" s="603">
        <f>'数据-汇总表'!E8+'数据-汇总表'!E9</f>
        <v>3082.0600000000004</v>
      </c>
      <c r="F56" s="813" t="e">
        <f t="shared" ref="F56:F64" si="15">ROUND(B56*E56/10000,0)</f>
        <v>#DIV/0!</v>
      </c>
      <c r="G56" s="3379"/>
      <c r="H56" s="336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1888</v>
      </c>
      <c r="B57" s="204" t="e">
        <f>ROUND($C$48*C57*D57,0)</f>
        <v>#DIV/0!</v>
      </c>
      <c r="C57" s="157">
        <f t="shared" ref="C57:C64" si="16">IF($C$55="北京市系数",I57,J57)</f>
        <v>0</v>
      </c>
      <c r="D57" s="871">
        <v>0.25</v>
      </c>
      <c r="E57" s="607"/>
      <c r="F57" s="813" t="e">
        <f t="shared" si="15"/>
        <v>#DIV/0!</v>
      </c>
      <c r="G57" s="2723" t="s">
        <v>1889</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1890</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1891</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1892</v>
      </c>
      <c r="B60" s="204" t="e">
        <f t="shared" si="17"/>
        <v>#DIV/0!</v>
      </c>
      <c r="C60" s="157">
        <f t="shared" si="16"/>
        <v>0</v>
      </c>
      <c r="D60" s="871">
        <v>0.25</v>
      </c>
      <c r="E60" s="203">
        <f>'数据-汇总表'!E11</f>
        <v>0</v>
      </c>
      <c r="F60" s="813" t="e">
        <f t="shared" si="15"/>
        <v>#DIV/0!</v>
      </c>
      <c r="G60" s="1812" t="s">
        <v>1893</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1894</v>
      </c>
      <c r="B61" s="204" t="e">
        <f t="shared" si="17"/>
        <v>#DIV/0!</v>
      </c>
      <c r="C61" s="157">
        <f t="shared" si="16"/>
        <v>0</v>
      </c>
      <c r="D61" s="871">
        <v>0.25</v>
      </c>
      <c r="E61" s="203">
        <f>'数据-汇总表'!E12</f>
        <v>0</v>
      </c>
      <c r="F61" s="813" t="e">
        <f t="shared" si="15"/>
        <v>#DIV/0!</v>
      </c>
      <c r="G61" s="819" t="s">
        <v>1895</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1896</v>
      </c>
      <c r="B62" s="204" t="e">
        <f t="shared" si="17"/>
        <v>#DIV/0!</v>
      </c>
      <c r="C62" s="157">
        <f t="shared" si="16"/>
        <v>0</v>
      </c>
      <c r="D62" s="871">
        <v>0.25</v>
      </c>
      <c r="E62" s="203">
        <f>'数据-汇总表'!E13</f>
        <v>0</v>
      </c>
      <c r="F62" s="813" t="e">
        <f t="shared" si="15"/>
        <v>#DIV/0!</v>
      </c>
      <c r="G62" s="819" t="s">
        <v>1897</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1898</v>
      </c>
      <c r="B63" s="204" t="e">
        <f t="shared" si="17"/>
        <v>#DIV/0!</v>
      </c>
      <c r="C63" s="157">
        <f t="shared" si="16"/>
        <v>0</v>
      </c>
      <c r="D63" s="871">
        <v>0.25</v>
      </c>
      <c r="E63" s="203">
        <f>'数据-汇总表'!E14</f>
        <v>0</v>
      </c>
      <c r="F63" s="813" t="e">
        <f t="shared" si="15"/>
        <v>#DIV/0!</v>
      </c>
      <c r="G63" s="1812" t="s">
        <v>1889</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1899</v>
      </c>
      <c r="B64" s="204" t="e">
        <f t="shared" si="17"/>
        <v>#DIV/0!</v>
      </c>
      <c r="C64" s="157">
        <f t="shared" si="16"/>
        <v>0</v>
      </c>
      <c r="D64" s="871">
        <v>0.25</v>
      </c>
      <c r="E64" s="203">
        <f>'数据-汇总表'!E15</f>
        <v>450</v>
      </c>
      <c r="F64" s="813" t="e">
        <f t="shared" si="15"/>
        <v>#DIV/0!</v>
      </c>
      <c r="G64" s="1813" t="s">
        <v>1893</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1900</v>
      </c>
      <c r="B65" s="609" t="s">
        <v>22</v>
      </c>
      <c r="C65" s="609" t="s">
        <v>23</v>
      </c>
      <c r="D65" s="609" t="s">
        <v>392</v>
      </c>
      <c r="E65" s="609">
        <f>IF(B46="楼面地价",SUM(E56:E64),'数据-汇总表'!D3)</f>
        <v>3532.0600000000004</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2025-3-1</v>
      </c>
      <c r="D67" s="646">
        <f>EDATE(C67,-3)</f>
        <v>45627</v>
      </c>
      <c r="E67" s="646">
        <f>EDATE(D67,-3)</f>
        <v>45536</v>
      </c>
      <c r="F67" s="646">
        <f t="shared" ref="F67:O67" si="18">EDATE(E67,-3)</f>
        <v>45444</v>
      </c>
      <c r="G67" s="646">
        <f t="shared" si="18"/>
        <v>45352</v>
      </c>
      <c r="H67" s="646">
        <f t="shared" si="18"/>
        <v>45261</v>
      </c>
      <c r="I67" s="646">
        <f t="shared" si="18"/>
        <v>45170</v>
      </c>
      <c r="J67" s="646">
        <f t="shared" si="18"/>
        <v>45078</v>
      </c>
      <c r="K67" s="646">
        <f t="shared" si="18"/>
        <v>44986</v>
      </c>
      <c r="L67" s="646">
        <f t="shared" si="18"/>
        <v>44896</v>
      </c>
      <c r="M67" s="646">
        <f t="shared" si="18"/>
        <v>44805</v>
      </c>
      <c r="N67" s="646">
        <f t="shared" si="18"/>
        <v>44713</v>
      </c>
      <c r="O67" s="646">
        <f t="shared" si="18"/>
        <v>44621</v>
      </c>
      <c r="P67" s="2462"/>
      <c r="Q67" s="2462"/>
      <c r="R67" s="2462"/>
      <c r="S67" s="2462"/>
      <c r="T67" s="2462"/>
      <c r="U67" s="2462"/>
      <c r="V67" s="2462"/>
      <c r="W67" s="2462"/>
      <c r="X67" s="2462"/>
      <c r="Y67" s="2462"/>
      <c r="Z67" s="2462"/>
      <c r="AA67" s="2462"/>
      <c r="AB67" s="2462"/>
      <c r="AC67" s="2462"/>
    </row>
    <row r="68" spans="1:29" ht="21.75" thickBot="1">
      <c r="A68" s="648" t="s">
        <v>1795</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1901</v>
      </c>
      <c r="B69" s="1024"/>
      <c r="C69" s="1079" t="str">
        <f>YEAR(C67)&amp;"-"&amp;ROUNDUP(MONTH(C67)/3,0)</f>
        <v>2025-1</v>
      </c>
      <c r="D69" s="1079" t="str">
        <f>YEAR(D67)&amp;"-"&amp;ROUNDUP(MONTH(D67)/3,0)</f>
        <v>2024-4</v>
      </c>
      <c r="E69" s="1079" t="str">
        <f t="shared" ref="E69:O69" si="19">YEAR(E67)&amp;"-"&amp;ROUNDUP(MONTH(E67)/3,0)</f>
        <v>2024-3</v>
      </c>
      <c r="F69" s="1079" t="str">
        <f t="shared" si="19"/>
        <v>2024-2</v>
      </c>
      <c r="G69" s="1079" t="str">
        <f t="shared" si="19"/>
        <v>2024-1</v>
      </c>
      <c r="H69" s="1079" t="str">
        <f t="shared" si="19"/>
        <v>2023-4</v>
      </c>
      <c r="I69" s="1079" t="str">
        <f t="shared" si="19"/>
        <v>2023-3</v>
      </c>
      <c r="J69" s="1079" t="str">
        <f t="shared" si="19"/>
        <v>2023-2</v>
      </c>
      <c r="K69" s="1079" t="str">
        <f t="shared" si="19"/>
        <v>2023-1</v>
      </c>
      <c r="L69" s="1079" t="str">
        <f t="shared" si="19"/>
        <v>2022-4</v>
      </c>
      <c r="M69" s="1079" t="str">
        <f t="shared" si="19"/>
        <v>2022-3</v>
      </c>
      <c r="N69" s="1079" t="str">
        <f t="shared" si="19"/>
        <v>2022-2</v>
      </c>
      <c r="O69" s="1079" t="str">
        <f t="shared" si="19"/>
        <v>2022-1</v>
      </c>
      <c r="P69" s="2485"/>
      <c r="Q69" s="2485"/>
      <c r="R69" s="2485"/>
      <c r="S69" s="2485"/>
      <c r="T69" s="2485"/>
      <c r="U69" s="2485"/>
      <c r="V69" s="2485"/>
      <c r="W69" s="2485"/>
      <c r="X69" s="2485"/>
      <c r="Y69" s="2485"/>
      <c r="Z69" s="2485"/>
      <c r="AA69" s="2485"/>
      <c r="AB69" s="2485"/>
      <c r="AC69" s="2485"/>
    </row>
    <row r="70" spans="1:29" s="101" customFormat="1" ht="30" customHeight="1">
      <c r="A70" s="1814" t="s">
        <v>1902</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1713</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1678</v>
      </c>
      <c r="B72" s="437"/>
      <c r="C72" s="449" t="s">
        <v>1773</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1716</v>
      </c>
      <c r="B74" s="453" t="s">
        <v>1682</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1685</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1686</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1687</v>
      </c>
      <c r="B87" s="453" t="s">
        <v>1717</v>
      </c>
      <c r="C87" s="497" t="s">
        <v>1718</v>
      </c>
      <c r="D87" s="497" t="s">
        <v>1719</v>
      </c>
      <c r="E87" s="497" t="s">
        <v>1720</v>
      </c>
      <c r="F87" s="497" t="s">
        <v>1721</v>
      </c>
      <c r="G87" s="497" t="s">
        <v>1722</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1903</v>
      </c>
      <c r="C89" s="502" t="s">
        <v>1718</v>
      </c>
      <c r="D89" s="502" t="s">
        <v>1719</v>
      </c>
      <c r="E89" s="502" t="s">
        <v>1720</v>
      </c>
      <c r="F89" s="502" t="s">
        <v>1721</v>
      </c>
      <c r="G89" s="502" t="s">
        <v>1722</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1818</v>
      </c>
      <c r="C91" s="502" t="s">
        <v>1718</v>
      </c>
      <c r="D91" s="502" t="s">
        <v>1719</v>
      </c>
      <c r="E91" s="502" t="s">
        <v>1720</v>
      </c>
      <c r="F91" s="502" t="s">
        <v>1721</v>
      </c>
      <c r="G91" s="502" t="s">
        <v>1722</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1723</v>
      </c>
      <c r="C93" s="502" t="s">
        <v>1718</v>
      </c>
      <c r="D93" s="502" t="s">
        <v>1719</v>
      </c>
      <c r="E93" s="502" t="s">
        <v>1720</v>
      </c>
      <c r="F93" s="502" t="s">
        <v>1721</v>
      </c>
      <c r="G93" s="502" t="s">
        <v>1722</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1904</v>
      </c>
      <c r="C95" s="502" t="s">
        <v>1718</v>
      </c>
      <c r="D95" s="502" t="s">
        <v>1719</v>
      </c>
      <c r="E95" s="502" t="s">
        <v>1720</v>
      </c>
      <c r="F95" s="502" t="s">
        <v>1721</v>
      </c>
      <c r="G95" s="502" t="s">
        <v>1722</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1905</v>
      </c>
      <c r="C97" s="497" t="s">
        <v>1718</v>
      </c>
      <c r="D97" s="497" t="s">
        <v>1719</v>
      </c>
      <c r="E97" s="497" t="s">
        <v>1720</v>
      </c>
      <c r="F97" s="497" t="s">
        <v>1721</v>
      </c>
      <c r="G97" s="497" t="s">
        <v>1722</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1775</v>
      </c>
      <c r="C99" s="497" t="s">
        <v>1718</v>
      </c>
      <c r="D99" s="497" t="s">
        <v>1719</v>
      </c>
      <c r="E99" s="497" t="s">
        <v>1720</v>
      </c>
      <c r="F99" s="497" t="s">
        <v>1721</v>
      </c>
      <c r="G99" s="497" t="s">
        <v>1722</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1776</v>
      </c>
      <c r="C101" s="574" t="s">
        <v>1796</v>
      </c>
      <c r="D101" s="574" t="s">
        <v>1797</v>
      </c>
      <c r="E101" s="574" t="s">
        <v>1798</v>
      </c>
      <c r="F101" s="574" t="s">
        <v>1799</v>
      </c>
      <c r="G101" s="574" t="s">
        <v>1800</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1906</v>
      </c>
      <c r="D103" s="463" t="s">
        <v>1907</v>
      </c>
      <c r="E103" s="463" t="s">
        <v>1908</v>
      </c>
      <c r="F103" s="463" t="s">
        <v>1909</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1812</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1870</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1691</v>
      </c>
      <c r="B115" s="453" t="s">
        <v>1910</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1911</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1912</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1913</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1914</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1915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383" t="s">
        <v>1767</v>
      </c>
      <c r="D4" s="3384"/>
      <c r="E4" s="3385" t="s">
        <v>1768</v>
      </c>
      <c r="F4" s="3386"/>
      <c r="G4" s="3383" t="s">
        <v>1769</v>
      </c>
      <c r="H4" s="3384"/>
      <c r="I4" s="3383" t="s">
        <v>1770</v>
      </c>
      <c r="J4" s="3384"/>
      <c r="K4" s="530" t="s">
        <v>1771</v>
      </c>
      <c r="L4" s="2461"/>
      <c r="M4" s="2462"/>
      <c r="N4" s="2462"/>
      <c r="O4" s="2462"/>
      <c r="P4" s="3387" t="s">
        <v>1772</v>
      </c>
      <c r="Q4" s="3388"/>
      <c r="R4" s="3393" t="s">
        <v>1768</v>
      </c>
      <c r="S4" s="3394"/>
      <c r="T4" s="3393" t="s">
        <v>1769</v>
      </c>
      <c r="U4" s="3394"/>
      <c r="V4" s="3369" t="s">
        <v>1770</v>
      </c>
      <c r="W4" s="3369"/>
      <c r="X4" s="1243"/>
      <c r="Y4" s="3393" t="s">
        <v>1772</v>
      </c>
      <c r="Z4" s="3394"/>
      <c r="AA4" s="3380" t="s">
        <v>1768</v>
      </c>
      <c r="AB4" s="3381" t="s">
        <v>1769</v>
      </c>
      <c r="AC4" s="3380" t="s">
        <v>1770</v>
      </c>
    </row>
    <row r="5" spans="1:29" ht="15">
      <c r="A5" s="341"/>
      <c r="B5" s="342"/>
      <c r="C5" s="3401" t="s">
        <v>1670</v>
      </c>
      <c r="D5" s="3402"/>
      <c r="E5" s="3408" t="s">
        <v>1671</v>
      </c>
      <c r="F5" s="3409"/>
      <c r="G5" s="3401" t="s">
        <v>1672</v>
      </c>
      <c r="H5" s="3402"/>
      <c r="I5" s="3401" t="s">
        <v>1673</v>
      </c>
      <c r="J5" s="3402"/>
      <c r="K5" s="530"/>
      <c r="L5" s="2461"/>
      <c r="M5" s="2462"/>
      <c r="N5" s="2462"/>
      <c r="O5" s="2462"/>
      <c r="P5" s="3389"/>
      <c r="Q5" s="3390"/>
      <c r="R5" s="3395"/>
      <c r="S5" s="3396"/>
      <c r="T5" s="3395"/>
      <c r="U5" s="3396"/>
      <c r="V5" s="3369"/>
      <c r="W5" s="3369"/>
      <c r="X5" s="1243"/>
      <c r="Y5" s="3395"/>
      <c r="Z5" s="3396"/>
      <c r="AA5" s="3381"/>
      <c r="AB5" s="3381"/>
      <c r="AC5" s="3381"/>
    </row>
    <row r="6" spans="1:29" ht="15.75" thickBot="1">
      <c r="A6" s="343"/>
      <c r="B6" s="344"/>
      <c r="C6" s="3436" t="s">
        <v>1916</v>
      </c>
      <c r="D6" s="3437"/>
      <c r="E6" s="3438" t="s">
        <v>1916</v>
      </c>
      <c r="F6" s="3439"/>
      <c r="G6" s="3436" t="s">
        <v>1916</v>
      </c>
      <c r="H6" s="3437"/>
      <c r="I6" s="3436" t="s">
        <v>1916</v>
      </c>
      <c r="J6" s="3437"/>
      <c r="K6" s="530" t="s">
        <v>1675</v>
      </c>
      <c r="L6" s="2461"/>
      <c r="M6" s="2462"/>
      <c r="N6" s="2462"/>
      <c r="O6" s="2462"/>
      <c r="P6" s="3391"/>
      <c r="Q6" s="3392"/>
      <c r="R6" s="3395"/>
      <c r="S6" s="3396"/>
      <c r="T6" s="3397"/>
      <c r="U6" s="3398"/>
      <c r="V6" s="3369"/>
      <c r="W6" s="3369"/>
      <c r="X6" s="1243"/>
      <c r="Y6" s="3397"/>
      <c r="Z6" s="3398"/>
      <c r="AA6" s="3382"/>
      <c r="AB6" s="3382"/>
      <c r="AC6" s="3382"/>
    </row>
    <row r="7" spans="1:29" s="101" customFormat="1" ht="15.75" thickBot="1">
      <c r="A7" s="345" t="s">
        <v>1676</v>
      </c>
      <c r="B7" s="346"/>
      <c r="C7" s="347">
        <f>'数据-取费表'!B2</f>
        <v>45727</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03" t="s">
        <v>1677</v>
      </c>
      <c r="Q7" s="3405"/>
      <c r="R7" s="654" t="s">
        <v>14</v>
      </c>
      <c r="S7" s="655">
        <f t="shared" ref="S7:S15" si="0">F7</f>
        <v>0</v>
      </c>
      <c r="T7" s="654" t="s">
        <v>14</v>
      </c>
      <c r="U7" s="655">
        <f t="shared" ref="U7:U15" si="1">H7</f>
        <v>0</v>
      </c>
      <c r="V7" s="654" t="s">
        <v>14</v>
      </c>
      <c r="W7" s="655">
        <f t="shared" ref="W7:W15" si="2">J7</f>
        <v>0</v>
      </c>
      <c r="X7" s="656"/>
      <c r="Y7" s="3403" t="s">
        <v>1677</v>
      </c>
      <c r="Z7" s="3404"/>
      <c r="AA7" s="50" t="e">
        <f>D7/F7</f>
        <v>#DIV/0!</v>
      </c>
      <c r="AB7" s="50" t="e">
        <f>D7/H7</f>
        <v>#DIV/0!</v>
      </c>
      <c r="AC7" s="50" t="e">
        <f>D7/J7</f>
        <v>#DIV/0!</v>
      </c>
    </row>
    <row r="8" spans="1:29" s="101" customFormat="1" ht="15.75" thickBot="1">
      <c r="A8" s="345" t="s">
        <v>1678</v>
      </c>
      <c r="B8" s="346"/>
      <c r="C8" s="351" t="s">
        <v>1679</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03" t="s">
        <v>1680</v>
      </c>
      <c r="Q8" s="3404"/>
      <c r="R8" s="654" t="s">
        <v>14</v>
      </c>
      <c r="S8" s="655">
        <f t="shared" si="0"/>
        <v>0</v>
      </c>
      <c r="T8" s="654" t="s">
        <v>14</v>
      </c>
      <c r="U8" s="655">
        <f t="shared" si="1"/>
        <v>0</v>
      </c>
      <c r="V8" s="654" t="s">
        <v>14</v>
      </c>
      <c r="W8" s="655">
        <f t="shared" si="2"/>
        <v>0</v>
      </c>
      <c r="X8" s="656"/>
      <c r="Y8" s="3403" t="s">
        <v>1680</v>
      </c>
      <c r="Z8" s="3404"/>
      <c r="AA8" s="50" t="e">
        <f t="shared" ref="AA8:AA40" si="3">D8/F8</f>
        <v>#DIV/0!</v>
      </c>
      <c r="AB8" s="50" t="e">
        <f t="shared" ref="AB8:AB40" si="4">D8/H8</f>
        <v>#DIV/0!</v>
      </c>
      <c r="AC8" s="50" t="e">
        <f t="shared" ref="AC8:AC40" si="5">D8/J8</f>
        <v>#DIV/0!</v>
      </c>
    </row>
    <row r="9" spans="1:29" s="101" customFormat="1">
      <c r="A9" s="352" t="s">
        <v>1681</v>
      </c>
      <c r="B9" s="60" t="s">
        <v>1682</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68" t="s">
        <v>1683</v>
      </c>
      <c r="Q9" s="523" t="str">
        <f t="shared" ref="Q9:Q15" si="6">B9</f>
        <v>用途</v>
      </c>
      <c r="R9" s="654" t="s">
        <v>14</v>
      </c>
      <c r="S9" s="655">
        <f t="shared" si="0"/>
        <v>100</v>
      </c>
      <c r="T9" s="654" t="s">
        <v>14</v>
      </c>
      <c r="U9" s="655">
        <f t="shared" si="1"/>
        <v>100</v>
      </c>
      <c r="V9" s="654" t="s">
        <v>14</v>
      </c>
      <c r="W9" s="655">
        <f t="shared" si="2"/>
        <v>100</v>
      </c>
      <c r="X9" s="656"/>
      <c r="Y9" s="3243"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64"/>
      <c r="F10" s="113">
        <f>ROUND(100/'数据-取费表'!G16,0)</f>
        <v>105</v>
      </c>
      <c r="G10" s="364"/>
      <c r="H10" s="113">
        <f>ROUND(100/'数据-取费表'!G16,0)</f>
        <v>105</v>
      </c>
      <c r="I10" s="364"/>
      <c r="J10" s="113">
        <f>ROUND(100/'数据-取费表'!G16,0)</f>
        <v>105</v>
      </c>
      <c r="K10" s="585"/>
      <c r="L10" s="2464"/>
      <c r="M10" s="2465"/>
      <c r="N10" s="2465"/>
      <c r="O10" s="2516"/>
      <c r="P10" s="3368"/>
      <c r="Q10" s="523" t="str">
        <f t="shared" si="6"/>
        <v>土地使用年限（年）</v>
      </c>
      <c r="R10" s="654" t="s">
        <v>14</v>
      </c>
      <c r="S10" s="655">
        <f t="shared" si="0"/>
        <v>105</v>
      </c>
      <c r="T10" s="654" t="s">
        <v>14</v>
      </c>
      <c r="U10" s="655">
        <f t="shared" si="1"/>
        <v>105</v>
      </c>
      <c r="V10" s="654" t="s">
        <v>14</v>
      </c>
      <c r="W10" s="655">
        <f t="shared" si="2"/>
        <v>105</v>
      </c>
      <c r="X10" s="656"/>
      <c r="Y10" s="3243"/>
      <c r="Z10" s="50" t="str">
        <f t="shared" si="7"/>
        <v>土地使用年限（年）</v>
      </c>
      <c r="AA10" s="50">
        <f t="shared" si="3"/>
        <v>0.95238095238095233</v>
      </c>
      <c r="AB10" s="50">
        <f t="shared" si="4"/>
        <v>0.95238095238095233</v>
      </c>
      <c r="AC10" s="50">
        <f t="shared" si="5"/>
        <v>0.95238095238095233</v>
      </c>
    </row>
    <row r="11" spans="1:29" ht="15">
      <c r="A11" s="360"/>
      <c r="B11" s="357" t="s">
        <v>1686</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68"/>
      <c r="Q11" s="523" t="str">
        <f t="shared" si="6"/>
        <v>容积率</v>
      </c>
      <c r="R11" s="654" t="s">
        <v>14</v>
      </c>
      <c r="S11" s="655" t="e">
        <f t="shared" si="0"/>
        <v>#N/A</v>
      </c>
      <c r="T11" s="654" t="s">
        <v>14</v>
      </c>
      <c r="U11" s="655" t="e">
        <f t="shared" si="1"/>
        <v>#N/A</v>
      </c>
      <c r="V11" s="654" t="s">
        <v>14</v>
      </c>
      <c r="W11" s="655" t="e">
        <f t="shared" si="2"/>
        <v>#N/A</v>
      </c>
      <c r="X11" s="656"/>
      <c r="Y11" s="3243"/>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68"/>
      <c r="Q12" s="523">
        <f t="shared" si="6"/>
        <v>111</v>
      </c>
      <c r="R12" s="654" t="s">
        <v>14</v>
      </c>
      <c r="S12" s="655">
        <f t="shared" si="0"/>
        <v>100</v>
      </c>
      <c r="T12" s="654" t="s">
        <v>14</v>
      </c>
      <c r="U12" s="655">
        <f t="shared" si="1"/>
        <v>100</v>
      </c>
      <c r="V12" s="654" t="s">
        <v>14</v>
      </c>
      <c r="W12" s="655">
        <f t="shared" si="2"/>
        <v>100</v>
      </c>
      <c r="X12" s="656"/>
      <c r="Y12" s="3243"/>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68"/>
      <c r="Q13" s="523">
        <f t="shared" si="6"/>
        <v>111</v>
      </c>
      <c r="R13" s="654" t="s">
        <v>14</v>
      </c>
      <c r="S13" s="655">
        <f t="shared" si="0"/>
        <v>100</v>
      </c>
      <c r="T13" s="654" t="s">
        <v>14</v>
      </c>
      <c r="U13" s="655">
        <f t="shared" si="1"/>
        <v>100</v>
      </c>
      <c r="V13" s="654" t="s">
        <v>14</v>
      </c>
      <c r="W13" s="655">
        <f t="shared" si="2"/>
        <v>100</v>
      </c>
      <c r="X13" s="656"/>
      <c r="Y13" s="3243"/>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68"/>
      <c r="Q14" s="523">
        <f t="shared" si="6"/>
        <v>111</v>
      </c>
      <c r="R14" s="654" t="s">
        <v>14</v>
      </c>
      <c r="S14" s="655">
        <f t="shared" si="0"/>
        <v>100</v>
      </c>
      <c r="T14" s="654" t="s">
        <v>14</v>
      </c>
      <c r="U14" s="655">
        <f t="shared" si="1"/>
        <v>100</v>
      </c>
      <c r="V14" s="654" t="s">
        <v>14</v>
      </c>
      <c r="W14" s="655">
        <f t="shared" si="2"/>
        <v>100</v>
      </c>
      <c r="X14" s="656"/>
      <c r="Y14" s="3243"/>
      <c r="Z14" s="50">
        <f t="shared" si="7"/>
        <v>111</v>
      </c>
      <c r="AA14" s="50">
        <f t="shared" si="3"/>
        <v>1</v>
      </c>
      <c r="AB14" s="50">
        <f t="shared" si="4"/>
        <v>1</v>
      </c>
      <c r="AC14" s="50">
        <f t="shared" si="5"/>
        <v>1</v>
      </c>
    </row>
    <row r="15" spans="1:29" ht="15">
      <c r="A15" s="372" t="s">
        <v>1687</v>
      </c>
      <c r="B15" s="547" t="s">
        <v>1917</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70" t="s">
        <v>1688</v>
      </c>
      <c r="Q15" s="1241" t="str">
        <f t="shared" si="6"/>
        <v>产业集聚程度</v>
      </c>
      <c r="R15" s="657" t="s">
        <v>14</v>
      </c>
      <c r="S15" s="658">
        <f t="shared" si="0"/>
        <v>100</v>
      </c>
      <c r="T15" s="657" t="s">
        <v>14</v>
      </c>
      <c r="U15" s="658">
        <f t="shared" si="1"/>
        <v>100</v>
      </c>
      <c r="V15" s="657" t="s">
        <v>14</v>
      </c>
      <c r="W15" s="658">
        <f t="shared" si="2"/>
        <v>100</v>
      </c>
      <c r="X15" s="1243"/>
      <c r="Y15" s="3370" t="s">
        <v>1688</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71"/>
      <c r="Q16" s="1241"/>
      <c r="R16" s="657"/>
      <c r="S16" s="658"/>
      <c r="T16" s="657"/>
      <c r="U16" s="658"/>
      <c r="V16" s="657"/>
      <c r="W16" s="658"/>
      <c r="X16" s="1243"/>
      <c r="Y16" s="3371"/>
      <c r="Z16" s="1242"/>
      <c r="AA16" s="1242">
        <v>1</v>
      </c>
      <c r="AB16" s="1242">
        <v>1</v>
      </c>
      <c r="AC16" s="1242">
        <v>1</v>
      </c>
    </row>
    <row r="17" spans="1:29" ht="15">
      <c r="A17" s="360"/>
      <c r="B17" s="549" t="s">
        <v>1830</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71"/>
      <c r="Q17" s="1241" t="str">
        <f>B17</f>
        <v>交通便捷度</v>
      </c>
      <c r="R17" s="657" t="s">
        <v>14</v>
      </c>
      <c r="S17" s="658">
        <f>F17</f>
        <v>100</v>
      </c>
      <c r="T17" s="657" t="s">
        <v>14</v>
      </c>
      <c r="U17" s="658">
        <f>H17</f>
        <v>100</v>
      </c>
      <c r="V17" s="657" t="s">
        <v>14</v>
      </c>
      <c r="W17" s="658">
        <f>J17</f>
        <v>100</v>
      </c>
      <c r="X17" s="1243"/>
      <c r="Y17" s="3371"/>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71"/>
      <c r="Q18" s="1241"/>
      <c r="R18" s="657"/>
      <c r="S18" s="658"/>
      <c r="T18" s="657"/>
      <c r="U18" s="658"/>
      <c r="V18" s="657"/>
      <c r="W18" s="658"/>
      <c r="X18" s="1243"/>
      <c r="Y18" s="3371"/>
      <c r="Z18" s="1242"/>
      <c r="AA18" s="1242">
        <v>1</v>
      </c>
      <c r="AB18" s="1242">
        <v>1</v>
      </c>
      <c r="AC18" s="1242">
        <v>1</v>
      </c>
    </row>
    <row r="19" spans="1:29" ht="15">
      <c r="A19" s="360"/>
      <c r="B19" s="549" t="s">
        <v>1868</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71"/>
      <c r="Q19" s="1241" t="str">
        <f t="shared" ref="Q19:Q33" si="8">B19</f>
        <v>区域土地利用方向</v>
      </c>
      <c r="R19" s="657" t="s">
        <v>14</v>
      </c>
      <c r="S19" s="658">
        <f>F19</f>
        <v>100</v>
      </c>
      <c r="T19" s="657" t="s">
        <v>14</v>
      </c>
      <c r="U19" s="658">
        <f>H19</f>
        <v>100</v>
      </c>
      <c r="V19" s="657" t="s">
        <v>14</v>
      </c>
      <c r="W19" s="658">
        <f>J19</f>
        <v>100</v>
      </c>
      <c r="X19" s="1243"/>
      <c r="Y19" s="3371"/>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71"/>
      <c r="Q20" s="1241"/>
      <c r="R20" s="657"/>
      <c r="S20" s="658"/>
      <c r="T20" s="657"/>
      <c r="U20" s="658"/>
      <c r="V20" s="657"/>
      <c r="W20" s="658"/>
      <c r="X20" s="1243"/>
      <c r="Y20" s="3371"/>
      <c r="Z20" s="1242"/>
      <c r="AA20" s="1242"/>
      <c r="AB20" s="1242"/>
      <c r="AC20" s="1242"/>
    </row>
    <row r="21" spans="1:29" ht="15">
      <c r="A21" s="341"/>
      <c r="B21" s="549" t="s">
        <v>1918</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71"/>
      <c r="Q21" s="1241" t="str">
        <f t="shared" si="8"/>
        <v>环境状况</v>
      </c>
      <c r="R21" s="657" t="s">
        <v>14</v>
      </c>
      <c r="S21" s="658">
        <f>F21</f>
        <v>100</v>
      </c>
      <c r="T21" s="657" t="s">
        <v>14</v>
      </c>
      <c r="U21" s="658">
        <f>H21</f>
        <v>100</v>
      </c>
      <c r="V21" s="657" t="s">
        <v>14</v>
      </c>
      <c r="W21" s="658">
        <f>J21</f>
        <v>100</v>
      </c>
      <c r="X21" s="1243"/>
      <c r="Y21" s="3371"/>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71"/>
      <c r="Q22" s="1241"/>
      <c r="R22" s="657"/>
      <c r="S22" s="658"/>
      <c r="T22" s="657"/>
      <c r="U22" s="658"/>
      <c r="V22" s="657"/>
      <c r="W22" s="658"/>
      <c r="X22" s="1243"/>
      <c r="Y22" s="3371"/>
      <c r="Z22" s="1242"/>
      <c r="AA22" s="1242">
        <v>1</v>
      </c>
      <c r="AB22" s="1242">
        <v>1</v>
      </c>
      <c r="AC22" s="1242">
        <v>1</v>
      </c>
    </row>
    <row r="23" spans="1:29" s="101" customFormat="1" ht="15">
      <c r="A23" s="436"/>
      <c r="B23" s="550" t="s">
        <v>1775</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71"/>
      <c r="Q23" s="523" t="str">
        <f t="shared" si="8"/>
        <v>公共配套设施</v>
      </c>
      <c r="R23" s="654" t="s">
        <v>14</v>
      </c>
      <c r="S23" s="655">
        <f>F23</f>
        <v>100</v>
      </c>
      <c r="T23" s="654" t="s">
        <v>14</v>
      </c>
      <c r="U23" s="655">
        <f>H23</f>
        <v>100</v>
      </c>
      <c r="V23" s="654" t="s">
        <v>14</v>
      </c>
      <c r="W23" s="655">
        <f>J23</f>
        <v>100</v>
      </c>
      <c r="X23" s="656"/>
      <c r="Y23" s="3371"/>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71"/>
      <c r="Q24" s="523"/>
      <c r="R24" s="654"/>
      <c r="S24" s="655"/>
      <c r="T24" s="654"/>
      <c r="U24" s="655"/>
      <c r="V24" s="654"/>
      <c r="W24" s="655"/>
      <c r="X24" s="656"/>
      <c r="Y24" s="3371"/>
      <c r="Z24" s="50"/>
      <c r="AA24" s="50">
        <v>1</v>
      </c>
      <c r="AB24" s="50">
        <v>1</v>
      </c>
      <c r="AC24" s="50">
        <v>1</v>
      </c>
    </row>
    <row r="25" spans="1:29" s="101" customFormat="1" ht="15">
      <c r="A25" s="436"/>
      <c r="B25" s="550" t="s">
        <v>1776</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71"/>
      <c r="Q25" s="523" t="str">
        <f t="shared" ref="Q25" si="9">B25</f>
        <v>基础设施水平</v>
      </c>
      <c r="R25" s="654" t="s">
        <v>14</v>
      </c>
      <c r="S25" s="655">
        <f>F25</f>
        <v>100</v>
      </c>
      <c r="T25" s="654" t="s">
        <v>14</v>
      </c>
      <c r="U25" s="655">
        <f>H25</f>
        <v>100</v>
      </c>
      <c r="V25" s="654" t="s">
        <v>14</v>
      </c>
      <c r="W25" s="655">
        <f>J25</f>
        <v>100</v>
      </c>
      <c r="X25" s="656"/>
      <c r="Y25" s="3371"/>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71"/>
      <c r="Q26" s="523"/>
      <c r="R26" s="654"/>
      <c r="S26" s="655"/>
      <c r="T26" s="654"/>
      <c r="U26" s="655"/>
      <c r="V26" s="654"/>
      <c r="W26" s="655"/>
      <c r="X26" s="656"/>
      <c r="Y26" s="3371"/>
      <c r="Z26" s="50"/>
      <c r="AA26" s="50">
        <v>1</v>
      </c>
      <c r="AB26" s="50">
        <v>1</v>
      </c>
      <c r="AC26" s="50">
        <v>1</v>
      </c>
    </row>
    <row r="27" spans="1:29" ht="15">
      <c r="A27" s="360"/>
      <c r="B27" s="394" t="s">
        <v>1777</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71"/>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71"/>
      <c r="Z27" s="1242" t="str">
        <f t="shared" ref="Z27:Z40" si="13">Q27</f>
        <v>临街状况</v>
      </c>
      <c r="AA27" s="1242">
        <f t="shared" si="3"/>
        <v>1</v>
      </c>
      <c r="AB27" s="1242">
        <f t="shared" si="4"/>
        <v>1</v>
      </c>
      <c r="AC27" s="1242">
        <f t="shared" si="5"/>
        <v>1</v>
      </c>
    </row>
    <row r="28" spans="1:29" ht="27">
      <c r="A28" s="360"/>
      <c r="B28" s="550" t="s">
        <v>1812</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71"/>
      <c r="Q28" s="1241" t="str">
        <f t="shared" si="8"/>
        <v>毗邻道路的类型与等级</v>
      </c>
      <c r="R28" s="657" t="s">
        <v>14</v>
      </c>
      <c r="S28" s="658">
        <f t="shared" si="10"/>
        <v>100</v>
      </c>
      <c r="T28" s="657" t="s">
        <v>14</v>
      </c>
      <c r="U28" s="658">
        <f t="shared" si="11"/>
        <v>100</v>
      </c>
      <c r="V28" s="657" t="s">
        <v>14</v>
      </c>
      <c r="W28" s="658">
        <f t="shared" si="12"/>
        <v>100</v>
      </c>
      <c r="X28" s="1243"/>
      <c r="Y28" s="3371"/>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71"/>
      <c r="Q29" s="1241"/>
      <c r="R29" s="657"/>
      <c r="S29" s="658"/>
      <c r="T29" s="657"/>
      <c r="U29" s="658"/>
      <c r="V29" s="657"/>
      <c r="W29" s="658"/>
      <c r="X29" s="1243"/>
      <c r="Y29" s="3371"/>
      <c r="Z29" s="1242"/>
      <c r="AA29" s="1242">
        <v>1</v>
      </c>
      <c r="AB29" s="1242">
        <v>1</v>
      </c>
      <c r="AC29" s="1242">
        <v>1</v>
      </c>
    </row>
    <row r="30" spans="1:29" ht="15">
      <c r="A30" s="360"/>
      <c r="B30" s="113" t="s">
        <v>1870</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71"/>
      <c r="Q30" s="1241" t="str">
        <f t="shared" si="8"/>
        <v>土地级别</v>
      </c>
      <c r="R30" s="657" t="s">
        <v>14</v>
      </c>
      <c r="S30" s="658">
        <f t="shared" si="10"/>
        <v>100</v>
      </c>
      <c r="T30" s="657" t="s">
        <v>14</v>
      </c>
      <c r="U30" s="658">
        <f t="shared" si="11"/>
        <v>100</v>
      </c>
      <c r="V30" s="657" t="s">
        <v>14</v>
      </c>
      <c r="W30" s="658">
        <f t="shared" si="12"/>
        <v>100</v>
      </c>
      <c r="X30" s="1243"/>
      <c r="Y30" s="3371"/>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71"/>
      <c r="Q31" s="1241">
        <f t="shared" si="8"/>
        <v>111</v>
      </c>
      <c r="R31" s="657" t="s">
        <v>14</v>
      </c>
      <c r="S31" s="658">
        <f t="shared" si="10"/>
        <v>100</v>
      </c>
      <c r="T31" s="657" t="s">
        <v>14</v>
      </c>
      <c r="U31" s="658">
        <f t="shared" si="11"/>
        <v>100</v>
      </c>
      <c r="V31" s="657" t="s">
        <v>14</v>
      </c>
      <c r="W31" s="658">
        <f t="shared" si="12"/>
        <v>100</v>
      </c>
      <c r="X31" s="1243"/>
      <c r="Y31" s="3371"/>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32" t="s">
        <v>1693</v>
      </c>
      <c r="Q32" s="1241">
        <f t="shared" si="8"/>
        <v>111</v>
      </c>
      <c r="R32" s="657" t="s">
        <v>14</v>
      </c>
      <c r="S32" s="658">
        <f t="shared" si="10"/>
        <v>100</v>
      </c>
      <c r="T32" s="657" t="s">
        <v>14</v>
      </c>
      <c r="U32" s="658">
        <f t="shared" si="11"/>
        <v>100</v>
      </c>
      <c r="V32" s="657" t="s">
        <v>14</v>
      </c>
      <c r="W32" s="658">
        <f t="shared" si="12"/>
        <v>100</v>
      </c>
      <c r="X32" s="1243"/>
      <c r="Y32" s="3375" t="s">
        <v>1693</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75"/>
      <c r="Q33" s="1241">
        <f t="shared" si="8"/>
        <v>111</v>
      </c>
      <c r="R33" s="659" t="s">
        <v>14</v>
      </c>
      <c r="S33" s="660">
        <f t="shared" si="10"/>
        <v>100</v>
      </c>
      <c r="T33" s="659" t="s">
        <v>14</v>
      </c>
      <c r="U33" s="660">
        <f t="shared" si="11"/>
        <v>100</v>
      </c>
      <c r="V33" s="659" t="s">
        <v>14</v>
      </c>
      <c r="W33" s="660">
        <f t="shared" si="12"/>
        <v>100</v>
      </c>
      <c r="X33" s="661"/>
      <c r="Y33" s="3375"/>
      <c r="Z33" s="662">
        <f t="shared" si="13"/>
        <v>111</v>
      </c>
      <c r="AA33" s="1242">
        <f t="shared" si="3"/>
        <v>1</v>
      </c>
      <c r="AB33" s="1242">
        <f t="shared" si="4"/>
        <v>1</v>
      </c>
      <c r="AC33" s="1242">
        <f t="shared" si="5"/>
        <v>1</v>
      </c>
    </row>
    <row r="34" spans="1:31" ht="15">
      <c r="A34" s="372" t="s">
        <v>1691</v>
      </c>
      <c r="B34" s="388" t="s">
        <v>1871</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75"/>
      <c r="Q34" s="1241" t="str">
        <f>B34</f>
        <v>宗地面积</v>
      </c>
      <c r="R34" s="657" t="s">
        <v>14</v>
      </c>
      <c r="S34" s="658" t="e">
        <f t="shared" si="10"/>
        <v>#N/A</v>
      </c>
      <c r="T34" s="657" t="s">
        <v>14</v>
      </c>
      <c r="U34" s="658" t="e">
        <f t="shared" si="11"/>
        <v>#N/A</v>
      </c>
      <c r="V34" s="657" t="s">
        <v>14</v>
      </c>
      <c r="W34" s="658" t="e">
        <f t="shared" si="12"/>
        <v>#N/A</v>
      </c>
      <c r="X34" s="1243"/>
      <c r="Y34" s="3375"/>
      <c r="Z34" s="1242" t="str">
        <f t="shared" si="13"/>
        <v>宗地面积</v>
      </c>
      <c r="AA34" s="1242" t="e">
        <f t="shared" si="3"/>
        <v>#N/A</v>
      </c>
      <c r="AB34" s="1242" t="e">
        <f t="shared" si="4"/>
        <v>#N/A</v>
      </c>
      <c r="AC34" s="1242" t="e">
        <f t="shared" si="5"/>
        <v>#N/A</v>
      </c>
    </row>
    <row r="35" spans="1:31" ht="15">
      <c r="A35" s="402"/>
      <c r="B35" s="357" t="s">
        <v>1872</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75"/>
      <c r="Q35" s="1241" t="str">
        <f t="shared" ref="Q35:Q40" si="14">B35</f>
        <v>宗地形状</v>
      </c>
      <c r="R35" s="657" t="s">
        <v>14</v>
      </c>
      <c r="S35" s="658">
        <f t="shared" si="10"/>
        <v>100</v>
      </c>
      <c r="T35" s="657" t="s">
        <v>14</v>
      </c>
      <c r="U35" s="658">
        <f t="shared" si="11"/>
        <v>100</v>
      </c>
      <c r="V35" s="657" t="s">
        <v>14</v>
      </c>
      <c r="W35" s="658">
        <f t="shared" si="12"/>
        <v>100</v>
      </c>
      <c r="X35" s="1243"/>
      <c r="Y35" s="3375"/>
      <c r="Z35" s="1242" t="str">
        <f t="shared" si="13"/>
        <v>宗地形状</v>
      </c>
      <c r="AA35" s="1242">
        <f t="shared" si="3"/>
        <v>1</v>
      </c>
      <c r="AB35" s="1242">
        <f t="shared" si="4"/>
        <v>1</v>
      </c>
      <c r="AC35" s="1242">
        <f t="shared" si="5"/>
        <v>1</v>
      </c>
    </row>
    <row r="36" spans="1:31" s="101" customFormat="1" ht="15">
      <c r="A36" s="403"/>
      <c r="B36" s="357" t="s">
        <v>1874</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75"/>
      <c r="Q36" s="1241" t="str">
        <f t="shared" si="14"/>
        <v>宗地开发程度</v>
      </c>
      <c r="R36" s="654" t="s">
        <v>14</v>
      </c>
      <c r="S36" s="655">
        <f t="shared" si="10"/>
        <v>100</v>
      </c>
      <c r="T36" s="654" t="s">
        <v>14</v>
      </c>
      <c r="U36" s="655">
        <f t="shared" si="11"/>
        <v>100</v>
      </c>
      <c r="V36" s="654" t="s">
        <v>14</v>
      </c>
      <c r="W36" s="655">
        <f t="shared" si="12"/>
        <v>100</v>
      </c>
      <c r="X36" s="656"/>
      <c r="Y36" s="3375"/>
      <c r="Z36" s="50" t="str">
        <f t="shared" si="13"/>
        <v>宗地开发程度</v>
      </c>
      <c r="AA36" s="50">
        <f t="shared" si="3"/>
        <v>1</v>
      </c>
      <c r="AB36" s="50">
        <f t="shared" si="4"/>
        <v>1</v>
      </c>
      <c r="AC36" s="50">
        <f t="shared" si="5"/>
        <v>1</v>
      </c>
    </row>
    <row r="37" spans="1:31" ht="15">
      <c r="A37" s="402"/>
      <c r="B37" s="357" t="s">
        <v>1875</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75" t="s">
        <v>1693</v>
      </c>
      <c r="Q37" s="1241" t="str">
        <f t="shared" si="14"/>
        <v>工程地质条件</v>
      </c>
      <c r="R37" s="657" t="s">
        <v>14</v>
      </c>
      <c r="S37" s="658">
        <f t="shared" si="10"/>
        <v>100</v>
      </c>
      <c r="T37" s="657" t="s">
        <v>14</v>
      </c>
      <c r="U37" s="658">
        <f t="shared" si="11"/>
        <v>100</v>
      </c>
      <c r="V37" s="657" t="s">
        <v>14</v>
      </c>
      <c r="W37" s="658">
        <f t="shared" si="12"/>
        <v>100</v>
      </c>
      <c r="X37" s="1243"/>
      <c r="Y37" s="3375" t="s">
        <v>1693</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75"/>
      <c r="Q38" s="1241">
        <f t="shared" si="14"/>
        <v>111</v>
      </c>
      <c r="R38" s="657" t="s">
        <v>14</v>
      </c>
      <c r="S38" s="658">
        <f t="shared" si="10"/>
        <v>100</v>
      </c>
      <c r="T38" s="657" t="s">
        <v>14</v>
      </c>
      <c r="U38" s="658">
        <f t="shared" si="11"/>
        <v>100</v>
      </c>
      <c r="V38" s="657" t="s">
        <v>14</v>
      </c>
      <c r="W38" s="658">
        <f t="shared" si="12"/>
        <v>100</v>
      </c>
      <c r="X38" s="1243"/>
      <c r="Y38" s="3375"/>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75"/>
      <c r="Q39" s="1241">
        <f t="shared" si="14"/>
        <v>111</v>
      </c>
      <c r="R39" s="657" t="s">
        <v>14</v>
      </c>
      <c r="S39" s="658">
        <f t="shared" si="10"/>
        <v>100</v>
      </c>
      <c r="T39" s="657" t="s">
        <v>14</v>
      </c>
      <c r="U39" s="658">
        <f t="shared" si="11"/>
        <v>100</v>
      </c>
      <c r="V39" s="657" t="s">
        <v>14</v>
      </c>
      <c r="W39" s="658">
        <f t="shared" si="12"/>
        <v>100</v>
      </c>
      <c r="X39" s="1243"/>
      <c r="Y39" s="3375"/>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75"/>
      <c r="Q40" s="1241">
        <f t="shared" si="14"/>
        <v>111</v>
      </c>
      <c r="R40" s="659" t="s">
        <v>14</v>
      </c>
      <c r="S40" s="660">
        <f t="shared" si="10"/>
        <v>100</v>
      </c>
      <c r="T40" s="659" t="s">
        <v>14</v>
      </c>
      <c r="U40" s="660">
        <f t="shared" si="11"/>
        <v>100</v>
      </c>
      <c r="V40" s="659" t="s">
        <v>14</v>
      </c>
      <c r="W40" s="660">
        <f t="shared" si="12"/>
        <v>100</v>
      </c>
      <c r="X40" s="661"/>
      <c r="Y40" s="3375"/>
      <c r="Z40" s="662">
        <f t="shared" si="13"/>
        <v>111</v>
      </c>
      <c r="AA40" s="1242">
        <f t="shared" si="3"/>
        <v>1</v>
      </c>
      <c r="AB40" s="1242">
        <f t="shared" si="4"/>
        <v>1</v>
      </c>
      <c r="AC40" s="1242">
        <f t="shared" si="5"/>
        <v>1</v>
      </c>
    </row>
    <row r="41" spans="1:31" ht="15">
      <c r="A41" s="409" t="s">
        <v>1841</v>
      </c>
      <c r="B41" s="1807" t="s">
        <v>1919</v>
      </c>
      <c r="C41" s="595" t="s">
        <v>0</v>
      </c>
      <c r="D41" s="411"/>
      <c r="E41" s="412"/>
      <c r="F41" s="413"/>
      <c r="G41" s="414"/>
      <c r="H41" s="415"/>
      <c r="I41" s="412"/>
      <c r="J41" s="415"/>
      <c r="K41" s="664"/>
      <c r="L41" s="2469"/>
      <c r="M41" s="2462"/>
      <c r="N41" s="2462"/>
      <c r="O41" s="2462"/>
      <c r="P41" s="3368" t="str">
        <f>A41</f>
        <v>成交单价</v>
      </c>
      <c r="Q41" s="3368"/>
      <c r="R41" s="3369">
        <f>E41</f>
        <v>0</v>
      </c>
      <c r="S41" s="3369"/>
      <c r="T41" s="3369">
        <f>G41</f>
        <v>0</v>
      </c>
      <c r="U41" s="3369"/>
      <c r="V41" s="3369">
        <f>I41</f>
        <v>0</v>
      </c>
      <c r="W41" s="3369"/>
      <c r="X41" s="378"/>
      <c r="Y41" s="663"/>
      <c r="Z41" s="378"/>
      <c r="AA41" s="378"/>
      <c r="AB41" s="378"/>
      <c r="AC41" s="378"/>
    </row>
    <row r="42" spans="1:31" ht="15.75" thickBot="1">
      <c r="A42" s="416" t="s">
        <v>1790</v>
      </c>
      <c r="B42" s="596"/>
      <c r="C42" s="419" t="e">
        <f>R43</f>
        <v>#DIV/0!</v>
      </c>
      <c r="D42" s="2118" t="s">
        <v>2135</v>
      </c>
      <c r="E42" s="419" t="e">
        <f>R42</f>
        <v>#DIV/0!</v>
      </c>
      <c r="F42" s="2119"/>
      <c r="G42" s="418" t="e">
        <f>T42</f>
        <v>#DIV/0!</v>
      </c>
      <c r="H42" s="2119"/>
      <c r="I42" s="419" t="e">
        <f>V42</f>
        <v>#DIV/0!</v>
      </c>
      <c r="J42" s="2119"/>
      <c r="K42" s="2121">
        <f>F42+H42+J42</f>
        <v>0</v>
      </c>
      <c r="L42" s="2469"/>
      <c r="M42" s="2462"/>
      <c r="N42" s="2462"/>
      <c r="O42" s="2462"/>
      <c r="P42" s="3368" t="str">
        <f>A42</f>
        <v>比较价值（元/平方米）</v>
      </c>
      <c r="Q42" s="3368"/>
      <c r="R42" s="3433" t="e">
        <f>ROUND(PRODUCT(R41,AA7:AA40),0)</f>
        <v>#DIV/0!</v>
      </c>
      <c r="S42" s="3433"/>
      <c r="T42" s="3433" t="e">
        <f>ROUND(PRODUCT(T41,AB7:AB40),0)</f>
        <v>#DIV/0!</v>
      </c>
      <c r="U42" s="3433"/>
      <c r="V42" s="3433" t="e">
        <f>ROUND(PRODUCT(V41,AC7:AC40),0)</f>
        <v>#DIV/0!</v>
      </c>
      <c r="W42" s="3433"/>
      <c r="X42" s="378"/>
      <c r="Y42" s="378"/>
      <c r="Z42" s="378"/>
      <c r="AA42" s="378"/>
      <c r="AB42" s="378"/>
      <c r="AC42" s="378"/>
    </row>
    <row r="43" spans="1:31" ht="15.75" thickBot="1">
      <c r="A43" s="420" t="s">
        <v>1791</v>
      </c>
      <c r="B43" s="421"/>
      <c r="C43" s="422" t="e">
        <f>R43</f>
        <v>#DIV/0!</v>
      </c>
      <c r="D43" s="422"/>
      <c r="E43" s="422"/>
      <c r="F43" s="422"/>
      <c r="G43" s="422"/>
      <c r="H43" s="422"/>
      <c r="I43" s="422"/>
      <c r="J43" s="422"/>
      <c r="K43" s="665"/>
      <c r="L43" s="2469"/>
      <c r="M43" s="2462"/>
      <c r="N43" s="2462"/>
      <c r="O43" s="2462"/>
      <c r="P43" s="3365" t="str">
        <f>A43</f>
        <v>估价对象XX用房的比较价值（楼面单价，元/平方米）</v>
      </c>
      <c r="Q43" s="3366"/>
      <c r="R43" s="3434" t="e">
        <f>ROUND(IF(D42="简单平均",AVERAGE(R42:W42),R42*F42+T42*H42+V42*J42),0)</f>
        <v>#DIV/0!</v>
      </c>
      <c r="S43" s="3434"/>
      <c r="T43" s="3434"/>
      <c r="U43" s="3434"/>
      <c r="V43" s="3434"/>
      <c r="W43" s="3434"/>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1878</v>
      </c>
      <c r="B50" s="598" t="s">
        <v>1879</v>
      </c>
      <c r="C50" s="1808" t="s">
        <v>1880</v>
      </c>
      <c r="D50" s="1809" t="s">
        <v>1881</v>
      </c>
      <c r="E50" s="599" t="s">
        <v>1882</v>
      </c>
      <c r="F50" s="600" t="s">
        <v>1883</v>
      </c>
      <c r="G50" s="3383" t="s">
        <v>1884</v>
      </c>
      <c r="H50" s="3435"/>
      <c r="I50" s="1242" t="s">
        <v>1920</v>
      </c>
      <c r="J50" s="1242">
        <f>项目基本情况!F35</f>
        <v>0</v>
      </c>
      <c r="K50" s="1811" t="s">
        <v>1886</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1887</v>
      </c>
      <c r="B51" s="602" t="e">
        <f>C43</f>
        <v>#DIV/0!</v>
      </c>
      <c r="C51" s="603">
        <v>1</v>
      </c>
      <c r="D51" s="870">
        <v>1</v>
      </c>
      <c r="E51" s="603">
        <f>'数据-汇总表'!E8+'数据-汇总表'!E9</f>
        <v>3082.0600000000004</v>
      </c>
      <c r="F51" s="604" t="e">
        <f t="shared" ref="F51:F60" si="15">ROUND(B51*E51/10000,0)</f>
        <v>#DIV/0!</v>
      </c>
      <c r="G51" s="3379"/>
      <c r="H51" s="336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1888</v>
      </c>
      <c r="B52" s="204" t="e">
        <f>ROUND($C$43*C52*D52,0)</f>
        <v>#DIV/0!</v>
      </c>
      <c r="C52" s="157">
        <f t="shared" ref="C52:C60" si="16">IF($C$50="北京市系数",I52,J52)</f>
        <v>0</v>
      </c>
      <c r="D52" s="871">
        <v>0.25</v>
      </c>
      <c r="E52" s="607"/>
      <c r="F52" s="604" t="e">
        <f t="shared" si="15"/>
        <v>#DIV/0!</v>
      </c>
      <c r="G52" s="2723" t="s">
        <v>1889</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1890</v>
      </c>
      <c r="B53" s="204" t="e">
        <f t="shared" ref="B53:B60" si="17">ROUND($C$43*C53*D53,0)</f>
        <v>#DIV/0!</v>
      </c>
      <c r="C53" s="157">
        <f t="shared" si="16"/>
        <v>0</v>
      </c>
      <c r="D53" s="871">
        <v>0.25</v>
      </c>
      <c r="E53" s="607"/>
      <c r="F53" s="604" t="e">
        <f t="shared" si="15"/>
        <v>#DIV/0!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1891</v>
      </c>
      <c r="B54" s="204" t="e">
        <f t="shared" si="17"/>
        <v>#DIV/0!</v>
      </c>
      <c r="C54" s="157">
        <f t="shared" si="16"/>
        <v>0</v>
      </c>
      <c r="D54" s="871">
        <v>0.25</v>
      </c>
      <c r="E54" s="607"/>
      <c r="F54" s="604" t="e">
        <f t="shared" si="15"/>
        <v>#DIV/0!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1892</v>
      </c>
      <c r="B56" s="204" t="e">
        <f t="shared" si="17"/>
        <v>#DIV/0!</v>
      </c>
      <c r="C56" s="157">
        <f t="shared" si="16"/>
        <v>0</v>
      </c>
      <c r="D56" s="871">
        <v>0.25</v>
      </c>
      <c r="E56" s="203">
        <f>'数据-汇总表'!E11</f>
        <v>0</v>
      </c>
      <c r="F56" s="604" t="e">
        <f t="shared" si="15"/>
        <v>#DIV/0!</v>
      </c>
      <c r="G56" s="1812" t="s">
        <v>1893</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1894</v>
      </c>
      <c r="B57" s="204" t="e">
        <f t="shared" si="17"/>
        <v>#DIV/0!</v>
      </c>
      <c r="C57" s="157">
        <f t="shared" si="16"/>
        <v>0</v>
      </c>
      <c r="D57" s="871">
        <v>0.25</v>
      </c>
      <c r="E57" s="203">
        <f>'数据-汇总表'!E12</f>
        <v>0</v>
      </c>
      <c r="F57" s="604" t="e">
        <f t="shared" si="15"/>
        <v>#DIV/0!</v>
      </c>
      <c r="G57" s="819" t="s">
        <v>1895</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1896</v>
      </c>
      <c r="B58" s="204" t="e">
        <f t="shared" si="17"/>
        <v>#DIV/0!</v>
      </c>
      <c r="C58" s="157">
        <f t="shared" si="16"/>
        <v>0</v>
      </c>
      <c r="D58" s="871">
        <v>0.25</v>
      </c>
      <c r="E58" s="203">
        <f>'数据-汇总表'!E13</f>
        <v>0</v>
      </c>
      <c r="F58" s="604" t="e">
        <f t="shared" si="15"/>
        <v>#DIV/0!</v>
      </c>
      <c r="G58" s="819" t="s">
        <v>1897</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1898</v>
      </c>
      <c r="B59" s="204" t="e">
        <f t="shared" si="17"/>
        <v>#DIV/0!</v>
      </c>
      <c r="C59" s="157">
        <f t="shared" si="16"/>
        <v>0</v>
      </c>
      <c r="D59" s="871">
        <v>0.25</v>
      </c>
      <c r="E59" s="203">
        <f>'数据-汇总表'!E14</f>
        <v>0</v>
      </c>
      <c r="F59" s="604" t="e">
        <f t="shared" si="15"/>
        <v>#DIV/0!</v>
      </c>
      <c r="G59" s="1812" t="s">
        <v>1889</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1899</v>
      </c>
      <c r="B60" s="204" t="e">
        <f t="shared" si="17"/>
        <v>#DIV/0!</v>
      </c>
      <c r="C60" s="157">
        <f t="shared" si="16"/>
        <v>0</v>
      </c>
      <c r="D60" s="871">
        <v>0.25</v>
      </c>
      <c r="E60" s="203">
        <f>'数据-汇总表'!E15</f>
        <v>450</v>
      </c>
      <c r="F60" s="604" t="e">
        <f t="shared" si="15"/>
        <v>#DIV/0!</v>
      </c>
      <c r="G60" s="1813" t="s">
        <v>1893</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1900</v>
      </c>
      <c r="B61" s="609" t="s">
        <v>22</v>
      </c>
      <c r="C61" s="609" t="s">
        <v>23</v>
      </c>
      <c r="D61" s="609" t="s">
        <v>392</v>
      </c>
      <c r="E61" s="609">
        <f>IF(B41="楼面地价",SUM(E51:E60),'数据-汇总表'!D3)</f>
        <v>0</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2025-3-1</v>
      </c>
      <c r="D63" s="646">
        <f>EDATE(C63,-3)</f>
        <v>45627</v>
      </c>
      <c r="E63" s="646">
        <f>EDATE(D63,-3)</f>
        <v>45536</v>
      </c>
      <c r="F63" s="646">
        <f t="shared" ref="F63:O63" si="18">EDATE(E63,-3)</f>
        <v>45444</v>
      </c>
      <c r="G63" s="646">
        <f t="shared" si="18"/>
        <v>45352</v>
      </c>
      <c r="H63" s="646">
        <f t="shared" si="18"/>
        <v>45261</v>
      </c>
      <c r="I63" s="646">
        <f t="shared" si="18"/>
        <v>45170</v>
      </c>
      <c r="J63" s="646">
        <f t="shared" si="18"/>
        <v>45078</v>
      </c>
      <c r="K63" s="646">
        <f t="shared" si="18"/>
        <v>44986</v>
      </c>
      <c r="L63" s="646">
        <f t="shared" si="18"/>
        <v>44896</v>
      </c>
      <c r="M63" s="646">
        <f t="shared" si="18"/>
        <v>44805</v>
      </c>
      <c r="N63" s="646">
        <f t="shared" si="18"/>
        <v>44713</v>
      </c>
      <c r="O63" s="646">
        <f t="shared" si="18"/>
        <v>44621</v>
      </c>
      <c r="P63" s="2462"/>
      <c r="Q63" s="2462"/>
      <c r="R63" s="2462"/>
      <c r="S63" s="2462"/>
      <c r="T63" s="2462"/>
      <c r="U63" s="2462"/>
      <c r="V63" s="2462"/>
      <c r="W63" s="2462"/>
      <c r="X63" s="2462"/>
      <c r="Y63" s="2462"/>
      <c r="Z63" s="2462"/>
      <c r="AA63" s="2462"/>
      <c r="AB63" s="2462"/>
      <c r="AC63" s="2462"/>
      <c r="AD63" s="2462"/>
      <c r="AE63" s="2462"/>
    </row>
    <row r="64" spans="1:31" ht="21.75" thickBot="1">
      <c r="A64" s="648" t="s">
        <v>1795</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1901</v>
      </c>
      <c r="B65" s="1024"/>
      <c r="C65" s="1079" t="str">
        <f>YEAR(C63)&amp;"-"&amp;ROUNDUP(MONTH(C63)/3,0)</f>
        <v>2025-1</v>
      </c>
      <c r="D65" s="1079" t="str">
        <f t="shared" ref="D65:O65" si="19">YEAR(D63)&amp;"-"&amp;ROUNDUP(MONTH(D63)/3,0)</f>
        <v>2024-4</v>
      </c>
      <c r="E65" s="1079" t="str">
        <f t="shared" si="19"/>
        <v>2024-3</v>
      </c>
      <c r="F65" s="1079" t="str">
        <f t="shared" si="19"/>
        <v>2024-2</v>
      </c>
      <c r="G65" s="1079" t="str">
        <f t="shared" si="19"/>
        <v>2024-1</v>
      </c>
      <c r="H65" s="1079" t="str">
        <f t="shared" si="19"/>
        <v>2023-4</v>
      </c>
      <c r="I65" s="1079" t="str">
        <f t="shared" si="19"/>
        <v>2023-3</v>
      </c>
      <c r="J65" s="1079" t="str">
        <f t="shared" si="19"/>
        <v>2023-2</v>
      </c>
      <c r="K65" s="1079" t="str">
        <f t="shared" si="19"/>
        <v>2023-1</v>
      </c>
      <c r="L65" s="1079" t="str">
        <f t="shared" si="19"/>
        <v>2022-4</v>
      </c>
      <c r="M65" s="1079" t="str">
        <f t="shared" si="19"/>
        <v>2022-3</v>
      </c>
      <c r="N65" s="1079" t="str">
        <f t="shared" si="19"/>
        <v>2022-2</v>
      </c>
      <c r="O65" s="1079" t="str">
        <f t="shared" si="19"/>
        <v>2022-1</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1921</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1713</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1678</v>
      </c>
      <c r="B68" s="437"/>
      <c r="C68" s="449" t="s">
        <v>1773</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1716</v>
      </c>
      <c r="B70" s="453" t="s">
        <v>1682</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1685</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1686</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1687</v>
      </c>
      <c r="B83" s="453" t="s">
        <v>1826</v>
      </c>
      <c r="C83" s="497" t="s">
        <v>1718</v>
      </c>
      <c r="D83" s="497" t="s">
        <v>1719</v>
      </c>
      <c r="E83" s="497" t="s">
        <v>1720</v>
      </c>
      <c r="F83" s="497" t="s">
        <v>1721</v>
      </c>
      <c r="G83" s="497" t="s">
        <v>1722</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1723</v>
      </c>
      <c r="C85" s="502" t="s">
        <v>1718</v>
      </c>
      <c r="D85" s="502" t="s">
        <v>1719</v>
      </c>
      <c r="E85" s="502" t="s">
        <v>1720</v>
      </c>
      <c r="F85" s="502" t="s">
        <v>1721</v>
      </c>
      <c r="G85" s="502" t="s">
        <v>1722</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1904</v>
      </c>
      <c r="C87" s="497" t="s">
        <v>1718</v>
      </c>
      <c r="D87" s="497" t="s">
        <v>1719</v>
      </c>
      <c r="E87" s="497" t="s">
        <v>1720</v>
      </c>
      <c r="F87" s="497" t="s">
        <v>1721</v>
      </c>
      <c r="G87" s="497" t="s">
        <v>1722</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1905</v>
      </c>
      <c r="C89" s="497" t="s">
        <v>1718</v>
      </c>
      <c r="D89" s="497" t="s">
        <v>1719</v>
      </c>
      <c r="E89" s="497" t="s">
        <v>1720</v>
      </c>
      <c r="F89" s="497" t="s">
        <v>1721</v>
      </c>
      <c r="G89" s="497" t="s">
        <v>1722</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1775</v>
      </c>
      <c r="C91" s="497" t="s">
        <v>1718</v>
      </c>
      <c r="D91" s="497" t="s">
        <v>1719</v>
      </c>
      <c r="E91" s="497" t="s">
        <v>1720</v>
      </c>
      <c r="F91" s="497" t="s">
        <v>1721</v>
      </c>
      <c r="G91" s="497" t="s">
        <v>1722</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1922</v>
      </c>
      <c r="C93" s="574" t="s">
        <v>1796</v>
      </c>
      <c r="D93" s="574" t="s">
        <v>1797</v>
      </c>
      <c r="E93" s="574" t="s">
        <v>1798</v>
      </c>
      <c r="F93" s="574" t="s">
        <v>1799</v>
      </c>
      <c r="G93" s="574" t="s">
        <v>1800</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1906</v>
      </c>
      <c r="D95" s="463" t="s">
        <v>1907</v>
      </c>
      <c r="E95" s="463" t="s">
        <v>1908</v>
      </c>
      <c r="F95" s="463" t="s">
        <v>1909</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1812</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1870</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1691</v>
      </c>
      <c r="B107" s="453" t="s">
        <v>1910</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1911</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1913</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1914</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2080</v>
      </c>
      <c r="C1" s="3443" t="s">
        <v>2081</v>
      </c>
      <c r="D1" s="3444"/>
      <c r="E1" s="3444"/>
      <c r="F1" s="3444"/>
      <c r="G1" s="3444"/>
      <c r="H1" s="3444"/>
      <c r="I1" s="3444"/>
      <c r="J1" s="3444"/>
      <c r="K1" s="3444"/>
      <c r="L1" s="3444"/>
      <c r="M1" s="3444"/>
      <c r="N1" s="3444"/>
      <c r="O1" s="3444"/>
      <c r="P1" s="3444"/>
      <c r="Q1" s="3444"/>
      <c r="R1" s="3444"/>
      <c r="S1" s="3445"/>
      <c r="T1" s="909" t="s">
        <v>2082</v>
      </c>
    </row>
    <row r="2" spans="1:45" s="618" customFormat="1">
      <c r="A2" s="910"/>
      <c r="B2" s="615" t="s">
        <v>2083</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2084</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2085</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2086</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2087</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2088</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2089</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2090</v>
      </c>
      <c r="B17" s="1964" t="s">
        <v>2091</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2092</v>
      </c>
      <c r="E19" s="1231"/>
      <c r="F19" s="1231"/>
      <c r="G19" s="1231"/>
      <c r="H19" s="975"/>
      <c r="I19" s="145"/>
      <c r="J19" s="145"/>
      <c r="K19" s="145"/>
      <c r="L19" s="145"/>
      <c r="M19" s="145"/>
      <c r="N19" s="145"/>
      <c r="O19" s="145"/>
      <c r="P19" s="145"/>
      <c r="Q19" s="145"/>
      <c r="R19" s="145"/>
      <c r="S19" s="115"/>
    </row>
    <row r="20" spans="1:45" ht="16.5" thickBot="1">
      <c r="A20" s="625" t="s">
        <v>2093</v>
      </c>
      <c r="B20" s="280" t="e">
        <f ca="1">IF(D20="——",S22,S22-F20)</f>
        <v>#REF!</v>
      </c>
      <c r="C20" s="145"/>
      <c r="D20" s="1966"/>
      <c r="E20" s="1232"/>
      <c r="F20" s="909" t="e">
        <f ca="1">SUMIF(INDIRECT("'"&amp;H20&amp;"'"&amp;"!A:A"),"承租人权益价值",INDIRECT("'"&amp;H20&amp;"'"&amp;"!c:c"))</f>
        <v>#REF!</v>
      </c>
      <c r="G20" s="909" t="s">
        <v>2094</v>
      </c>
      <c r="H20" s="1967"/>
      <c r="I20" s="145"/>
      <c r="J20" s="145"/>
      <c r="K20" s="145"/>
      <c r="L20" s="145"/>
      <c r="M20" s="145"/>
      <c r="N20" s="145"/>
      <c r="O20" s="145"/>
      <c r="P20" s="145"/>
      <c r="Q20" s="145"/>
      <c r="R20" s="145"/>
      <c r="S20" s="115"/>
    </row>
    <row r="21" spans="1:45" ht="15.75">
      <c r="A21" s="625" t="s">
        <v>2095</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2096</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2102</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2078</v>
      </c>
      <c r="B1" s="4"/>
      <c r="C1" s="4"/>
      <c r="D1" s="4"/>
      <c r="E1" s="4"/>
      <c r="F1" s="2519"/>
      <c r="G1" s="2519"/>
      <c r="H1" s="2519"/>
      <c r="I1" s="2519"/>
      <c r="J1" s="2519"/>
      <c r="K1" s="2519"/>
      <c r="L1" s="2519"/>
      <c r="M1" s="2519"/>
      <c r="N1" s="2519"/>
      <c r="O1" s="2519"/>
      <c r="P1" s="2519"/>
    </row>
    <row r="2" spans="1:16" ht="15.75">
      <c r="A2" s="1961" t="s">
        <v>2070</v>
      </c>
      <c r="B2" s="2365" t="e">
        <f ca="1">SUMIF(B6:B13,"&lt;&gt;#ref!",B6:B13)</f>
        <v>#DIV/0!</v>
      </c>
      <c r="C2" s="1961" t="s">
        <v>2071</v>
      </c>
      <c r="D2" s="1961" t="s">
        <v>2072</v>
      </c>
      <c r="E2" s="2375">
        <f ca="1">SUMIF(E6:E13,"&lt;&gt;#ref!",E6:E13)</f>
        <v>0</v>
      </c>
      <c r="F2" s="2519"/>
      <c r="G2" s="2519"/>
      <c r="H2" s="2519"/>
      <c r="I2" s="2519"/>
      <c r="J2" s="2519"/>
      <c r="K2" s="2519"/>
      <c r="L2" s="2519"/>
      <c r="M2" s="2519"/>
      <c r="N2" s="2519"/>
      <c r="O2" s="2519"/>
      <c r="P2" s="2519"/>
    </row>
    <row r="3" spans="1:16" ht="15.75">
      <c r="A3" s="1961" t="s">
        <v>2073</v>
      </c>
      <c r="B3" s="2365" t="e">
        <f ca="1">ROUND(B2*10000/E2,0)</f>
        <v>#DIV/0!</v>
      </c>
      <c r="C3" s="1961" t="s">
        <v>2079</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2074</v>
      </c>
      <c r="B5" s="2373" t="s">
        <v>2075</v>
      </c>
      <c r="C5" s="1962"/>
      <c r="D5" s="2519"/>
      <c r="E5" s="2374" t="s">
        <v>2076</v>
      </c>
      <c r="F5" s="2519"/>
      <c r="G5" s="2519"/>
      <c r="H5" s="2519"/>
      <c r="I5" s="2519"/>
      <c r="J5" s="2519"/>
      <c r="K5" s="2519"/>
      <c r="L5" s="2519"/>
      <c r="M5" s="2519"/>
      <c r="N5" s="2519"/>
      <c r="O5" s="2519"/>
      <c r="P5" s="2519"/>
    </row>
    <row r="6" spans="1:16" ht="15.75">
      <c r="A6" s="2372" t="s">
        <v>2077</v>
      </c>
      <c r="B6" s="2365" t="e">
        <f ca="1">SUMIF(INDIRECT("'"&amp;A6&amp;"'"&amp;"!A:A"),"总价",INDIRECT("'"&amp;A6&amp;"'"&amp;"!B:B"))</f>
        <v>#DIV/0!</v>
      </c>
      <c r="C6" s="1961" t="s">
        <v>2071</v>
      </c>
      <c r="D6" s="2519"/>
      <c r="E6" s="2375">
        <f ca="1">SUMIF(INDIRECT("'"&amp;A6&amp;"'"&amp;"!C:C"),"建筑面积",INDIRECT("'"&amp;A6&amp;"'"&amp;"!D:D"))</f>
        <v>0</v>
      </c>
      <c r="F6" s="2519"/>
      <c r="G6" s="2519"/>
      <c r="H6" s="2519"/>
      <c r="I6" s="2519"/>
      <c r="J6" s="2519"/>
      <c r="K6" s="2519"/>
      <c r="L6" s="2519"/>
      <c r="M6" s="2519"/>
      <c r="N6" s="2519"/>
      <c r="O6" s="2519"/>
      <c r="P6" s="2519"/>
    </row>
    <row r="7" spans="1:16" ht="15.75">
      <c r="A7" s="2372"/>
      <c r="B7" s="2365" t="e">
        <f ca="1">SUMIF(INDIRECT("'"&amp;A7&amp;"'"&amp;"!A:A"),"总价",INDIRECT("'"&amp;A7&amp;"'"&amp;"!B:B"))</f>
        <v>#REF!</v>
      </c>
      <c r="C7" s="1961" t="s">
        <v>2071</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2071</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2071</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2071</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2071</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2071</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2071</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0" sqref="H20"/>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0</v>
      </c>
      <c r="E1" s="1819"/>
      <c r="F1" s="1819"/>
      <c r="G1" s="1819"/>
      <c r="H1" s="1819"/>
      <c r="I1" s="1819"/>
      <c r="J1" s="1819"/>
      <c r="K1" s="1034"/>
      <c r="L1" s="1820" t="s">
        <v>1925</v>
      </c>
      <c r="M1" s="790">
        <f>SUMPRODUCT((区片价!B5:B9=I2)*(区片价!C3:G3=E2)*(区片价!C5:G9))</f>
        <v>0</v>
      </c>
      <c r="N1" s="793">
        <f>SUMPRODUCT((因素修正幅度!B5:B9=I2)*(因素修正幅度!C3:G3=E2)*(因素修正幅度!C5:G9))</f>
        <v>0</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t="e">
        <f>C30</f>
        <v>#DIV/0!</v>
      </c>
      <c r="C2" s="1823" t="s">
        <v>1932</v>
      </c>
      <c r="D2" s="156" t="s">
        <v>1933</v>
      </c>
      <c r="E2" s="3093"/>
      <c r="F2" s="156" t="s">
        <v>1934</v>
      </c>
      <c r="G2" s="157">
        <f>IF(E2="商业",项目基本情况!B37,IF(E2="办公",项目基本情况!C37,IF(E2="住宅",项目基本情况!D37,IF(E2="工业",项目基本情况!E37,项目基本情况!F37))))</f>
        <v>0</v>
      </c>
      <c r="H2" s="156" t="s">
        <v>1935</v>
      </c>
      <c r="I2" s="157">
        <f>IF(E2="商业",项目基本情况!B38,IF(E2="办公",项目基本情况!C38,IF(E2="住宅",项目基本情况!D38,IF(E2="工业",项目基本情况!E38,项目基本情况!F38))))</f>
        <v>0</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0</v>
      </c>
      <c r="T2" s="3036" t="e">
        <f t="shared" ref="T2:T16" si="0">ROUND($C$5*$C$22*$C$23*$C$24*S2*$C$28,0)</f>
        <v>#DIV/0!</v>
      </c>
      <c r="U2" s="1108"/>
      <c r="V2" s="3036" t="e">
        <f>ROUND(T2*U2/10000,0)</f>
        <v>#DIV/0!</v>
      </c>
      <c r="W2" s="1111"/>
      <c r="X2" s="1111"/>
      <c r="Y2" s="1111"/>
      <c r="Z2" s="1111"/>
      <c r="AA2" s="1111"/>
      <c r="AB2" s="1111"/>
      <c r="AC2" s="1112"/>
      <c r="AD2" s="1113"/>
      <c r="AE2" s="1113"/>
      <c r="AF2" s="1113"/>
      <c r="AG2" s="1113"/>
      <c r="AH2" s="1113"/>
      <c r="AI2" s="1113"/>
      <c r="AJ2" s="1114"/>
    </row>
    <row r="3" spans="1:36" ht="15.75">
      <c r="A3" s="189" t="s">
        <v>1937</v>
      </c>
      <c r="B3" s="190" t="e">
        <f>ROUND(B2*10000/D1,0)</f>
        <v>#DIV/0!</v>
      </c>
      <c r="C3" s="1823" t="s">
        <v>1938</v>
      </c>
      <c r="D3" s="156" t="s">
        <v>1939</v>
      </c>
      <c r="E3" s="3091"/>
      <c r="F3" s="1825"/>
      <c r="G3" s="690">
        <f>IF(F3="宗地容积率",'数据-汇总表'!I4,IF(F3="估价对象容积率",'数据-汇总表'!I6,'数据-汇总表'!I7))</f>
        <v>0</v>
      </c>
      <c r="H3" s="156" t="s">
        <v>1940</v>
      </c>
      <c r="I3" s="711"/>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0</v>
      </c>
      <c r="T3" s="3036" t="e">
        <f t="shared" si="0"/>
        <v>#DIV/0!</v>
      </c>
      <c r="U3" s="1108"/>
      <c r="V3" s="3036" t="e">
        <f t="shared" ref="V3:V16" si="1">ROUND(T3*U3/10000,0)</f>
        <v>#DIV/0!</v>
      </c>
      <c r="W3" s="1111"/>
      <c r="X3" s="1111"/>
      <c r="Y3" s="1111"/>
      <c r="Z3" s="1111"/>
      <c r="AA3" s="1111"/>
      <c r="AB3" s="1111"/>
      <c r="AC3" s="1112"/>
      <c r="AD3" s="1113"/>
      <c r="AE3" s="1113"/>
      <c r="AF3" s="1113"/>
      <c r="AG3" s="1113"/>
      <c r="AH3" s="1113"/>
      <c r="AI3" s="1113"/>
      <c r="AJ3" s="1114"/>
    </row>
    <row r="4" spans="1:36" ht="15.75">
      <c r="A4" s="3453"/>
      <c r="B4" s="3454"/>
      <c r="C4" s="3454"/>
      <c r="D4" s="3455"/>
      <c r="E4" s="3455"/>
      <c r="F4" s="3455"/>
      <c r="G4" s="3455"/>
      <c r="H4" s="3455"/>
      <c r="I4" s="3455"/>
      <c r="J4" s="3456"/>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0</v>
      </c>
      <c r="T4" s="3036" t="e">
        <f t="shared" si="0"/>
        <v>#DIV/0!</v>
      </c>
      <c r="U4" s="1108"/>
      <c r="V4" s="3036" t="e">
        <f t="shared" si="1"/>
        <v>#DIV/0!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t="e">
        <f>ROUND(IF(E2="商业",C6*C7*C17+C20,(IF(E2="住宅",C6*C13*C17+C20,IF(E2="办公",C6*C12*C17+C20,C6+C20)))),0)</f>
        <v>#DIV/0!</v>
      </c>
      <c r="D5" s="1230" t="e">
        <f>ROUND(C6*C17+C20,0)</f>
        <v>#DIV/0!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v>
      </c>
      <c r="T5" s="3036" t="e">
        <f t="shared" si="0"/>
        <v>#DIV/0!</v>
      </c>
      <c r="U5" s="1108"/>
      <c r="V5" s="3036" t="e">
        <f t="shared" si="1"/>
        <v>#DIV/0!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0</v>
      </c>
      <c r="D6" s="1838"/>
      <c r="E6" s="1839"/>
      <c r="F6" s="1839"/>
      <c r="G6" s="1840"/>
      <c r="H6" s="1840"/>
      <c r="I6" s="1840"/>
      <c r="J6" s="1841"/>
      <c r="K6" s="1270"/>
      <c r="L6" s="1824" t="s">
        <v>1948</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v>
      </c>
      <c r="T6" s="3036" t="e">
        <f t="shared" si="0"/>
        <v>#DIV/0!</v>
      </c>
      <c r="U6" s="1108"/>
      <c r="V6" s="3036" t="e">
        <f t="shared" si="1"/>
        <v>#DIV/0!</v>
      </c>
      <c r="W6" s="1111"/>
      <c r="X6" s="1111"/>
      <c r="Y6" s="1111"/>
      <c r="Z6" s="1111"/>
      <c r="AA6" s="1111"/>
      <c r="AB6" s="1111"/>
      <c r="AC6" s="1832"/>
      <c r="AD6" s="1833"/>
      <c r="AE6" s="1833"/>
      <c r="AF6" s="1833"/>
      <c r="AG6" s="1833"/>
      <c r="AH6" s="1833"/>
      <c r="AI6" s="1833"/>
      <c r="AJ6" s="1834"/>
    </row>
    <row r="7" spans="1:36" ht="24.75" thickBot="1">
      <c r="A7" s="2985" t="s">
        <v>3223</v>
      </c>
      <c r="B7" s="1842" t="s">
        <v>1949</v>
      </c>
      <c r="C7" s="693" t="e">
        <f>IF(C8="不临65条商业街",1,ROUND(1+(1.6*E8+1.2*E9+0.8*E10+0.4*E11)*C9,4))</f>
        <v>#DIV/0!</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90"/>
      <c r="T7" s="3036" t="e">
        <f t="shared" si="0"/>
        <v>#DIV/0!</v>
      </c>
      <c r="U7" s="1108"/>
      <c r="V7" s="3036" t="e">
        <f t="shared" si="1"/>
        <v>#DIV/0!</v>
      </c>
      <c r="W7" s="1245" t="s">
        <v>1952</v>
      </c>
      <c r="X7" s="1109">
        <f>G2</f>
        <v>0</v>
      </c>
      <c r="Y7" s="1109" t="s">
        <v>1953</v>
      </c>
      <c r="Z7" s="1110">
        <f>G3</f>
        <v>0</v>
      </c>
      <c r="AA7" s="1111"/>
      <c r="AB7" s="1111"/>
      <c r="AC7" s="1112"/>
      <c r="AD7" s="1113"/>
      <c r="AE7" s="1113"/>
      <c r="AF7" s="1113"/>
      <c r="AG7" s="1113"/>
      <c r="AH7" s="1113"/>
      <c r="AI7" s="1113"/>
      <c r="AJ7" s="1114"/>
    </row>
    <row r="8" spans="1:36" ht="15">
      <c r="A8" s="2982"/>
      <c r="B8" s="156" t="s">
        <v>1954</v>
      </c>
      <c r="C8" s="1847"/>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6" t="e">
        <f t="shared" si="0"/>
        <v>#DIV/0!</v>
      </c>
      <c r="U8" s="1108"/>
      <c r="V8" s="3036" t="e">
        <f t="shared" si="1"/>
        <v>#DIV/0!</v>
      </c>
      <c r="W8" s="3450" t="s">
        <v>1957</v>
      </c>
      <c r="X8" s="3451"/>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2"/>
      <c r="B9" s="156" t="s">
        <v>1970</v>
      </c>
      <c r="C9" s="696">
        <f>SUMIF(修正!C71:C138,C8,修正!E71:E138)</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6" t="e">
        <f t="shared" si="0"/>
        <v>#DIV/0!</v>
      </c>
      <c r="U9" s="1108"/>
      <c r="V9" s="3036" t="e">
        <f t="shared" si="1"/>
        <v>#DIV/0!</v>
      </c>
      <c r="W9" s="3452"/>
      <c r="X9" s="3037" t="s">
        <v>3254</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1973</v>
      </c>
      <c r="C10" s="157">
        <f>SUMIF(修正!C71:C138,C8,修正!F71:F138)</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6" t="e">
        <f t="shared" si="0"/>
        <v>#DIV/0!</v>
      </c>
      <c r="U10" s="1108"/>
      <c r="V10" s="3036" t="e">
        <f t="shared" si="1"/>
        <v>#DIV/0!</v>
      </c>
      <c r="W10" s="3452"/>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t="e">
        <f t="shared" si="0"/>
        <v>#DIV/0!</v>
      </c>
      <c r="U11" s="1108"/>
      <c r="V11" s="3036" t="e">
        <f t="shared" si="1"/>
        <v>#DIV/0!</v>
      </c>
      <c r="W11" s="1111"/>
      <c r="X11" s="1111"/>
      <c r="Y11" s="1111"/>
      <c r="Z11" s="1111"/>
      <c r="AA11" s="1111"/>
      <c r="AB11" s="1111"/>
      <c r="AC11" s="1112"/>
      <c r="AD11" s="2528"/>
      <c r="AE11" s="2528"/>
      <c r="AF11" s="2528"/>
      <c r="AG11" s="2528"/>
      <c r="AH11" s="2528"/>
      <c r="AI11" s="2528"/>
      <c r="AJ11" s="2529"/>
    </row>
    <row r="12" spans="1:36" ht="25.5" thickBot="1">
      <c r="A12" s="2985" t="s">
        <v>3224</v>
      </c>
      <c r="B12" s="2986" t="s">
        <v>3225</v>
      </c>
      <c r="C12" s="2987"/>
      <c r="D12" s="2988" t="s">
        <v>3226</v>
      </c>
      <c r="E12" s="2989" t="s">
        <v>3227</v>
      </c>
      <c r="F12" s="2990"/>
      <c r="G12" s="2991"/>
      <c r="H12" s="2991"/>
      <c r="I12" s="2991"/>
      <c r="J12" s="2992"/>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t="e">
        <f t="shared" si="0"/>
        <v>#DIV/0!</v>
      </c>
      <c r="U12" s="1108"/>
      <c r="V12" s="3036" t="e">
        <f t="shared" si="1"/>
        <v>#DIV/0!</v>
      </c>
      <c r="W12" s="1111"/>
      <c r="X12" s="1111"/>
      <c r="Y12" s="1111"/>
      <c r="Z12" s="1111"/>
      <c r="AA12" s="1111"/>
      <c r="AB12" s="1111"/>
      <c r="AC12" s="1112"/>
      <c r="AD12" s="2528"/>
      <c r="AE12" s="2528"/>
      <c r="AF12" s="2528"/>
      <c r="AG12" s="2528"/>
      <c r="AH12" s="2528"/>
      <c r="AI12" s="2528"/>
      <c r="AJ12" s="2529"/>
    </row>
    <row r="13" spans="1:36" ht="15.75" thickBot="1">
      <c r="A13" s="2985" t="s">
        <v>3228</v>
      </c>
      <c r="B13" s="1855" t="s">
        <v>1979</v>
      </c>
      <c r="C13" s="693">
        <f>ROUND(C16*D16*E16*F16*G16*H16*I16*J16,4)</f>
        <v>0</v>
      </c>
      <c r="D13" s="1856" t="s">
        <v>1980</v>
      </c>
      <c r="E13" s="1857"/>
      <c r="F13" s="1857"/>
      <c r="G13" s="1858"/>
      <c r="H13" s="1858"/>
      <c r="I13" s="1858"/>
      <c r="J13" s="1859"/>
      <c r="K13" s="1034"/>
      <c r="L13" s="3"/>
      <c r="M13" s="4"/>
      <c r="N13" s="2983"/>
      <c r="O13" s="1034"/>
      <c r="P13" s="1034"/>
      <c r="Q13" s="1034"/>
      <c r="R13" s="1107">
        <v>12</v>
      </c>
      <c r="S13" s="1108"/>
      <c r="T13" s="3036" t="e">
        <f t="shared" si="0"/>
        <v>#DIV/0!</v>
      </c>
      <c r="U13" s="1108"/>
      <c r="V13" s="3036" t="e">
        <f t="shared" si="1"/>
        <v>#DIV/0!</v>
      </c>
      <c r="W13" s="1111"/>
      <c r="X13" s="1111"/>
      <c r="Y13" s="1111"/>
      <c r="Z13" s="1111"/>
      <c r="AA13" s="1111"/>
      <c r="AB13" s="1111"/>
      <c r="AC13" s="1112"/>
      <c r="AD13" s="2528"/>
      <c r="AE13" s="2528"/>
      <c r="AF13" s="2528"/>
      <c r="AG13" s="2528"/>
      <c r="AH13" s="2528"/>
      <c r="AI13" s="2528"/>
      <c r="AJ13" s="2529"/>
    </row>
    <row r="14" spans="1:36" ht="15">
      <c r="A14" s="2981"/>
      <c r="B14" s="1860" t="s">
        <v>1982</v>
      </c>
      <c r="C14" s="1861" t="s">
        <v>1983</v>
      </c>
      <c r="D14" s="1239" t="s">
        <v>1984</v>
      </c>
      <c r="E14" s="27" t="s">
        <v>1985</v>
      </c>
      <c r="F14" s="2993" t="s">
        <v>3229</v>
      </c>
      <c r="G14" s="2993" t="s">
        <v>3229</v>
      </c>
      <c r="H14" s="2993" t="s">
        <v>3229</v>
      </c>
      <c r="I14" s="2993" t="s">
        <v>3229</v>
      </c>
      <c r="J14" s="2993" t="s">
        <v>3229</v>
      </c>
      <c r="K14" s="1034"/>
      <c r="L14" s="1034"/>
      <c r="M14" s="1034"/>
      <c r="N14" s="1034"/>
      <c r="O14" s="1034"/>
      <c r="P14" s="1034"/>
      <c r="Q14" s="1034"/>
      <c r="R14" s="1107">
        <v>13</v>
      </c>
      <c r="S14" s="1108"/>
      <c r="T14" s="3036" t="e">
        <f t="shared" si="0"/>
        <v>#DIV/0!</v>
      </c>
      <c r="U14" s="1108"/>
      <c r="V14" s="3036" t="e">
        <f t="shared" si="1"/>
        <v>#DIV/0!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3230</v>
      </c>
      <c r="G15" s="1905"/>
      <c r="H15" s="2994"/>
      <c r="I15" s="2995"/>
      <c r="J15" s="2996"/>
      <c r="K15" s="1034"/>
      <c r="L15" s="1034"/>
      <c r="M15" s="1034"/>
      <c r="N15" s="1034"/>
      <c r="O15" s="1034"/>
      <c r="P15" s="1034"/>
      <c r="Q15" s="1034"/>
      <c r="R15" s="1107">
        <v>14</v>
      </c>
      <c r="S15" s="1108"/>
      <c r="T15" s="3036" t="e">
        <f t="shared" si="0"/>
        <v>#DIV/0!</v>
      </c>
      <c r="U15" s="1108"/>
      <c r="V15" s="3036" t="e">
        <f t="shared" si="1"/>
        <v>#DIV/0!</v>
      </c>
      <c r="W15" s="1111"/>
      <c r="X15" s="1111"/>
      <c r="Y15" s="1111"/>
      <c r="Z15" s="1111"/>
      <c r="AA15" s="1111"/>
      <c r="AB15" s="1111"/>
      <c r="AC15" s="1112"/>
      <c r="AD15" s="2528"/>
      <c r="AE15" s="2528"/>
      <c r="AF15" s="2528"/>
      <c r="AG15" s="2528"/>
      <c r="AH15" s="2528"/>
      <c r="AI15" s="2528"/>
      <c r="AJ15" s="2529"/>
    </row>
    <row r="16" spans="1:36" ht="15.75" thickBot="1">
      <c r="A16" s="2981"/>
      <c r="B16" s="2999" t="s">
        <v>1986</v>
      </c>
      <c r="C16" s="2997"/>
      <c r="D16" s="2997"/>
      <c r="E16" s="2997"/>
      <c r="F16" s="2997">
        <v>1</v>
      </c>
      <c r="G16" s="2997">
        <v>1</v>
      </c>
      <c r="H16" s="2997">
        <v>1</v>
      </c>
      <c r="I16" s="2997">
        <v>1</v>
      </c>
      <c r="J16" s="2998">
        <v>1</v>
      </c>
      <c r="K16" s="1034"/>
      <c r="L16" s="1821"/>
      <c r="M16" s="1821"/>
      <c r="N16" s="1821"/>
      <c r="O16" s="1821"/>
      <c r="P16" s="1821"/>
      <c r="Q16" s="1034"/>
      <c r="R16" s="1107">
        <v>15</v>
      </c>
      <c r="S16" s="1108"/>
      <c r="T16" s="3036" t="e">
        <f t="shared" si="0"/>
        <v>#DIV/0!</v>
      </c>
      <c r="U16" s="1108"/>
      <c r="V16" s="3036" t="e">
        <f t="shared" si="1"/>
        <v>#DIV/0!</v>
      </c>
      <c r="W16" s="1111"/>
      <c r="X16" s="1111"/>
      <c r="Y16" s="1111"/>
      <c r="Z16" s="1111"/>
      <c r="AA16" s="1111"/>
      <c r="AB16" s="1111"/>
      <c r="AC16" s="1112"/>
      <c r="AD16" s="2528"/>
      <c r="AE16" s="2528"/>
      <c r="AF16" s="2528"/>
      <c r="AG16" s="2528"/>
      <c r="AH16" s="2528"/>
      <c r="AI16" s="2528"/>
      <c r="AJ16" s="2529"/>
    </row>
    <row r="17" spans="1:37">
      <c r="A17" s="3008" t="s">
        <v>3231</v>
      </c>
      <c r="B17" s="3000" t="s">
        <v>3232</v>
      </c>
      <c r="C17" s="3009">
        <f>ROUND(IF(OR(E2="工业",E2="公共服务"),1,IF(AND(E18=0,E19=0),1,IF(AND(E18=J24,E19=G19),0.8,IF(E19=0,1+E17*(-0.2),1+E17*G17*(-0.2))))),4)</f>
        <v>1</v>
      </c>
      <c r="D17" s="3001" t="s">
        <v>3233</v>
      </c>
      <c r="E17" s="3009" t="e">
        <f>ROUND(G18/I18,2)</f>
        <v>#DIV/0!</v>
      </c>
      <c r="F17" s="3001" t="s">
        <v>3236</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3234</v>
      </c>
      <c r="E18" s="2334"/>
      <c r="F18" s="3003" t="s">
        <v>3237</v>
      </c>
      <c r="G18" s="3007">
        <f>ROUND(1-(1/(POWER(1+G24,E18))),4)</f>
        <v>0</v>
      </c>
      <c r="H18" s="3003" t="s">
        <v>3239</v>
      </c>
      <c r="I18" s="3007">
        <f>ROUND(1-(1/(POWER(1+G24,J24))),4)</f>
        <v>0</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3235</v>
      </c>
      <c r="E19" s="3016"/>
      <c r="F19" s="3017" t="s">
        <v>3238</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57" t="s">
        <v>3240</v>
      </c>
      <c r="B20" s="153" t="s">
        <v>1991</v>
      </c>
      <c r="C20" s="3004" t="e">
        <f>ROUND(IF(F21="与级别开发程度一致",0,(G21-E21)/C21),0)</f>
        <v>#DIV/0!</v>
      </c>
      <c r="D20" s="3019" t="s">
        <v>1995</v>
      </c>
      <c r="E20" s="3020"/>
      <c r="F20" s="3463" t="s">
        <v>1992</v>
      </c>
      <c r="G20" s="3464"/>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15" thickBot="1">
      <c r="A21" s="3458"/>
      <c r="B21" s="1979" t="s">
        <v>1994</v>
      </c>
      <c r="C21" s="1980">
        <f>IF(E3="M4科研用地",SUMPRODUCT((修正!A2:A7=E3)*(修正!B1:M1=G2)*(修正!B2:M7)),SUMPRODUCT((修正!A2:A7=E2)*(修正!B1:M1=G2)*(修正!B2:M7)))</f>
        <v>0</v>
      </c>
      <c r="D21" s="173" t="str">
        <f>IF(OR(G2="八级",G2="九级",G2="十级",G2="十一级",G2="十二级"),"五通一平","七通一平")</f>
        <v>七通一平</v>
      </c>
      <c r="E21" s="1970">
        <f>SUMPRODUCT((修正!B1:M1=G2)*(修正!B17:M17))</f>
        <v>0</v>
      </c>
      <c r="F21" s="1971"/>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SUMIF(修正!C20:C51,E3,修正!E20:E51)</f>
        <v>0</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73" t="s">
        <v>1999</v>
      </c>
      <c r="E23" s="699">
        <v>44197</v>
      </c>
      <c r="F23" s="1873" t="s">
        <v>2000</v>
      </c>
      <c r="G23" s="700">
        <f>'数据-取费表'!B2</f>
        <v>45727</v>
      </c>
      <c r="H23" s="3021" t="s">
        <v>3242</v>
      </c>
      <c r="I23" s="3022" t="str">
        <f>IF(H23="季度增幅（自定义）",SUMIF(N25:N28,E2,O25:O28),"")</f>
        <v/>
      </c>
      <c r="J23" s="3113" t="s">
        <v>3241</v>
      </c>
      <c r="K23" s="1039"/>
      <c r="L23" s="1874" t="s">
        <v>2001</v>
      </c>
      <c r="M23" s="1219">
        <f>ROUND(SUMIF(地价!B2:G2,E2,地价!B16:G16),0)</f>
        <v>0</v>
      </c>
      <c r="N23" s="1875" t="s">
        <v>2002</v>
      </c>
      <c r="O23" s="701">
        <f>ROUNDDOWN(DATEDIF(E23,G23,"M")/3,0)</f>
        <v>16</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t="e">
        <f>ROUND(POWER(1+G24,J24-I24)*(POWER(1+G24,I24)-1)/(POWER(1+G24,J24)-1),4)</f>
        <v>#DIV/0!</v>
      </c>
      <c r="D24" s="1879" t="s">
        <v>2004</v>
      </c>
      <c r="E24" s="1226">
        <f>存贷款利率!E27/100</f>
        <v>4.3499999999999997E-2</v>
      </c>
      <c r="F24" s="1879" t="s">
        <v>1996</v>
      </c>
      <c r="G24" s="706">
        <f>SUMIF(M30:Q30,E2,M33:Q33)</f>
        <v>0</v>
      </c>
      <c r="H24" s="1879" t="s">
        <v>2005</v>
      </c>
      <c r="I24" s="707" t="e">
        <f>SUMIF('数据-取费表'!C6:C15,E2,'数据-取费表'!F6:F15)/COUNTIF('数据-取费表'!C6:C15,E2)</f>
        <v>#DIV/0!</v>
      </c>
      <c r="J24" s="708">
        <f>IF(E2="住宅",70,IF(E2="商业",40,50))</f>
        <v>50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3321</v>
      </c>
      <c r="C25" s="454">
        <f>IF(B25="容积率修正",IF(G3&lt;10,D26,J26),C27)</f>
        <v>0</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3243</v>
      </c>
      <c r="D26" s="1241">
        <f>IF(E26=G26,F26,IF(G3&lt;10,ROUND(F26+(H26-F26)*(G3-E26)/(G26-E26),4),"——"))</f>
        <v>0</v>
      </c>
      <c r="E26" s="690">
        <f>ROUNDDOWN(G3,1)</f>
        <v>0</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9" t="s">
        <v>3244</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0</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0</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t="e">
        <f>IF(B25="容积率修正",E33+SUM(E37:E42),SUM(V2:V16)+SUM(E37:E42))</f>
        <v>#DIV/0!</v>
      </c>
      <c r="D30" s="1902"/>
      <c r="E30" s="1819"/>
      <c r="F30" s="1903"/>
      <c r="G30" s="1819"/>
      <c r="H30" s="1819"/>
      <c r="I30" s="1819"/>
      <c r="J30" s="1904"/>
      <c r="K30" s="1034"/>
      <c r="L30" s="3028" t="s">
        <v>1933</v>
      </c>
      <c r="M30" s="3029" t="s">
        <v>1987</v>
      </c>
      <c r="N30" s="3029" t="s">
        <v>1988</v>
      </c>
      <c r="O30" s="3029" t="s">
        <v>1989</v>
      </c>
      <c r="P30" s="3029" t="s">
        <v>1990</v>
      </c>
      <c r="Q30" s="3032" t="s">
        <v>3248</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t="e">
        <f>E34+SUM(I37:I42)</f>
        <v>#DIV/0!</v>
      </c>
      <c r="D31" s="1906"/>
      <c r="E31" s="1907"/>
      <c r="F31" s="1908"/>
      <c r="G31" s="1907"/>
      <c r="H31" s="1907"/>
      <c r="I31" s="1907"/>
      <c r="J31" s="1909"/>
      <c r="K31" s="1034"/>
      <c r="L31" s="3030" t="s">
        <v>1993</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1" t="s">
        <v>1996</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t="e">
        <f>ROUND(C5*C22*C23*C24*C25*C28,0)</f>
        <v>#DIV/0!</v>
      </c>
      <c r="D33" s="1917"/>
      <c r="E33" s="709" t="e">
        <f>ROUND(C33*D33/10000,0)</f>
        <v>#DIV/0!</v>
      </c>
      <c r="F33" s="3023" t="s">
        <v>3246</v>
      </c>
      <c r="G33" s="1918"/>
      <c r="H33" s="1918"/>
      <c r="I33" s="1918"/>
      <c r="J33" s="1919"/>
      <c r="K33" s="1034"/>
      <c r="L33" s="3026" t="s">
        <v>3249</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t="e">
        <f>ROUND(IF(E2="工业",C33*M42,IF(B25="楼层修正",SUM(V2:V16)*M41*10000/D34,C33*M41)),0)</f>
        <v>#DIV/0!</v>
      </c>
      <c r="D34" s="1922"/>
      <c r="E34" s="709" t="e">
        <f>ROUND(IF(B25="楼层修正",SUM(V2:V16)*M40,C34*D34/10000),0)</f>
        <v>#DIV/0!</v>
      </c>
      <c r="F34" s="1923" t="s">
        <v>2029</v>
      </c>
      <c r="G34" s="1924"/>
      <c r="H34" s="1924"/>
      <c r="I34" s="1924"/>
      <c r="J34" s="1925"/>
      <c r="K34" s="1034"/>
      <c r="L34" s="3026" t="s">
        <v>3250</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4" t="s">
        <v>3247</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3251</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61"/>
      <c r="B37" s="1932" t="s">
        <v>2033</v>
      </c>
      <c r="C37" s="161" t="e">
        <f>ROUND(D5*C22*C23*C24*C28*F37,0)</f>
        <v>#DIV/0!</v>
      </c>
      <c r="D37" s="1917"/>
      <c r="E37" s="157" t="e">
        <f>ROUND(C37*D37/10000,0)</f>
        <v>#DIV/0!</v>
      </c>
      <c r="F37" s="157">
        <f>SUMIF(修正!A57:A68,G2,修正!B57:B68)</f>
        <v>0</v>
      </c>
      <c r="G37" s="157" t="e">
        <f>ROUND(IF(E2="工业",C37*$M$42,C37*$M$41),0)</f>
        <v>#DIV/0!</v>
      </c>
      <c r="H37" s="157">
        <f>D37</f>
        <v>0</v>
      </c>
      <c r="I37" s="157" t="e">
        <f>ROUND(G37*H37/10000,0)</f>
        <v>#DIV/0!</v>
      </c>
      <c r="J37" s="2727"/>
      <c r="K37" s="3034" t="s">
        <v>3252</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62"/>
      <c r="B38" s="1861" t="s">
        <v>2034</v>
      </c>
      <c r="C38" s="161" t="e">
        <f>ROUND(D5*C22*C23*C24*C28*F38,0)</f>
        <v>#DIV/0!</v>
      </c>
      <c r="D38" s="1917"/>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62"/>
      <c r="B39" s="1861" t="s">
        <v>3245</v>
      </c>
      <c r="C39" s="161" t="e">
        <f>ROUND(D5*C22*C23*C24*C28*F39,0)</f>
        <v>#DIV/0!</v>
      </c>
      <c r="D39" s="1917"/>
      <c r="E39" s="157" t="e">
        <f t="shared" si="4"/>
        <v>#DIV/0!</v>
      </c>
      <c r="F39" s="157">
        <f>SUMIF(修正!A57:A68,G2,修正!D57:D68)</f>
        <v>0</v>
      </c>
      <c r="G39" s="157" t="e">
        <f>ROUND(IF(E2="工业",C39*$M$42,C39*$M$41),0)</f>
        <v>#DIV/0!</v>
      </c>
      <c r="H39" s="157">
        <f t="shared" si="5"/>
        <v>0</v>
      </c>
      <c r="I39" s="157" t="e">
        <f t="shared" si="6"/>
        <v>#DIV/0!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t="e">
        <f>ROUND(D5*C22*C23*C24*C28*F40,0)</f>
        <v>#DIV/0!</v>
      </c>
      <c r="D40" s="1917"/>
      <c r="E40" s="157" t="e">
        <f t="shared" si="4"/>
        <v>#DIV/0!</v>
      </c>
      <c r="F40" s="161">
        <f>SUMIF(修正!A57:A68,G2,修正!E57:E68)</f>
        <v>0</v>
      </c>
      <c r="G40" s="157" t="e">
        <f>ROUND(IF(E2="工业",C40*$M$42,C40*$M$41),0)</f>
        <v>#DIV/0!</v>
      </c>
      <c r="H40" s="157">
        <f t="shared" si="5"/>
        <v>0</v>
      </c>
      <c r="I40" s="157" t="e">
        <f t="shared" si="6"/>
        <v>#DIV/0!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t="e">
        <f>ROUND(D5*C22*C23*C44*C28*F41,0)</f>
        <v>#DIV/0!</v>
      </c>
      <c r="D41" s="1917"/>
      <c r="E41" s="157" t="e">
        <f t="shared" si="4"/>
        <v>#DIV/0!</v>
      </c>
      <c r="F41" s="161">
        <f>SUMIF(修正!A57:A68,G2,修正!F57:F68)</f>
        <v>0</v>
      </c>
      <c r="G41" s="157" t="e">
        <f>ROUND(IF(E2="工业",C41*$M$42,C41*$M$41),0)</f>
        <v>#DIV/0!</v>
      </c>
      <c r="H41" s="157">
        <f t="shared" si="5"/>
        <v>0</v>
      </c>
      <c r="I41" s="157" t="e">
        <f t="shared" si="6"/>
        <v>#DIV/0!</v>
      </c>
      <c r="J41" s="919"/>
      <c r="L41" s="3035" t="s">
        <v>3253</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t="e">
        <f>ROUND(D5*C22*C23*C44*C28*F42,0)</f>
        <v>#DIV/0!</v>
      </c>
      <c r="D42" s="1922"/>
      <c r="E42" s="173" t="e">
        <f t="shared" si="4"/>
        <v>#DIV/0!</v>
      </c>
      <c r="F42" s="705">
        <f>SUMIF(修正!A57:A68,G2,修正!G57:G68)</f>
        <v>0</v>
      </c>
      <c r="G42" s="173" t="e">
        <f>ROUND(IF(E2="工业",C42*$M$42,C42*$M$41),0)</f>
        <v>#DIV/0!</v>
      </c>
      <c r="H42" s="173">
        <f t="shared" si="5"/>
        <v>0</v>
      </c>
      <c r="I42" s="173" t="e">
        <f t="shared" si="6"/>
        <v>#DIV/0!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2119</v>
      </c>
      <c r="C44" s="326" t="e">
        <f>ROUND(POWER(1+E44,H44-G44)*(POWER(1+E44,G44)-1)/(POWER(1+E44,H44)-1),4)</f>
        <v>#DIV/0!</v>
      </c>
      <c r="D44" s="157" t="s">
        <v>1996</v>
      </c>
      <c r="E44" s="1968">
        <f>G24</f>
        <v>0</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3255</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2051</v>
      </c>
      <c r="B53" s="1951" t="s">
        <v>2052</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2054</v>
      </c>
      <c r="B55" s="1952" t="s">
        <v>2055</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2059</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3255</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2051</v>
      </c>
      <c r="B64" s="1951" t="s">
        <v>2052</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2054</v>
      </c>
      <c r="B66" s="1952" t="s">
        <v>2055</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3255</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2056</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2057</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2054</v>
      </c>
      <c r="B78" s="1952" t="s">
        <v>2055</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2058</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2065</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1">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2050</v>
      </c>
      <c r="B84" s="1240">
        <f>估价对象房地状况!G16</f>
        <v>0</v>
      </c>
      <c r="C84" s="1864"/>
      <c r="D84" s="981">
        <f t="shared" si="22"/>
        <v>0</v>
      </c>
      <c r="E84" s="687"/>
      <c r="F84" s="1652"/>
      <c r="G84" s="979"/>
      <c r="H84" s="982" t="str">
        <f t="shared" si="23"/>
        <v>——</v>
      </c>
      <c r="I84" s="3041">
        <v>0.3</v>
      </c>
      <c r="J84" s="980">
        <f t="shared" si="24"/>
        <v>0</v>
      </c>
      <c r="K84" s="980">
        <f t="shared" si="25"/>
        <v>0</v>
      </c>
      <c r="L84" s="980">
        <v>0</v>
      </c>
      <c r="M84" s="980">
        <f t="shared" si="26"/>
        <v>0</v>
      </c>
      <c r="N84" s="980">
        <f t="shared" si="26"/>
        <v>0</v>
      </c>
      <c r="Z84" s="1822"/>
      <c r="AA84" s="1872"/>
      <c r="AG84" s="1036"/>
      <c r="AK84" s="1872"/>
    </row>
    <row r="85" spans="1:37" ht="36">
      <c r="A85" s="3043" t="s">
        <v>3256</v>
      </c>
      <c r="B85" s="1240">
        <f>估价对象房地状况!G17</f>
        <v>0</v>
      </c>
      <c r="C85" s="1864"/>
      <c r="D85" s="981">
        <f t="shared" si="22"/>
        <v>0</v>
      </c>
      <c r="E85" s="687"/>
      <c r="F85" s="1652"/>
      <c r="G85" s="979"/>
      <c r="H85" s="982" t="str">
        <f t="shared" si="23"/>
        <v>——</v>
      </c>
      <c r="I85" s="3041">
        <v>0.1</v>
      </c>
      <c r="J85" s="980">
        <f t="shared" si="24"/>
        <v>0</v>
      </c>
      <c r="K85" s="980">
        <f t="shared" si="25"/>
        <v>0</v>
      </c>
      <c r="L85" s="980">
        <v>0</v>
      </c>
      <c r="M85" s="980">
        <f t="shared" si="26"/>
        <v>0</v>
      </c>
      <c r="N85" s="980">
        <f t="shared" si="26"/>
        <v>0</v>
      </c>
      <c r="Z85" s="1822"/>
      <c r="AA85" s="1872"/>
      <c r="AG85" s="1036"/>
      <c r="AK85" s="1872"/>
    </row>
    <row r="86" spans="1:37" ht="14.25">
      <c r="A86" s="1947" t="s">
        <v>2064</v>
      </c>
      <c r="B86" s="1240">
        <f>估价对象房地状况!G22</f>
        <v>0</v>
      </c>
      <c r="C86" s="1864"/>
      <c r="D86" s="981">
        <f t="shared" si="22"/>
        <v>0</v>
      </c>
      <c r="E86" s="687"/>
      <c r="F86" s="1652"/>
      <c r="G86" s="979"/>
      <c r="H86" s="982" t="str">
        <f t="shared" si="23"/>
        <v>——</v>
      </c>
      <c r="I86" s="3041">
        <v>0.05</v>
      </c>
      <c r="J86" s="980">
        <f t="shared" si="24"/>
        <v>0</v>
      </c>
      <c r="K86" s="980">
        <f t="shared" si="25"/>
        <v>0</v>
      </c>
      <c r="L86" s="980">
        <v>0</v>
      </c>
      <c r="M86" s="980">
        <f t="shared" si="26"/>
        <v>0</v>
      </c>
      <c r="N86" s="980">
        <f t="shared" si="26"/>
        <v>0</v>
      </c>
      <c r="Z86" s="1822"/>
      <c r="AA86" s="1872"/>
      <c r="AG86" s="1036"/>
      <c r="AK86" s="1872"/>
    </row>
    <row r="87" spans="1:37" ht="24">
      <c r="A87" s="1947" t="s">
        <v>2056</v>
      </c>
      <c r="B87" s="1218">
        <f>估价对象房地状况!G19</f>
        <v>0</v>
      </c>
      <c r="C87" s="1864"/>
      <c r="D87" s="981">
        <f t="shared" si="22"/>
        <v>0</v>
      </c>
      <c r="E87" s="687"/>
      <c r="F87" s="1652"/>
      <c r="G87" s="979"/>
      <c r="H87" s="982" t="str">
        <f t="shared" si="23"/>
        <v>——</v>
      </c>
      <c r="I87" s="3041">
        <v>0.06</v>
      </c>
      <c r="J87" s="980">
        <f t="shared" si="24"/>
        <v>0</v>
      </c>
      <c r="K87" s="980">
        <f t="shared" si="25"/>
        <v>0</v>
      </c>
      <c r="L87" s="980">
        <v>0</v>
      </c>
      <c r="M87" s="980">
        <f t="shared" si="26"/>
        <v>0</v>
      </c>
      <c r="N87" s="980">
        <f t="shared" si="26"/>
        <v>0</v>
      </c>
    </row>
    <row r="88" spans="1:37" ht="24">
      <c r="A88" s="1947" t="s">
        <v>2057</v>
      </c>
      <c r="B88" s="1218">
        <f>估价对象房地状况!G20</f>
        <v>0</v>
      </c>
      <c r="C88" s="1864"/>
      <c r="D88" s="981">
        <f t="shared" si="22"/>
        <v>0</v>
      </c>
      <c r="E88" s="687"/>
      <c r="F88" s="1652"/>
      <c r="G88" s="979"/>
      <c r="H88" s="982" t="str">
        <f t="shared" si="23"/>
        <v>——</v>
      </c>
      <c r="I88" s="3041">
        <v>0.12</v>
      </c>
      <c r="J88" s="980">
        <f t="shared" si="24"/>
        <v>0</v>
      </c>
      <c r="K88" s="980">
        <f t="shared" si="25"/>
        <v>0</v>
      </c>
      <c r="L88" s="980">
        <v>0</v>
      </c>
      <c r="M88" s="980">
        <f t="shared" si="26"/>
        <v>0</v>
      </c>
      <c r="N88" s="980">
        <f t="shared" si="26"/>
        <v>0</v>
      </c>
    </row>
    <row r="89" spans="1:37" ht="24">
      <c r="A89" s="1947" t="s">
        <v>2054</v>
      </c>
      <c r="B89" s="1952" t="s">
        <v>2068</v>
      </c>
      <c r="C89" s="1864"/>
      <c r="D89" s="981">
        <f t="shared" si="22"/>
        <v>0</v>
      </c>
      <c r="E89" s="687"/>
      <c r="F89" s="1652"/>
      <c r="G89" s="979"/>
      <c r="H89" s="982" t="str">
        <f t="shared" si="23"/>
        <v>——</v>
      </c>
      <c r="I89" s="3041">
        <v>0.06</v>
      </c>
      <c r="J89" s="980">
        <f t="shared" si="24"/>
        <v>0</v>
      </c>
      <c r="K89" s="980">
        <f t="shared" si="25"/>
        <v>0</v>
      </c>
      <c r="L89" s="980">
        <v>0</v>
      </c>
      <c r="M89" s="980">
        <f t="shared" si="26"/>
        <v>0</v>
      </c>
      <c r="N89" s="980">
        <f t="shared" si="26"/>
        <v>0</v>
      </c>
    </row>
    <row r="90" spans="1:37" ht="15" thickBot="1">
      <c r="A90" s="1954" t="s">
        <v>2069</v>
      </c>
      <c r="B90" s="1959">
        <f>估价对象房地状况!G18</f>
        <v>0</v>
      </c>
      <c r="C90" s="1864"/>
      <c r="D90" s="981">
        <f t="shared" si="22"/>
        <v>0</v>
      </c>
      <c r="E90" s="688"/>
      <c r="F90" s="1652"/>
      <c r="G90" s="979"/>
      <c r="H90" s="982" t="str">
        <f t="shared" si="23"/>
        <v>——</v>
      </c>
      <c r="I90" s="3042">
        <v>0.05</v>
      </c>
      <c r="J90" s="980">
        <f t="shared" si="24"/>
        <v>0</v>
      </c>
      <c r="K90" s="980">
        <f t="shared" si="25"/>
        <v>0</v>
      </c>
      <c r="L90" s="980">
        <v>0</v>
      </c>
      <c r="M90" s="980">
        <f t="shared" si="26"/>
        <v>0</v>
      </c>
      <c r="N90" s="980">
        <f t="shared" si="26"/>
        <v>0</v>
      </c>
    </row>
    <row r="91" spans="1:37" ht="15">
      <c r="A91" s="3051" t="s">
        <v>2598</v>
      </c>
      <c r="B91" s="3052">
        <f>1+E93</f>
        <v>1</v>
      </c>
      <c r="C91" s="3045"/>
      <c r="D91" s="3046"/>
      <c r="E91" s="1652"/>
      <c r="F91" s="1652"/>
      <c r="G91" s="3047"/>
      <c r="H91" s="3048"/>
      <c r="I91" s="3049"/>
      <c r="J91" s="3050"/>
      <c r="K91" s="3050"/>
      <c r="L91" s="3050"/>
      <c r="M91" s="3050"/>
      <c r="N91" s="3050"/>
    </row>
    <row r="92" spans="1:37" ht="24.75">
      <c r="A92" s="3053" t="s">
        <v>3257</v>
      </c>
      <c r="B92" s="2287"/>
      <c r="C92" s="2287" t="s">
        <v>3266</v>
      </c>
      <c r="D92" s="2287" t="s">
        <v>3267</v>
      </c>
      <c r="E92" s="3025" t="s">
        <v>3268</v>
      </c>
      <c r="F92" s="3055" t="s">
        <v>3269</v>
      </c>
      <c r="G92" s="2287" t="s">
        <v>3270</v>
      </c>
      <c r="H92" s="3062" t="s">
        <v>3273</v>
      </c>
      <c r="I92" s="2287" t="s">
        <v>3274</v>
      </c>
      <c r="J92" s="2127" t="s">
        <v>3275</v>
      </c>
      <c r="K92" s="2127" t="s">
        <v>3276</v>
      </c>
      <c r="L92" s="2127" t="s">
        <v>3277</v>
      </c>
      <c r="M92" s="2127" t="s">
        <v>3278</v>
      </c>
      <c r="N92" s="2127" t="s">
        <v>3279</v>
      </c>
    </row>
    <row r="93" spans="1:37" ht="24">
      <c r="A93" s="3043" t="s">
        <v>3258</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7">K93+$G93</f>
        <v>0</v>
      </c>
      <c r="K93" s="1889">
        <f t="shared" ref="K93:K101" si="28">$L93+$G93</f>
        <v>0</v>
      </c>
      <c r="L93" s="1889">
        <v>0</v>
      </c>
      <c r="M93" s="1889">
        <f t="shared" ref="M93:N101" si="29">L93-$G93</f>
        <v>0</v>
      </c>
      <c r="N93" s="1889">
        <f t="shared" si="29"/>
        <v>0</v>
      </c>
    </row>
    <row r="94" spans="1:37" ht="14.25">
      <c r="A94" s="3053" t="s">
        <v>3259</v>
      </c>
      <c r="B94" s="3044">
        <f>估价对象房地状况!C18</f>
        <v>0</v>
      </c>
      <c r="C94" s="1864"/>
      <c r="D94" s="2287">
        <f t="shared" ref="D94:D101" si="30">SUMIF($J$60:$N$60,C94,J94:N94)</f>
        <v>0</v>
      </c>
      <c r="E94" s="3057"/>
      <c r="F94" s="1652"/>
      <c r="G94" s="3047"/>
      <c r="H94" s="3092" t="str">
        <f>IFERROR(ROUNDDOWN($F$93*I94/2,4),"——")</f>
        <v>——</v>
      </c>
      <c r="I94" s="3041">
        <v>0.26</v>
      </c>
      <c r="J94" s="1889">
        <f t="shared" si="27"/>
        <v>0</v>
      </c>
      <c r="K94" s="1889">
        <f t="shared" si="28"/>
        <v>0</v>
      </c>
      <c r="L94" s="1889">
        <v>0</v>
      </c>
      <c r="M94" s="1889">
        <f t="shared" si="29"/>
        <v>0</v>
      </c>
      <c r="N94" s="1889">
        <f t="shared" si="29"/>
        <v>0</v>
      </c>
    </row>
    <row r="95" spans="1:37" ht="36">
      <c r="A95" s="3043" t="s">
        <v>3255</v>
      </c>
      <c r="B95" s="3044">
        <f>估价对象房地状况!C19</f>
        <v>0</v>
      </c>
      <c r="C95" s="1864"/>
      <c r="D95" s="2287">
        <f t="shared" si="30"/>
        <v>0</v>
      </c>
      <c r="E95" s="3057"/>
      <c r="F95" s="1652"/>
      <c r="G95" s="3047"/>
      <c r="H95" s="3092" t="str">
        <f t="shared" ref="H95:H101" si="31">IFERROR(ROUNDDOWN($F$93*I95/2,4),"——")</f>
        <v>——</v>
      </c>
      <c r="I95" s="3041">
        <v>0.11</v>
      </c>
      <c r="J95" s="1889">
        <f t="shared" si="27"/>
        <v>0</v>
      </c>
      <c r="K95" s="1889">
        <f t="shared" si="28"/>
        <v>0</v>
      </c>
      <c r="L95" s="1889">
        <v>0</v>
      </c>
      <c r="M95" s="1889">
        <f t="shared" si="29"/>
        <v>0</v>
      </c>
      <c r="N95" s="1889">
        <f t="shared" si="29"/>
        <v>0</v>
      </c>
    </row>
    <row r="96" spans="1:37" ht="36.75">
      <c r="A96" s="3053" t="s">
        <v>3260</v>
      </c>
      <c r="B96" s="3059" t="s">
        <v>3271</v>
      </c>
      <c r="C96" s="1864"/>
      <c r="D96" s="2287">
        <f t="shared" si="30"/>
        <v>0</v>
      </c>
      <c r="E96" s="3057"/>
      <c r="F96" s="1652"/>
      <c r="G96" s="3047"/>
      <c r="H96" s="3092" t="str">
        <f t="shared" si="31"/>
        <v>——</v>
      </c>
      <c r="I96" s="3041">
        <v>0.05</v>
      </c>
      <c r="J96" s="1889">
        <f t="shared" si="27"/>
        <v>0</v>
      </c>
      <c r="K96" s="1889">
        <f t="shared" si="28"/>
        <v>0</v>
      </c>
      <c r="L96" s="1889">
        <v>0</v>
      </c>
      <c r="M96" s="1889">
        <f t="shared" si="29"/>
        <v>0</v>
      </c>
      <c r="N96" s="1889">
        <f t="shared" si="29"/>
        <v>0</v>
      </c>
    </row>
    <row r="97" spans="1:14" ht="24">
      <c r="A97" s="3053" t="s">
        <v>3261</v>
      </c>
      <c r="B97" s="3044">
        <f>估价对象房地状况!C24</f>
        <v>0</v>
      </c>
      <c r="C97" s="1864"/>
      <c r="D97" s="2287">
        <f t="shared" si="30"/>
        <v>0</v>
      </c>
      <c r="E97" s="3057"/>
      <c r="F97" s="1652"/>
      <c r="G97" s="3047"/>
      <c r="H97" s="3092" t="str">
        <f t="shared" si="31"/>
        <v>——</v>
      </c>
      <c r="I97" s="3041">
        <v>0.05</v>
      </c>
      <c r="J97" s="1889">
        <f t="shared" si="27"/>
        <v>0</v>
      </c>
      <c r="K97" s="1889">
        <f t="shared" si="28"/>
        <v>0</v>
      </c>
      <c r="L97" s="1889">
        <v>0</v>
      </c>
      <c r="M97" s="1889">
        <f t="shared" si="29"/>
        <v>0</v>
      </c>
      <c r="N97" s="1889">
        <f t="shared" si="29"/>
        <v>0</v>
      </c>
    </row>
    <row r="98" spans="1:14" ht="24">
      <c r="A98" s="3053" t="s">
        <v>3262</v>
      </c>
      <c r="B98" s="3060" t="s">
        <v>3272</v>
      </c>
      <c r="C98" s="1864"/>
      <c r="D98" s="2287">
        <f t="shared" si="30"/>
        <v>0</v>
      </c>
      <c r="E98" s="3057"/>
      <c r="F98" s="1652"/>
      <c r="G98" s="3047"/>
      <c r="H98" s="3092" t="str">
        <f t="shared" si="31"/>
        <v>——</v>
      </c>
      <c r="I98" s="3041">
        <v>0.06</v>
      </c>
      <c r="J98" s="1889">
        <f t="shared" si="27"/>
        <v>0</v>
      </c>
      <c r="K98" s="1889">
        <f t="shared" si="28"/>
        <v>0</v>
      </c>
      <c r="L98" s="1889">
        <v>0</v>
      </c>
      <c r="M98" s="1889">
        <f t="shared" si="29"/>
        <v>0</v>
      </c>
      <c r="N98" s="1889">
        <f t="shared" si="29"/>
        <v>0</v>
      </c>
    </row>
    <row r="99" spans="1:14" ht="24">
      <c r="A99" s="3053" t="s">
        <v>3263</v>
      </c>
      <c r="B99" s="3044">
        <f>估价对象房地状况!C21</f>
        <v>0</v>
      </c>
      <c r="C99" s="1864"/>
      <c r="D99" s="2287">
        <f t="shared" si="30"/>
        <v>0</v>
      </c>
      <c r="E99" s="3057"/>
      <c r="F99" s="1652"/>
      <c r="G99" s="3047"/>
      <c r="H99" s="3092" t="str">
        <f t="shared" si="31"/>
        <v>——</v>
      </c>
      <c r="I99" s="3041">
        <v>0.06</v>
      </c>
      <c r="J99" s="1889">
        <f t="shared" si="27"/>
        <v>0</v>
      </c>
      <c r="K99" s="1889">
        <f t="shared" si="28"/>
        <v>0</v>
      </c>
      <c r="L99" s="1889">
        <v>0</v>
      </c>
      <c r="M99" s="1889">
        <f t="shared" si="29"/>
        <v>0</v>
      </c>
      <c r="N99" s="1889">
        <f t="shared" si="29"/>
        <v>0</v>
      </c>
    </row>
    <row r="100" spans="1:14" ht="24">
      <c r="A100" s="3053" t="s">
        <v>3264</v>
      </c>
      <c r="B100" s="3044">
        <f>估价对象房地状况!C22</f>
        <v>0</v>
      </c>
      <c r="C100" s="1864"/>
      <c r="D100" s="2287">
        <f t="shared" si="30"/>
        <v>0</v>
      </c>
      <c r="E100" s="3057"/>
      <c r="F100" s="1652"/>
      <c r="G100" s="3047"/>
      <c r="H100" s="3092" t="str">
        <f t="shared" si="31"/>
        <v>——</v>
      </c>
      <c r="I100" s="3041">
        <v>0.09</v>
      </c>
      <c r="J100" s="1889">
        <f t="shared" si="27"/>
        <v>0</v>
      </c>
      <c r="K100" s="1889">
        <f t="shared" si="28"/>
        <v>0</v>
      </c>
      <c r="L100" s="1889">
        <v>0</v>
      </c>
      <c r="M100" s="1889">
        <f t="shared" si="29"/>
        <v>0</v>
      </c>
      <c r="N100" s="1889">
        <f t="shared" si="29"/>
        <v>0</v>
      </c>
    </row>
    <row r="101" spans="1:14" ht="24.75" thickBot="1">
      <c r="A101" s="3054" t="s">
        <v>3265</v>
      </c>
      <c r="B101" s="3061">
        <f>估价对象房地状况!C20</f>
        <v>0</v>
      </c>
      <c r="C101" s="1864"/>
      <c r="D101" s="2287">
        <f t="shared" si="30"/>
        <v>0</v>
      </c>
      <c r="E101" s="3058"/>
      <c r="F101" s="1652"/>
      <c r="G101" s="3047"/>
      <c r="H101" s="3092" t="str">
        <f t="shared" si="31"/>
        <v>——</v>
      </c>
      <c r="I101" s="3042">
        <v>7.0000000000000007E-2</v>
      </c>
      <c r="J101" s="1889">
        <f t="shared" si="27"/>
        <v>0</v>
      </c>
      <c r="K101" s="1889">
        <f t="shared" si="28"/>
        <v>0</v>
      </c>
      <c r="L101" s="1889">
        <v>0</v>
      </c>
      <c r="M101" s="1889">
        <f t="shared" si="29"/>
        <v>0</v>
      </c>
      <c r="N101" s="1889">
        <f t="shared" si="29"/>
        <v>0</v>
      </c>
    </row>
    <row r="103" spans="1:14">
      <c r="A103" s="3459" t="s">
        <v>3280</v>
      </c>
      <c r="B103" s="3459"/>
      <c r="C103" s="3459"/>
      <c r="D103" s="3459"/>
      <c r="E103" s="3459"/>
      <c r="F103" s="3459"/>
      <c r="G103" s="3459"/>
      <c r="H103" s="3459"/>
      <c r="I103" s="3459"/>
      <c r="J103" s="3459"/>
      <c r="K103" s="1644"/>
      <c r="L103" s="1644"/>
      <c r="M103" s="1644"/>
      <c r="N103" s="1644"/>
    </row>
    <row r="104" spans="1:14">
      <c r="A104" s="3460" t="s">
        <v>3281</v>
      </c>
      <c r="B104" s="3460" t="s">
        <v>3282</v>
      </c>
      <c r="C104" s="3063" t="s">
        <v>3283</v>
      </c>
      <c r="D104" s="3064"/>
      <c r="E104" s="3064"/>
      <c r="F104" s="3064"/>
      <c r="G104" s="3064"/>
      <c r="H104" s="3064"/>
      <c r="I104" s="3064"/>
      <c r="J104" s="3065"/>
      <c r="K104" s="3066"/>
      <c r="L104" s="3066"/>
      <c r="M104" s="3066"/>
      <c r="N104" s="3066"/>
    </row>
    <row r="105" spans="1:14">
      <c r="A105" s="3460"/>
      <c r="B105" s="3460"/>
      <c r="C105" s="3067" t="s">
        <v>3284</v>
      </c>
      <c r="D105" s="3067" t="s">
        <v>3285</v>
      </c>
      <c r="E105" s="3067" t="s">
        <v>3286</v>
      </c>
      <c r="F105" s="3067" t="s">
        <v>3287</v>
      </c>
      <c r="G105" s="3067" t="s">
        <v>3288</v>
      </c>
      <c r="H105" s="3067" t="s">
        <v>3289</v>
      </c>
      <c r="I105" s="3067" t="s">
        <v>3290</v>
      </c>
      <c r="J105" s="3067" t="s">
        <v>3291</v>
      </c>
      <c r="K105" s="3067" t="s">
        <v>3292</v>
      </c>
      <c r="L105" s="3067" t="s">
        <v>3293</v>
      </c>
      <c r="M105" s="3067" t="s">
        <v>3294</v>
      </c>
      <c r="N105" s="3067" t="s">
        <v>3295</v>
      </c>
    </row>
    <row r="106" spans="1:14">
      <c r="A106" s="3446" t="s">
        <v>3296</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447"/>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447"/>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447"/>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447"/>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447"/>
      <c r="B111" s="3067" t="s">
        <v>3254</v>
      </c>
      <c r="C111" s="3068">
        <f>$I$3</f>
        <v>0</v>
      </c>
      <c r="D111" s="3068">
        <f t="shared" ref="D111:M111" si="32">$I$3</f>
        <v>0</v>
      </c>
      <c r="E111" s="3068">
        <f t="shared" si="32"/>
        <v>0</v>
      </c>
      <c r="F111" s="3068">
        <f t="shared" si="32"/>
        <v>0</v>
      </c>
      <c r="G111" s="3068">
        <f t="shared" si="32"/>
        <v>0</v>
      </c>
      <c r="H111" s="3068">
        <f t="shared" si="32"/>
        <v>0</v>
      </c>
      <c r="I111" s="3068">
        <f t="shared" si="32"/>
        <v>0</v>
      </c>
      <c r="J111" s="3068">
        <f t="shared" si="32"/>
        <v>0</v>
      </c>
      <c r="K111" s="3068">
        <f t="shared" si="32"/>
        <v>0</v>
      </c>
      <c r="L111" s="3068">
        <f t="shared" si="32"/>
        <v>0</v>
      </c>
      <c r="M111" s="3068">
        <f t="shared" si="32"/>
        <v>0</v>
      </c>
      <c r="N111" s="3068">
        <f>$I$3</f>
        <v>0</v>
      </c>
    </row>
    <row r="112" spans="1:14">
      <c r="A112" s="3448"/>
      <c r="B112" s="3067">
        <v>6</v>
      </c>
      <c r="C112" s="3062">
        <f>(-0.5556*(C111^2)-0.2719*C111+8944)*(10^(-4))</f>
        <v>0.89440000000000008</v>
      </c>
      <c r="D112" s="3062">
        <f>(-0.5556*(D111^2)-0.2719*D111+8944)*(10^(-4))</f>
        <v>0.89440000000000008</v>
      </c>
      <c r="E112" s="3062">
        <f>(-0.7912*(E111^2)-11.3794*E111+8482)*(10^(-4))</f>
        <v>0.84820000000000007</v>
      </c>
      <c r="F112" s="3062">
        <f t="shared" ref="F112:I112" si="33">(-0.7912*(F111^2)-11.3794*F111+8482)*(10^(-4))</f>
        <v>0.84820000000000007</v>
      </c>
      <c r="G112" s="3062">
        <f t="shared" si="33"/>
        <v>0.84820000000000007</v>
      </c>
      <c r="H112" s="3062">
        <f t="shared" si="33"/>
        <v>0.84820000000000007</v>
      </c>
      <c r="I112" s="3062">
        <f t="shared" si="33"/>
        <v>0.84820000000000007</v>
      </c>
      <c r="J112" s="3062">
        <f>(-0.989*(J111^2)-63.78*J111+7771)*(10^(-4))</f>
        <v>0.77710000000000001</v>
      </c>
      <c r="K112" s="3062">
        <f t="shared" ref="K112:N112" si="34">(-0.989*(K111^2)-63.78*K111+7771)*(10^(-4))</f>
        <v>0.77710000000000001</v>
      </c>
      <c r="L112" s="3062">
        <f t="shared" si="34"/>
        <v>0.77710000000000001</v>
      </c>
      <c r="M112" s="3062">
        <f t="shared" si="34"/>
        <v>0.77710000000000001</v>
      </c>
      <c r="N112" s="3062">
        <f t="shared" si="34"/>
        <v>0.77710000000000001</v>
      </c>
    </row>
    <row r="113" spans="1:14">
      <c r="A113" s="3449" t="s">
        <v>3297</v>
      </c>
      <c r="B113" s="3449"/>
      <c r="C113" s="3449"/>
      <c r="D113" s="3449"/>
      <c r="E113" s="3449"/>
      <c r="F113" s="3449"/>
      <c r="G113" s="3449"/>
      <c r="H113" s="3449"/>
      <c r="I113" s="3449"/>
      <c r="J113" s="3449"/>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3298</v>
      </c>
      <c r="B116" s="3087">
        <f>G3</f>
        <v>0</v>
      </c>
      <c r="C116" s="3072" t="s">
        <v>3299</v>
      </c>
      <c r="D116" s="3073">
        <f>SUMPRODUCT((A118:A122=F116)*(B117:M117=H116)*B118:M122)</f>
        <v>0</v>
      </c>
      <c r="E116" s="156" t="s">
        <v>3300</v>
      </c>
      <c r="F116" s="3074">
        <f>E2</f>
        <v>0</v>
      </c>
      <c r="G116" s="156" t="s">
        <v>3301</v>
      </c>
      <c r="H116" s="3074">
        <f>G2</f>
        <v>0</v>
      </c>
      <c r="I116" s="156"/>
      <c r="J116" s="3075"/>
      <c r="K116" s="3075"/>
      <c r="L116" s="3075"/>
      <c r="M116" s="3075"/>
      <c r="N116" s="3070"/>
    </row>
    <row r="117" spans="1:14">
      <c r="A117" s="3076"/>
      <c r="B117" s="3077" t="s">
        <v>3302</v>
      </c>
      <c r="C117" s="3077" t="s">
        <v>3303</v>
      </c>
      <c r="D117" s="3077" t="s">
        <v>3304</v>
      </c>
      <c r="E117" s="3078" t="s">
        <v>3305</v>
      </c>
      <c r="F117" s="3078" t="s">
        <v>3306</v>
      </c>
      <c r="G117" s="3078" t="s">
        <v>3307</v>
      </c>
      <c r="H117" s="3079" t="s">
        <v>3308</v>
      </c>
      <c r="I117" s="3079" t="s">
        <v>3309</v>
      </c>
      <c r="J117" s="3080" t="s">
        <v>3310</v>
      </c>
      <c r="K117" s="3080" t="s">
        <v>3311</v>
      </c>
      <c r="L117" s="3080" t="s">
        <v>3312</v>
      </c>
      <c r="M117" s="3081" t="s">
        <v>3313</v>
      </c>
      <c r="N117" s="3070"/>
    </row>
    <row r="118" spans="1:14">
      <c r="A118" s="3030" t="s">
        <v>3314</v>
      </c>
      <c r="B118" s="3062">
        <f>ROUND(0.9968-0.011*B116,4)</f>
        <v>0.99680000000000002</v>
      </c>
      <c r="C118" s="3062">
        <f>B118</f>
        <v>0.99680000000000002</v>
      </c>
      <c r="D118" s="3062">
        <f>ROUND(0.949-0.014*B116,4)</f>
        <v>0.94899999999999995</v>
      </c>
      <c r="E118" s="3062">
        <f>D118</f>
        <v>0.94899999999999995</v>
      </c>
      <c r="F118" s="3062">
        <f>E118</f>
        <v>0.94899999999999995</v>
      </c>
      <c r="G118" s="3062">
        <f>F118</f>
        <v>0.94899999999999995</v>
      </c>
      <c r="H118" s="3062">
        <f>G118</f>
        <v>0.94899999999999995</v>
      </c>
      <c r="I118" s="3062">
        <f>ROUND(0.8486-0.018*B116,4)</f>
        <v>0.84860000000000002</v>
      </c>
      <c r="J118" s="3062">
        <f t="shared" ref="J118:M122" si="35">I118</f>
        <v>0.84860000000000002</v>
      </c>
      <c r="K118" s="3062">
        <f t="shared" si="35"/>
        <v>0.84860000000000002</v>
      </c>
      <c r="L118" s="3062">
        <f t="shared" si="35"/>
        <v>0.84860000000000002</v>
      </c>
      <c r="M118" s="3082">
        <f t="shared" si="35"/>
        <v>0.84860000000000002</v>
      </c>
      <c r="N118" s="3070"/>
    </row>
    <row r="119" spans="1:14">
      <c r="A119" s="3030" t="s">
        <v>3315</v>
      </c>
      <c r="B119" s="3062">
        <f>ROUND(0.993-0.0112*B116,4)</f>
        <v>0.99299999999999999</v>
      </c>
      <c r="C119" s="3062">
        <f>B119</f>
        <v>0.99299999999999999</v>
      </c>
      <c r="D119" s="3062">
        <f>ROUND(0.9415-0.0142*B116,4)</f>
        <v>0.9415</v>
      </c>
      <c r="E119" s="3062">
        <f t="shared" ref="E119:H120" si="36">D119</f>
        <v>0.9415</v>
      </c>
      <c r="F119" s="3062">
        <f t="shared" si="36"/>
        <v>0.9415</v>
      </c>
      <c r="G119" s="3062">
        <f t="shared" si="36"/>
        <v>0.9415</v>
      </c>
      <c r="H119" s="3062">
        <f t="shared" si="36"/>
        <v>0.9415</v>
      </c>
      <c r="I119" s="3062">
        <f>ROUND(0.838-0.0182*B116,4)</f>
        <v>0.83799999999999997</v>
      </c>
      <c r="J119" s="3062">
        <f t="shared" si="35"/>
        <v>0.83799999999999997</v>
      </c>
      <c r="K119" s="3062">
        <f t="shared" si="35"/>
        <v>0.83799999999999997</v>
      </c>
      <c r="L119" s="3062">
        <f t="shared" si="35"/>
        <v>0.83799999999999997</v>
      </c>
      <c r="M119" s="3082">
        <f t="shared" si="35"/>
        <v>0.83799999999999997</v>
      </c>
      <c r="N119" s="3070"/>
    </row>
    <row r="120" spans="1:14">
      <c r="A120" s="3030" t="s">
        <v>3316</v>
      </c>
      <c r="B120" s="3062">
        <f>ROUND(0.9448-0.0115*B116,4)</f>
        <v>0.94479999999999997</v>
      </c>
      <c r="C120" s="3062">
        <f>B120</f>
        <v>0.94479999999999997</v>
      </c>
      <c r="D120" s="3062">
        <f>ROUND(0.937-0.0145*B116,4)</f>
        <v>0.93700000000000006</v>
      </c>
      <c r="E120" s="3062">
        <f t="shared" si="36"/>
        <v>0.93700000000000006</v>
      </c>
      <c r="F120" s="3062">
        <f t="shared" si="36"/>
        <v>0.93700000000000006</v>
      </c>
      <c r="G120" s="3062">
        <f t="shared" si="36"/>
        <v>0.93700000000000006</v>
      </c>
      <c r="H120" s="3062">
        <f t="shared" si="36"/>
        <v>0.93700000000000006</v>
      </c>
      <c r="I120" s="3062">
        <f>ROUND(0.7965-0.0185*B116,4)</f>
        <v>0.79649999999999999</v>
      </c>
      <c r="J120" s="3062">
        <f t="shared" si="35"/>
        <v>0.79649999999999999</v>
      </c>
      <c r="K120" s="3062">
        <f t="shared" si="35"/>
        <v>0.79649999999999999</v>
      </c>
      <c r="L120" s="3062">
        <f t="shared" si="35"/>
        <v>0.79649999999999999</v>
      </c>
      <c r="M120" s="3082">
        <f t="shared" si="35"/>
        <v>0.79649999999999999</v>
      </c>
      <c r="N120" s="3070"/>
    </row>
    <row r="121" spans="1:14" ht="13.5" thickBot="1">
      <c r="A121" s="3083" t="s">
        <v>3317</v>
      </c>
      <c r="B121" s="3084">
        <f>ROUND(0.7836-0.012*B116,4)</f>
        <v>0.78359999999999996</v>
      </c>
      <c r="C121" s="3084">
        <f>B121</f>
        <v>0.78359999999999996</v>
      </c>
      <c r="D121" s="3084">
        <f>ROUND(0.753-0.015*B116,4)</f>
        <v>0.753</v>
      </c>
      <c r="E121" s="3084">
        <f>D121</f>
        <v>0.753</v>
      </c>
      <c r="F121" s="3084">
        <f>E121</f>
        <v>0.753</v>
      </c>
      <c r="G121" s="3084">
        <f>ROUND(0.6612-0.018*B116,4)</f>
        <v>0.66120000000000001</v>
      </c>
      <c r="H121" s="3084">
        <f>G121</f>
        <v>0.66120000000000001</v>
      </c>
      <c r="I121" s="3084">
        <f>ROUND(0.5905-0.019*B116,4)</f>
        <v>0.59050000000000002</v>
      </c>
      <c r="J121" s="3084">
        <f t="shared" si="35"/>
        <v>0.59050000000000002</v>
      </c>
      <c r="K121" s="3084">
        <f t="shared" si="35"/>
        <v>0.59050000000000002</v>
      </c>
      <c r="L121" s="3084">
        <f t="shared" si="35"/>
        <v>0.59050000000000002</v>
      </c>
      <c r="M121" s="3085">
        <f t="shared" si="35"/>
        <v>0.59050000000000002</v>
      </c>
      <c r="N121" s="3070"/>
    </row>
    <row r="122" spans="1:14">
      <c r="A122" s="3086" t="s">
        <v>2598</v>
      </c>
      <c r="B122" s="3062">
        <f>ROUND(0.9404-0.0106*B116,4)</f>
        <v>0.94040000000000001</v>
      </c>
      <c r="C122" s="3062">
        <f>B122</f>
        <v>0.94040000000000001</v>
      </c>
      <c r="D122" s="3062">
        <f>ROUND(0.8955-0.0135*B116,4)</f>
        <v>0.89549999999999996</v>
      </c>
      <c r="E122" s="3062">
        <f t="shared" ref="E122:H122" si="37">D122</f>
        <v>0.89549999999999996</v>
      </c>
      <c r="F122" s="3062">
        <f t="shared" si="37"/>
        <v>0.89549999999999996</v>
      </c>
      <c r="G122" s="3062">
        <f t="shared" si="37"/>
        <v>0.89549999999999996</v>
      </c>
      <c r="H122" s="3062">
        <f t="shared" si="37"/>
        <v>0.89549999999999996</v>
      </c>
      <c r="I122" s="3062">
        <f>ROUND(0.7632-0.0166*B116,4)</f>
        <v>0.76319999999999999</v>
      </c>
      <c r="J122" s="3062">
        <f t="shared" si="35"/>
        <v>0.76319999999999999</v>
      </c>
      <c r="K122" s="3062">
        <f t="shared" si="35"/>
        <v>0.76319999999999999</v>
      </c>
      <c r="L122" s="3062">
        <f t="shared" si="35"/>
        <v>0.76319999999999999</v>
      </c>
      <c r="M122" s="3082">
        <f t="shared" si="35"/>
        <v>0.76319999999999999</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2580</v>
      </c>
      <c r="B1" s="2784" t="s">
        <v>2581</v>
      </c>
      <c r="C1" s="2784" t="s">
        <v>2582</v>
      </c>
      <c r="D1" s="2784" t="s">
        <v>2583</v>
      </c>
      <c r="E1" s="2784" t="s">
        <v>2584</v>
      </c>
      <c r="F1" s="2784" t="s">
        <v>2585</v>
      </c>
      <c r="G1" s="2784" t="s">
        <v>2586</v>
      </c>
      <c r="H1" s="2784" t="s">
        <v>2587</v>
      </c>
      <c r="I1" s="2784" t="s">
        <v>2588</v>
      </c>
      <c r="J1" s="2784" t="s">
        <v>2589</v>
      </c>
      <c r="K1" s="2784" t="s">
        <v>2590</v>
      </c>
      <c r="L1" s="2784" t="s">
        <v>2591</v>
      </c>
      <c r="M1" s="2785" t="s">
        <v>2592</v>
      </c>
    </row>
    <row r="2" spans="1:13" ht="19.5" customHeight="1">
      <c r="A2" s="2787" t="s">
        <v>2593</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2594</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2595</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2596</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2597</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2598</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2599</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2600</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2601</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2602</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2603</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2604</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2605</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2606</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2607</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2608</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2609</v>
      </c>
      <c r="B18" s="2809"/>
      <c r="C18" s="2810"/>
      <c r="D18" s="2810"/>
      <c r="E18" s="2809"/>
      <c r="F18" s="2810"/>
      <c r="G18" s="2810"/>
    </row>
    <row r="19" spans="1:13" ht="19.5" customHeight="1" thickBot="1">
      <c r="A19" s="2807" t="s">
        <v>2610</v>
      </c>
      <c r="B19" s="2812" t="s">
        <v>2611</v>
      </c>
      <c r="C19" s="2812" t="s">
        <v>2612</v>
      </c>
      <c r="D19" s="2813"/>
      <c r="E19" s="2807" t="s">
        <v>2613</v>
      </c>
      <c r="F19" s="2814"/>
      <c r="G19" s="2814"/>
    </row>
    <row r="20" spans="1:13" ht="19.5" customHeight="1">
      <c r="A20" s="3474" t="s">
        <v>2593</v>
      </c>
      <c r="B20" s="3469" t="s">
        <v>2614</v>
      </c>
      <c r="C20" s="2815" t="s">
        <v>2425</v>
      </c>
      <c r="D20" s="2816"/>
      <c r="E20" s="2817">
        <v>1</v>
      </c>
      <c r="F20" s="2818" t="s">
        <v>2426</v>
      </c>
      <c r="G20" s="2818"/>
    </row>
    <row r="21" spans="1:13" ht="19.5" customHeight="1">
      <c r="A21" s="3475"/>
      <c r="B21" s="3468"/>
      <c r="C21" s="2819" t="s">
        <v>2427</v>
      </c>
      <c r="D21" s="2820"/>
      <c r="E21" s="2821">
        <v>1</v>
      </c>
      <c r="F21" s="2818" t="s">
        <v>2428</v>
      </c>
      <c r="G21" s="2818"/>
    </row>
    <row r="22" spans="1:13" ht="19.5" customHeight="1">
      <c r="A22" s="3475"/>
      <c r="B22" s="3468"/>
      <c r="C22" s="2819" t="s">
        <v>2429</v>
      </c>
      <c r="D22" s="2820"/>
      <c r="E22" s="2821">
        <v>0.9</v>
      </c>
      <c r="F22" s="2818" t="s">
        <v>2430</v>
      </c>
      <c r="G22" s="2818"/>
    </row>
    <row r="23" spans="1:13" ht="19.5" customHeight="1">
      <c r="A23" s="3475"/>
      <c r="B23" s="3468"/>
      <c r="C23" s="2819" t="s">
        <v>2431</v>
      </c>
      <c r="D23" s="2820"/>
      <c r="E23" s="2821">
        <v>0.9</v>
      </c>
      <c r="F23" s="2818" t="s">
        <v>2432</v>
      </c>
      <c r="G23" s="2818"/>
    </row>
    <row r="24" spans="1:13" ht="19.5" customHeight="1">
      <c r="A24" s="3475"/>
      <c r="B24" s="3468"/>
      <c r="C24" s="2819" t="s">
        <v>2433</v>
      </c>
      <c r="D24" s="2820"/>
      <c r="E24" s="2821">
        <v>0.8</v>
      </c>
      <c r="F24" s="2818" t="s">
        <v>2434</v>
      </c>
      <c r="G24" s="2818"/>
    </row>
    <row r="25" spans="1:13" ht="19.5" customHeight="1" thickBot="1">
      <c r="A25" s="3476"/>
      <c r="B25" s="3470"/>
      <c r="C25" s="2822" t="s">
        <v>2435</v>
      </c>
      <c r="D25" s="2823"/>
      <c r="E25" s="2824">
        <v>0.8</v>
      </c>
      <c r="F25" s="2818" t="s">
        <v>2436</v>
      </c>
      <c r="G25" s="2818"/>
    </row>
    <row r="26" spans="1:13" ht="19.5" customHeight="1" thickBot="1">
      <c r="A26" s="2825" t="s">
        <v>2615</v>
      </c>
      <c r="B26" s="2826" t="s">
        <v>2614</v>
      </c>
      <c r="C26" s="2827" t="s">
        <v>2616</v>
      </c>
      <c r="D26" s="2828"/>
      <c r="E26" s="2829">
        <v>1</v>
      </c>
      <c r="F26" s="2818" t="s">
        <v>2437</v>
      </c>
      <c r="G26" s="2818"/>
    </row>
    <row r="27" spans="1:13" ht="19.5" customHeight="1">
      <c r="A27" s="3471" t="s">
        <v>2617</v>
      </c>
      <c r="B27" s="3469" t="s">
        <v>2598</v>
      </c>
      <c r="C27" s="2815" t="s">
        <v>2438</v>
      </c>
      <c r="D27" s="2816"/>
      <c r="E27" s="2817">
        <v>1</v>
      </c>
      <c r="F27" s="2818" t="s">
        <v>2439</v>
      </c>
      <c r="G27" s="2818"/>
    </row>
    <row r="28" spans="1:13" ht="19.5" customHeight="1">
      <c r="A28" s="3472"/>
      <c r="B28" s="3468"/>
      <c r="C28" s="2819" t="s">
        <v>2440</v>
      </c>
      <c r="D28" s="2820"/>
      <c r="E28" s="2821">
        <v>1</v>
      </c>
      <c r="F28" s="2818" t="s">
        <v>2441</v>
      </c>
      <c r="G28" s="2818"/>
    </row>
    <row r="29" spans="1:13" ht="19.5" customHeight="1">
      <c r="A29" s="3472"/>
      <c r="B29" s="3468"/>
      <c r="C29" s="2819" t="s">
        <v>2442</v>
      </c>
      <c r="D29" s="2820"/>
      <c r="E29" s="2821">
        <v>0.8</v>
      </c>
      <c r="F29" s="2818" t="s">
        <v>2443</v>
      </c>
      <c r="G29" s="2818"/>
    </row>
    <row r="30" spans="1:13" ht="19.5" customHeight="1">
      <c r="A30" s="3472"/>
      <c r="B30" s="3468"/>
      <c r="C30" s="2819" t="s">
        <v>2444</v>
      </c>
      <c r="D30" s="2820"/>
      <c r="E30" s="2821">
        <v>0.8</v>
      </c>
      <c r="F30" s="2818" t="s">
        <v>2445</v>
      </c>
      <c r="G30" s="2818"/>
    </row>
    <row r="31" spans="1:13" ht="19.5" customHeight="1">
      <c r="A31" s="3472"/>
      <c r="B31" s="3468"/>
      <c r="C31" s="2819" t="s">
        <v>2446</v>
      </c>
      <c r="D31" s="2820"/>
      <c r="E31" s="2821">
        <v>0.8</v>
      </c>
      <c r="F31" s="2818" t="s">
        <v>2447</v>
      </c>
      <c r="G31" s="2818"/>
    </row>
    <row r="32" spans="1:13" ht="19.5" customHeight="1">
      <c r="A32" s="3472"/>
      <c r="B32" s="3468"/>
      <c r="C32" s="2819" t="s">
        <v>2448</v>
      </c>
      <c r="D32" s="2820"/>
      <c r="E32" s="2821">
        <v>0.7</v>
      </c>
      <c r="F32" s="2818" t="s">
        <v>2449</v>
      </c>
      <c r="G32" s="2818"/>
    </row>
    <row r="33" spans="1:7" ht="19.5" customHeight="1">
      <c r="A33" s="3472"/>
      <c r="B33" s="3468"/>
      <c r="C33" s="2819" t="s">
        <v>2450</v>
      </c>
      <c r="D33" s="2820"/>
      <c r="E33" s="2821">
        <v>0.8</v>
      </c>
      <c r="F33" s="2818" t="s">
        <v>2451</v>
      </c>
      <c r="G33" s="2818"/>
    </row>
    <row r="34" spans="1:7" ht="19.5" customHeight="1">
      <c r="A34" s="3472"/>
      <c r="B34" s="3468"/>
      <c r="C34" s="2819" t="s">
        <v>2452</v>
      </c>
      <c r="D34" s="2820"/>
      <c r="E34" s="2821">
        <v>0.6</v>
      </c>
      <c r="F34" s="2818" t="s">
        <v>2453</v>
      </c>
      <c r="G34" s="2818"/>
    </row>
    <row r="35" spans="1:7" ht="19.5" customHeight="1">
      <c r="A35" s="3472"/>
      <c r="B35" s="3468"/>
      <c r="C35" s="2819" t="s">
        <v>2454</v>
      </c>
      <c r="D35" s="2820"/>
      <c r="E35" s="2821">
        <v>0.2</v>
      </c>
      <c r="F35" s="2818" t="s">
        <v>2455</v>
      </c>
      <c r="G35" s="2818"/>
    </row>
    <row r="36" spans="1:7" ht="19.5" customHeight="1">
      <c r="A36" s="3472"/>
      <c r="B36" s="3468"/>
      <c r="C36" s="2819" t="s">
        <v>2456</v>
      </c>
      <c r="D36" s="2820"/>
      <c r="E36" s="2821">
        <v>0.2</v>
      </c>
      <c r="F36" s="2818" t="s">
        <v>2457</v>
      </c>
      <c r="G36" s="2818"/>
    </row>
    <row r="37" spans="1:7" ht="19.5" customHeight="1">
      <c r="A37" s="3472"/>
      <c r="B37" s="3466" t="s">
        <v>2618</v>
      </c>
      <c r="C37" s="2819" t="s">
        <v>2458</v>
      </c>
      <c r="D37" s="2820"/>
      <c r="E37" s="2821">
        <v>0.6</v>
      </c>
      <c r="F37" s="2818" t="s">
        <v>2459</v>
      </c>
      <c r="G37" s="2818"/>
    </row>
    <row r="38" spans="1:7" ht="19.5" customHeight="1">
      <c r="A38" s="3472"/>
      <c r="B38" s="3468"/>
      <c r="C38" s="2819" t="s">
        <v>2460</v>
      </c>
      <c r="D38" s="2820"/>
      <c r="E38" s="2821">
        <v>0.6</v>
      </c>
      <c r="F38" s="2818" t="s">
        <v>2461</v>
      </c>
      <c r="G38" s="2818"/>
    </row>
    <row r="39" spans="1:7" ht="19.5" customHeight="1" thickBot="1">
      <c r="A39" s="3473"/>
      <c r="B39" s="3470"/>
      <c r="C39" s="2822" t="s">
        <v>2462</v>
      </c>
      <c r="D39" s="2823"/>
      <c r="E39" s="2824">
        <v>0.6</v>
      </c>
      <c r="F39" s="2818" t="s">
        <v>2463</v>
      </c>
      <c r="G39" s="2818"/>
    </row>
    <row r="40" spans="1:7" ht="19.5" customHeight="1" thickBot="1">
      <c r="A40" s="2825" t="s">
        <v>2595</v>
      </c>
      <c r="B40" s="2826" t="s">
        <v>2595</v>
      </c>
      <c r="C40" s="2827" t="s">
        <v>2619</v>
      </c>
      <c r="D40" s="2828"/>
      <c r="E40" s="2829">
        <v>1</v>
      </c>
      <c r="F40" s="2818" t="s">
        <v>2464</v>
      </c>
      <c r="G40" s="2818"/>
    </row>
    <row r="41" spans="1:7" ht="19.5" customHeight="1">
      <c r="A41" s="3474" t="s">
        <v>2596</v>
      </c>
      <c r="B41" s="3469" t="s">
        <v>2620</v>
      </c>
      <c r="C41" s="2815" t="s">
        <v>2465</v>
      </c>
      <c r="D41" s="2816"/>
      <c r="E41" s="2817">
        <v>1</v>
      </c>
      <c r="F41" s="2818" t="s">
        <v>2466</v>
      </c>
      <c r="G41" s="2818"/>
    </row>
    <row r="42" spans="1:7" ht="19.5" customHeight="1">
      <c r="A42" s="3475"/>
      <c r="B42" s="3468"/>
      <c r="C42" s="2819" t="s">
        <v>2467</v>
      </c>
      <c r="D42" s="2820"/>
      <c r="E42" s="2821">
        <v>1</v>
      </c>
      <c r="F42" s="2818" t="s">
        <v>2468</v>
      </c>
      <c r="G42" s="2818"/>
    </row>
    <row r="43" spans="1:7" ht="19.5" customHeight="1">
      <c r="A43" s="3475"/>
      <c r="B43" s="3467"/>
      <c r="C43" s="2819" t="s">
        <v>2469</v>
      </c>
      <c r="D43" s="2820"/>
      <c r="E43" s="2821">
        <v>1.5</v>
      </c>
      <c r="F43" s="2818" t="s">
        <v>2470</v>
      </c>
      <c r="G43" s="2818"/>
    </row>
    <row r="44" spans="1:7" ht="19.5" customHeight="1">
      <c r="A44" s="3475"/>
      <c r="B44" s="2830" t="s">
        <v>2621</v>
      </c>
      <c r="C44" s="2819" t="s">
        <v>2622</v>
      </c>
      <c r="D44" s="2820"/>
      <c r="E44" s="2821">
        <v>2</v>
      </c>
      <c r="F44" s="2818" t="s">
        <v>2471</v>
      </c>
      <c r="G44" s="2818"/>
    </row>
    <row r="45" spans="1:7" ht="19.5" customHeight="1">
      <c r="A45" s="3475"/>
      <c r="B45" s="3466" t="s">
        <v>2623</v>
      </c>
      <c r="C45" s="2819" t="s">
        <v>2472</v>
      </c>
      <c r="D45" s="2820"/>
      <c r="E45" s="2821">
        <v>1</v>
      </c>
      <c r="F45" s="2818" t="s">
        <v>2473</v>
      </c>
      <c r="G45" s="2818"/>
    </row>
    <row r="46" spans="1:7" ht="19.5" customHeight="1">
      <c r="A46" s="3475"/>
      <c r="B46" s="3468"/>
      <c r="C46" s="2819" t="s">
        <v>2474</v>
      </c>
      <c r="D46" s="2820"/>
      <c r="E46" s="2821">
        <v>1</v>
      </c>
      <c r="F46" s="2818" t="s">
        <v>2475</v>
      </c>
      <c r="G46" s="2818"/>
    </row>
    <row r="47" spans="1:7" ht="19.5" customHeight="1">
      <c r="A47" s="3475"/>
      <c r="B47" s="3468"/>
      <c r="C47" s="2819" t="s">
        <v>2476</v>
      </c>
      <c r="D47" s="2820"/>
      <c r="E47" s="2821">
        <v>1</v>
      </c>
      <c r="F47" s="2818" t="s">
        <v>2477</v>
      </c>
      <c r="G47" s="2818"/>
    </row>
    <row r="48" spans="1:7" ht="19.5" customHeight="1">
      <c r="A48" s="3475"/>
      <c r="B48" s="3468"/>
      <c r="C48" s="2819" t="s">
        <v>2478</v>
      </c>
      <c r="D48" s="2820"/>
      <c r="E48" s="2821">
        <v>1</v>
      </c>
      <c r="F48" s="2818" t="s">
        <v>2479</v>
      </c>
      <c r="G48" s="2818"/>
    </row>
    <row r="49" spans="1:7" ht="19.5" customHeight="1">
      <c r="A49" s="3475"/>
      <c r="B49" s="3468"/>
      <c r="C49" s="2819" t="s">
        <v>2480</v>
      </c>
      <c r="D49" s="2820"/>
      <c r="E49" s="2821">
        <v>1</v>
      </c>
      <c r="F49" s="2818" t="s">
        <v>2481</v>
      </c>
      <c r="G49" s="2818"/>
    </row>
    <row r="50" spans="1:7" ht="19.5" customHeight="1">
      <c r="A50" s="3475"/>
      <c r="B50" s="3468"/>
      <c r="C50" s="2819" t="s">
        <v>2482</v>
      </c>
      <c r="D50" s="2820"/>
      <c r="E50" s="2821">
        <v>1</v>
      </c>
      <c r="F50" s="2818" t="s">
        <v>2483</v>
      </c>
      <c r="G50" s="2818"/>
    </row>
    <row r="51" spans="1:7" ht="19.5" customHeight="1" thickBot="1">
      <c r="A51" s="3476"/>
      <c r="B51" s="3470"/>
      <c r="C51" s="2822" t="s">
        <v>2484</v>
      </c>
      <c r="D51" s="2823"/>
      <c r="E51" s="2824">
        <v>1</v>
      </c>
      <c r="F51" s="2818" t="s">
        <v>2485</v>
      </c>
      <c r="G51" s="2818"/>
    </row>
    <row r="52" spans="1:7" ht="19.5" customHeight="1">
      <c r="A52" s="2831"/>
      <c r="B52" s="2831"/>
      <c r="C52" s="2831"/>
      <c r="D52" s="2831"/>
      <c r="E52" s="2831"/>
      <c r="F52" s="2831"/>
      <c r="G52" s="2831"/>
    </row>
    <row r="54" spans="1:7" ht="19.5" customHeight="1">
      <c r="A54" s="2832"/>
      <c r="B54" s="2804" t="s">
        <v>2624</v>
      </c>
      <c r="C54" s="2804" t="s">
        <v>2624</v>
      </c>
      <c r="D54" s="2804" t="s">
        <v>2624</v>
      </c>
      <c r="E54" s="2807" t="s">
        <v>2624</v>
      </c>
      <c r="F54" s="2807" t="s">
        <v>2625</v>
      </c>
      <c r="G54" s="2807" t="s">
        <v>2626</v>
      </c>
    </row>
    <row r="55" spans="1:7" ht="19.5" customHeight="1">
      <c r="A55" s="2833"/>
      <c r="B55" s="2807" t="s">
        <v>2593</v>
      </c>
      <c r="C55" s="2807" t="s">
        <v>2593</v>
      </c>
      <c r="D55" s="2807" t="s">
        <v>2593</v>
      </c>
      <c r="E55" s="2804" t="s">
        <v>2594</v>
      </c>
      <c r="F55" s="2804" t="s">
        <v>2596</v>
      </c>
      <c r="G55" s="2804" t="s">
        <v>2627</v>
      </c>
    </row>
    <row r="56" spans="1:7" ht="19.5" customHeight="1">
      <c r="A56" s="2834"/>
      <c r="B56" s="2804">
        <v>1</v>
      </c>
      <c r="C56" s="2804">
        <v>2</v>
      </c>
      <c r="D56" s="2804">
        <v>3</v>
      </c>
      <c r="E56" s="2835" t="s">
        <v>2628</v>
      </c>
      <c r="F56" s="2835" t="s">
        <v>2628</v>
      </c>
      <c r="G56" s="2835" t="s">
        <v>2628</v>
      </c>
    </row>
    <row r="57" spans="1:7" ht="19.5" customHeight="1">
      <c r="A57" s="2836" t="s">
        <v>2581</v>
      </c>
      <c r="B57" s="2804">
        <v>0.7</v>
      </c>
      <c r="C57" s="2804">
        <v>0.4</v>
      </c>
      <c r="D57" s="2804">
        <v>0.3</v>
      </c>
      <c r="E57" s="2835">
        <v>0.3</v>
      </c>
      <c r="F57" s="2804">
        <v>0.3</v>
      </c>
      <c r="G57" s="2804">
        <v>0.2</v>
      </c>
    </row>
    <row r="58" spans="1:7" ht="19.5" customHeight="1">
      <c r="A58" s="2836" t="s">
        <v>2582</v>
      </c>
      <c r="B58" s="2804">
        <v>0.7</v>
      </c>
      <c r="C58" s="2804">
        <v>0.4</v>
      </c>
      <c r="D58" s="2804">
        <v>0.3</v>
      </c>
      <c r="E58" s="2804">
        <v>0.3</v>
      </c>
      <c r="F58" s="2804">
        <v>0.3</v>
      </c>
      <c r="G58" s="2804">
        <v>0.2</v>
      </c>
    </row>
    <row r="59" spans="1:7" ht="19.5" customHeight="1">
      <c r="A59" s="2836" t="s">
        <v>2583</v>
      </c>
      <c r="B59" s="2804">
        <v>0.6</v>
      </c>
      <c r="C59" s="2804">
        <v>0.3</v>
      </c>
      <c r="D59" s="2804">
        <v>0.25</v>
      </c>
      <c r="E59" s="2804">
        <v>0.25</v>
      </c>
      <c r="F59" s="2804">
        <v>0.25</v>
      </c>
      <c r="G59" s="2804">
        <v>0.15</v>
      </c>
    </row>
    <row r="60" spans="1:7" ht="19.5" customHeight="1">
      <c r="A60" s="2836" t="s">
        <v>2584</v>
      </c>
      <c r="B60" s="2804">
        <v>0.6</v>
      </c>
      <c r="C60" s="2804">
        <v>0.3</v>
      </c>
      <c r="D60" s="2804">
        <v>0.25</v>
      </c>
      <c r="E60" s="2804">
        <v>0.25</v>
      </c>
      <c r="F60" s="2804">
        <v>0.25</v>
      </c>
      <c r="G60" s="2804">
        <v>0.15</v>
      </c>
    </row>
    <row r="61" spans="1:7" ht="19.5" customHeight="1">
      <c r="A61" s="2836" t="s">
        <v>2585</v>
      </c>
      <c r="B61" s="2804">
        <v>0.6</v>
      </c>
      <c r="C61" s="2804">
        <v>0.3</v>
      </c>
      <c r="D61" s="2804">
        <v>0.25</v>
      </c>
      <c r="E61" s="2804">
        <v>0.25</v>
      </c>
      <c r="F61" s="2804">
        <v>0.25</v>
      </c>
      <c r="G61" s="2804">
        <v>0.15</v>
      </c>
    </row>
    <row r="62" spans="1:7" ht="19.5" customHeight="1">
      <c r="A62" s="2836" t="s">
        <v>2586</v>
      </c>
      <c r="B62" s="2804">
        <v>0.6</v>
      </c>
      <c r="C62" s="2804">
        <v>0.3</v>
      </c>
      <c r="D62" s="2804">
        <v>0.25</v>
      </c>
      <c r="E62" s="2804">
        <v>0.25</v>
      </c>
      <c r="F62" s="2804">
        <v>0.25</v>
      </c>
      <c r="G62" s="2804">
        <v>0.15</v>
      </c>
    </row>
    <row r="63" spans="1:7" ht="19.5" customHeight="1">
      <c r="A63" s="2836" t="s">
        <v>2587</v>
      </c>
      <c r="B63" s="2804">
        <v>0.6</v>
      </c>
      <c r="C63" s="2804">
        <v>0.3</v>
      </c>
      <c r="D63" s="2804">
        <v>0.25</v>
      </c>
      <c r="E63" s="2804">
        <v>0.25</v>
      </c>
      <c r="F63" s="2804">
        <v>0.25</v>
      </c>
      <c r="G63" s="2804">
        <v>0.15</v>
      </c>
    </row>
    <row r="64" spans="1:7" ht="19.5" customHeight="1">
      <c r="A64" s="2836" t="s">
        <v>2588</v>
      </c>
      <c r="B64" s="2804">
        <v>0.5</v>
      </c>
      <c r="C64" s="2804">
        <v>0.2</v>
      </c>
      <c r="D64" s="2804">
        <v>0.2</v>
      </c>
      <c r="E64" s="2804">
        <v>0.2</v>
      </c>
      <c r="F64" s="2804">
        <v>0.2</v>
      </c>
      <c r="G64" s="2804">
        <v>0.1</v>
      </c>
    </row>
    <row r="65" spans="1:7" ht="19.5" customHeight="1">
      <c r="A65" s="2836" t="s">
        <v>2589</v>
      </c>
      <c r="B65" s="2804">
        <v>0.5</v>
      </c>
      <c r="C65" s="2804">
        <v>0.2</v>
      </c>
      <c r="D65" s="2804">
        <v>0.2</v>
      </c>
      <c r="E65" s="2804">
        <v>0.2</v>
      </c>
      <c r="F65" s="2804">
        <v>0.2</v>
      </c>
      <c r="G65" s="2804">
        <v>0.1</v>
      </c>
    </row>
    <row r="66" spans="1:7" ht="19.5" customHeight="1">
      <c r="A66" s="2836" t="s">
        <v>2590</v>
      </c>
      <c r="B66" s="2804">
        <v>0.5</v>
      </c>
      <c r="C66" s="2804">
        <v>0.2</v>
      </c>
      <c r="D66" s="2804">
        <v>0.2</v>
      </c>
      <c r="E66" s="2804">
        <v>0.2</v>
      </c>
      <c r="F66" s="2804">
        <v>0.2</v>
      </c>
      <c r="G66" s="2804">
        <v>0.1</v>
      </c>
    </row>
    <row r="67" spans="1:7" ht="19.5" customHeight="1">
      <c r="A67" s="2836" t="s">
        <v>2591</v>
      </c>
      <c r="B67" s="2804">
        <v>0.5</v>
      </c>
      <c r="C67" s="2804">
        <v>0.2</v>
      </c>
      <c r="D67" s="2804">
        <v>0.2</v>
      </c>
      <c r="E67" s="2804">
        <v>0.2</v>
      </c>
      <c r="F67" s="2804">
        <v>0.2</v>
      </c>
      <c r="G67" s="2804">
        <v>0.1</v>
      </c>
    </row>
    <row r="68" spans="1:7" ht="19.5" customHeight="1">
      <c r="A68" s="2836" t="s">
        <v>2592</v>
      </c>
      <c r="B68" s="2804">
        <v>0.5</v>
      </c>
      <c r="C68" s="2804">
        <v>0.2</v>
      </c>
      <c r="D68" s="2804">
        <v>0.2</v>
      </c>
      <c r="E68" s="2804">
        <v>0.2</v>
      </c>
      <c r="F68" s="2804">
        <v>0.2</v>
      </c>
      <c r="G68" s="2804">
        <v>0.1</v>
      </c>
    </row>
    <row r="70" spans="1:7" ht="19.5" customHeight="1">
      <c r="A70" s="2818"/>
      <c r="B70" s="2837"/>
      <c r="C70" s="2837"/>
      <c r="D70" s="2837" t="s">
        <v>2629</v>
      </c>
      <c r="E70" s="2837"/>
      <c r="F70" s="2837"/>
    </row>
    <row r="71" spans="1:7" ht="19.5" customHeight="1">
      <c r="A71" s="2830" t="s">
        <v>2630</v>
      </c>
      <c r="B71" s="2830" t="s">
        <v>2631</v>
      </c>
      <c r="C71" s="2830" t="s">
        <v>2632</v>
      </c>
      <c r="D71" s="2830" t="s">
        <v>2633</v>
      </c>
      <c r="E71" s="2830" t="s">
        <v>2634</v>
      </c>
      <c r="F71" s="2830" t="s">
        <v>2635</v>
      </c>
    </row>
    <row r="72" spans="1:7" ht="13.5">
      <c r="A72" s="2830"/>
      <c r="B72" s="2830"/>
      <c r="C72" s="2830" t="s">
        <v>2636</v>
      </c>
      <c r="D72" s="2830"/>
      <c r="E72" s="2830" t="s">
        <v>2607</v>
      </c>
      <c r="F72" s="2830" t="s">
        <v>2607</v>
      </c>
    </row>
    <row r="73" spans="1:7" ht="13.5">
      <c r="A73" s="2830">
        <v>1</v>
      </c>
      <c r="B73" s="3466" t="s">
        <v>2637</v>
      </c>
      <c r="C73" s="2804" t="s">
        <v>2638</v>
      </c>
      <c r="D73" s="2804" t="s">
        <v>2639</v>
      </c>
      <c r="E73" s="2830">
        <v>0.2</v>
      </c>
      <c r="F73" s="2830">
        <v>25</v>
      </c>
    </row>
    <row r="74" spans="1:7" ht="24">
      <c r="A74" s="2830">
        <v>2</v>
      </c>
      <c r="B74" s="3468"/>
      <c r="C74" s="2804" t="s">
        <v>2640</v>
      </c>
      <c r="D74" s="2804" t="s">
        <v>2641</v>
      </c>
      <c r="E74" s="2830">
        <v>0.2</v>
      </c>
      <c r="F74" s="2830">
        <v>25</v>
      </c>
    </row>
    <row r="75" spans="1:7" ht="24">
      <c r="A75" s="2830">
        <v>3</v>
      </c>
      <c r="B75" s="3468"/>
      <c r="C75" s="2804" t="s">
        <v>2642</v>
      </c>
      <c r="D75" s="2804" t="s">
        <v>2643</v>
      </c>
      <c r="E75" s="2830">
        <v>0.2</v>
      </c>
      <c r="F75" s="2830">
        <v>25</v>
      </c>
    </row>
    <row r="76" spans="1:7" ht="13.5">
      <c r="A76" s="2830">
        <v>4</v>
      </c>
      <c r="B76" s="3468"/>
      <c r="C76" s="2804" t="s">
        <v>2644</v>
      </c>
      <c r="D76" s="2804" t="s">
        <v>2645</v>
      </c>
      <c r="E76" s="2830">
        <v>0.15</v>
      </c>
      <c r="F76" s="2830">
        <v>20</v>
      </c>
    </row>
    <row r="77" spans="1:7" ht="24">
      <c r="A77" s="2830">
        <v>5</v>
      </c>
      <c r="B77" s="3468"/>
      <c r="C77" s="2804" t="s">
        <v>2646</v>
      </c>
      <c r="D77" s="2804" t="s">
        <v>2647</v>
      </c>
      <c r="E77" s="2830">
        <v>0.15</v>
      </c>
      <c r="F77" s="2830">
        <v>20</v>
      </c>
    </row>
    <row r="78" spans="1:7" ht="24">
      <c r="A78" s="2830">
        <v>6</v>
      </c>
      <c r="B78" s="3468"/>
      <c r="C78" s="2804" t="s">
        <v>2648</v>
      </c>
      <c r="D78" s="2804" t="s">
        <v>2649</v>
      </c>
      <c r="E78" s="2830">
        <v>0.15</v>
      </c>
      <c r="F78" s="2830">
        <v>20</v>
      </c>
    </row>
    <row r="79" spans="1:7" ht="24">
      <c r="A79" s="2830">
        <v>7</v>
      </c>
      <c r="B79" s="3468"/>
      <c r="C79" s="2804" t="s">
        <v>2650</v>
      </c>
      <c r="D79" s="2804" t="s">
        <v>2651</v>
      </c>
      <c r="E79" s="2830">
        <v>0.15</v>
      </c>
      <c r="F79" s="2830">
        <v>20</v>
      </c>
    </row>
    <row r="80" spans="1:7" ht="24">
      <c r="A80" s="2830">
        <v>8</v>
      </c>
      <c r="B80" s="3468"/>
      <c r="C80" s="2804" t="s">
        <v>2652</v>
      </c>
      <c r="D80" s="2804" t="s">
        <v>2653</v>
      </c>
      <c r="E80" s="2830">
        <v>0.1</v>
      </c>
      <c r="F80" s="2830">
        <v>15</v>
      </c>
    </row>
    <row r="81" spans="1:6" ht="24">
      <c r="A81" s="2830">
        <v>9</v>
      </c>
      <c r="B81" s="3468"/>
      <c r="C81" s="2804" t="s">
        <v>2654</v>
      </c>
      <c r="D81" s="2804" t="s">
        <v>2655</v>
      </c>
      <c r="E81" s="2830">
        <v>0.1</v>
      </c>
      <c r="F81" s="2830">
        <v>15</v>
      </c>
    </row>
    <row r="82" spans="1:6" ht="24">
      <c r="A82" s="2830">
        <v>10</v>
      </c>
      <c r="B82" s="3468"/>
      <c r="C82" s="2804" t="s">
        <v>2656</v>
      </c>
      <c r="D82" s="2804" t="s">
        <v>2657</v>
      </c>
      <c r="E82" s="2830">
        <v>0.1</v>
      </c>
      <c r="F82" s="2830">
        <v>15</v>
      </c>
    </row>
    <row r="83" spans="1:6" ht="24">
      <c r="A83" s="2830">
        <v>11</v>
      </c>
      <c r="B83" s="3468"/>
      <c r="C83" s="2804" t="s">
        <v>2658</v>
      </c>
      <c r="D83" s="2804" t="s">
        <v>2659</v>
      </c>
      <c r="E83" s="2830">
        <v>0.1</v>
      </c>
      <c r="F83" s="2830">
        <v>15</v>
      </c>
    </row>
    <row r="84" spans="1:6" ht="24">
      <c r="A84" s="2830">
        <v>12</v>
      </c>
      <c r="B84" s="3468"/>
      <c r="C84" s="2804" t="s">
        <v>2660</v>
      </c>
      <c r="D84" s="2804" t="s">
        <v>2661</v>
      </c>
      <c r="E84" s="2830">
        <v>0.1</v>
      </c>
      <c r="F84" s="2830">
        <v>15</v>
      </c>
    </row>
    <row r="85" spans="1:6" ht="13.5">
      <c r="A85" s="2830">
        <v>13</v>
      </c>
      <c r="B85" s="3468"/>
      <c r="C85" s="2804" t="s">
        <v>2662</v>
      </c>
      <c r="D85" s="2804" t="s">
        <v>2663</v>
      </c>
      <c r="E85" s="2830">
        <v>0.1</v>
      </c>
      <c r="F85" s="2830">
        <v>15</v>
      </c>
    </row>
    <row r="86" spans="1:6" ht="13.5">
      <c r="A86" s="2830">
        <v>14</v>
      </c>
      <c r="B86" s="3468"/>
      <c r="C86" s="2804" t="s">
        <v>2664</v>
      </c>
      <c r="D86" s="2804" t="s">
        <v>2665</v>
      </c>
      <c r="E86" s="2830">
        <v>0.1</v>
      </c>
      <c r="F86" s="2830">
        <v>15</v>
      </c>
    </row>
    <row r="87" spans="1:6" ht="13.5">
      <c r="A87" s="2830">
        <v>15</v>
      </c>
      <c r="B87" s="3468"/>
      <c r="C87" s="2804" t="s">
        <v>2666</v>
      </c>
      <c r="D87" s="2804" t="s">
        <v>2667</v>
      </c>
      <c r="E87" s="2830">
        <v>0.1</v>
      </c>
      <c r="F87" s="2830">
        <v>15</v>
      </c>
    </row>
    <row r="88" spans="1:6" ht="24">
      <c r="A88" s="2830">
        <v>16</v>
      </c>
      <c r="B88" s="3468"/>
      <c r="C88" s="2804" t="s">
        <v>2668</v>
      </c>
      <c r="D88" s="2804" t="s">
        <v>2669</v>
      </c>
      <c r="E88" s="2830">
        <v>0.1</v>
      </c>
      <c r="F88" s="2830">
        <v>15</v>
      </c>
    </row>
    <row r="89" spans="1:6" ht="24">
      <c r="A89" s="2830">
        <v>17</v>
      </c>
      <c r="B89" s="3467"/>
      <c r="C89" s="2804" t="s">
        <v>2670</v>
      </c>
      <c r="D89" s="2804" t="s">
        <v>2671</v>
      </c>
      <c r="E89" s="2830">
        <v>0.1</v>
      </c>
      <c r="F89" s="2830">
        <v>15</v>
      </c>
    </row>
    <row r="90" spans="1:6" ht="13.5">
      <c r="A90" s="2830">
        <v>18</v>
      </c>
      <c r="B90" s="3466" t="s">
        <v>2672</v>
      </c>
      <c r="C90" s="2804" t="s">
        <v>2673</v>
      </c>
      <c r="D90" s="2804" t="s">
        <v>2674</v>
      </c>
      <c r="E90" s="2830">
        <v>0.2</v>
      </c>
      <c r="F90" s="2830">
        <v>25</v>
      </c>
    </row>
    <row r="91" spans="1:6" ht="24">
      <c r="A91" s="2830">
        <v>19</v>
      </c>
      <c r="B91" s="3468"/>
      <c r="C91" s="2804" t="s">
        <v>2675</v>
      </c>
      <c r="D91" s="2804" t="s">
        <v>2676</v>
      </c>
      <c r="E91" s="2830">
        <v>0.2</v>
      </c>
      <c r="F91" s="2830">
        <v>25</v>
      </c>
    </row>
    <row r="92" spans="1:6" ht="13.5">
      <c r="A92" s="2830">
        <v>20</v>
      </c>
      <c r="B92" s="3468"/>
      <c r="C92" s="2804" t="s">
        <v>2677</v>
      </c>
      <c r="D92" s="2804" t="s">
        <v>2678</v>
      </c>
      <c r="E92" s="2830">
        <v>0.15</v>
      </c>
      <c r="F92" s="2830">
        <v>20</v>
      </c>
    </row>
    <row r="93" spans="1:6" ht="13.5">
      <c r="A93" s="2830">
        <v>21</v>
      </c>
      <c r="B93" s="3468"/>
      <c r="C93" s="2804" t="s">
        <v>2679</v>
      </c>
      <c r="D93" s="2804" t="s">
        <v>2680</v>
      </c>
      <c r="E93" s="2830">
        <v>0.15</v>
      </c>
      <c r="F93" s="2830">
        <v>20</v>
      </c>
    </row>
    <row r="94" spans="1:6" ht="13.5">
      <c r="A94" s="2830">
        <v>22</v>
      </c>
      <c r="B94" s="3468"/>
      <c r="C94" s="2804" t="s">
        <v>2681</v>
      </c>
      <c r="D94" s="2804" t="s">
        <v>2682</v>
      </c>
      <c r="E94" s="2830">
        <v>0.15</v>
      </c>
      <c r="F94" s="2830">
        <v>20</v>
      </c>
    </row>
    <row r="95" spans="1:6" ht="36">
      <c r="A95" s="2830">
        <v>23</v>
      </c>
      <c r="B95" s="3468"/>
      <c r="C95" s="2804" t="s">
        <v>2683</v>
      </c>
      <c r="D95" s="2804" t="s">
        <v>2684</v>
      </c>
      <c r="E95" s="2830">
        <v>0.15</v>
      </c>
      <c r="F95" s="2830">
        <v>20</v>
      </c>
    </row>
    <row r="96" spans="1:6" ht="13.5">
      <c r="A96" s="2830">
        <v>24</v>
      </c>
      <c r="B96" s="3468"/>
      <c r="C96" s="2804" t="s">
        <v>2685</v>
      </c>
      <c r="D96" s="2804" t="s">
        <v>2686</v>
      </c>
      <c r="E96" s="2830">
        <v>0.1</v>
      </c>
      <c r="F96" s="2830">
        <v>15</v>
      </c>
    </row>
    <row r="97" spans="1:6" ht="13.5">
      <c r="A97" s="2830">
        <v>25</v>
      </c>
      <c r="B97" s="3468"/>
      <c r="C97" s="2804" t="s">
        <v>2687</v>
      </c>
      <c r="D97" s="2804" t="s">
        <v>2688</v>
      </c>
      <c r="E97" s="2830">
        <v>0.1</v>
      </c>
      <c r="F97" s="2830">
        <v>15</v>
      </c>
    </row>
    <row r="98" spans="1:6" ht="24">
      <c r="A98" s="2830">
        <v>26</v>
      </c>
      <c r="B98" s="3468"/>
      <c r="C98" s="2804" t="s">
        <v>2689</v>
      </c>
      <c r="D98" s="2804" t="s">
        <v>2690</v>
      </c>
      <c r="E98" s="2830">
        <v>0.1</v>
      </c>
      <c r="F98" s="2830">
        <v>15</v>
      </c>
    </row>
    <row r="99" spans="1:6" ht="24">
      <c r="A99" s="2830">
        <v>27</v>
      </c>
      <c r="B99" s="3468"/>
      <c r="C99" s="2804" t="s">
        <v>2691</v>
      </c>
      <c r="D99" s="2804" t="s">
        <v>2692</v>
      </c>
      <c r="E99" s="2830">
        <v>0.1</v>
      </c>
      <c r="F99" s="2830">
        <v>15</v>
      </c>
    </row>
    <row r="100" spans="1:6" ht="13.5">
      <c r="A100" s="2830">
        <v>28</v>
      </c>
      <c r="B100" s="3468"/>
      <c r="C100" s="2804" t="s">
        <v>2693</v>
      </c>
      <c r="D100" s="2804" t="s">
        <v>2694</v>
      </c>
      <c r="E100" s="2830">
        <v>0.1</v>
      </c>
      <c r="F100" s="2830">
        <v>15</v>
      </c>
    </row>
    <row r="101" spans="1:6" ht="13.5">
      <c r="A101" s="2830">
        <v>29</v>
      </c>
      <c r="B101" s="3468"/>
      <c r="C101" s="2804" t="s">
        <v>2695</v>
      </c>
      <c r="D101" s="2804" t="s">
        <v>2696</v>
      </c>
      <c r="E101" s="2830">
        <v>0.1</v>
      </c>
      <c r="F101" s="2830">
        <v>15</v>
      </c>
    </row>
    <row r="102" spans="1:6" ht="13.5">
      <c r="A102" s="2830">
        <v>30</v>
      </c>
      <c r="B102" s="3468"/>
      <c r="C102" s="2804" t="s">
        <v>2697</v>
      </c>
      <c r="D102" s="2804" t="s">
        <v>2698</v>
      </c>
      <c r="E102" s="2830">
        <v>0.1</v>
      </c>
      <c r="F102" s="2830">
        <v>15</v>
      </c>
    </row>
    <row r="103" spans="1:6" ht="24">
      <c r="A103" s="2830">
        <v>31</v>
      </c>
      <c r="B103" s="3468"/>
      <c r="C103" s="2804" t="s">
        <v>2699</v>
      </c>
      <c r="D103" s="2804" t="s">
        <v>2700</v>
      </c>
      <c r="E103" s="2830">
        <v>0.1</v>
      </c>
      <c r="F103" s="2830">
        <v>15</v>
      </c>
    </row>
    <row r="104" spans="1:6" ht="24">
      <c r="A104" s="2830">
        <v>32</v>
      </c>
      <c r="B104" s="3468"/>
      <c r="C104" s="2804" t="s">
        <v>2701</v>
      </c>
      <c r="D104" s="2804" t="s">
        <v>2702</v>
      </c>
      <c r="E104" s="2830">
        <v>0.1</v>
      </c>
      <c r="F104" s="2830">
        <v>15</v>
      </c>
    </row>
    <row r="105" spans="1:6" ht="24">
      <c r="A105" s="2830">
        <v>33</v>
      </c>
      <c r="B105" s="3468"/>
      <c r="C105" s="2804" t="s">
        <v>2703</v>
      </c>
      <c r="D105" s="2804" t="s">
        <v>2704</v>
      </c>
      <c r="E105" s="2830">
        <v>0.1</v>
      </c>
      <c r="F105" s="2830">
        <v>15</v>
      </c>
    </row>
    <row r="106" spans="1:6" ht="24">
      <c r="A106" s="2830">
        <v>34</v>
      </c>
      <c r="B106" s="3467"/>
      <c r="C106" s="2804" t="s">
        <v>2705</v>
      </c>
      <c r="D106" s="2804" t="s">
        <v>2706</v>
      </c>
      <c r="E106" s="2830">
        <v>0.1</v>
      </c>
      <c r="F106" s="2830">
        <v>15</v>
      </c>
    </row>
    <row r="107" spans="1:6" ht="24">
      <c r="A107" s="2830">
        <v>35</v>
      </c>
      <c r="B107" s="3466" t="s">
        <v>2707</v>
      </c>
      <c r="C107" s="2830" t="s">
        <v>2708</v>
      </c>
      <c r="D107" s="2804" t="s">
        <v>2709</v>
      </c>
      <c r="E107" s="2830">
        <v>0.15</v>
      </c>
      <c r="F107" s="2830">
        <v>20</v>
      </c>
    </row>
    <row r="108" spans="1:6" ht="13.5">
      <c r="A108" s="2830">
        <v>36</v>
      </c>
      <c r="B108" s="3468"/>
      <c r="C108" s="2830" t="s">
        <v>2710</v>
      </c>
      <c r="D108" s="2804" t="s">
        <v>2711</v>
      </c>
      <c r="E108" s="2830">
        <v>0.15</v>
      </c>
      <c r="F108" s="2830">
        <v>20</v>
      </c>
    </row>
    <row r="109" spans="1:6" ht="13.5">
      <c r="A109" s="2830">
        <v>37</v>
      </c>
      <c r="B109" s="3468"/>
      <c r="C109" s="2830" t="s">
        <v>2712</v>
      </c>
      <c r="D109" s="2804" t="s">
        <v>2713</v>
      </c>
      <c r="E109" s="2830">
        <v>0.15</v>
      </c>
      <c r="F109" s="2830">
        <v>20</v>
      </c>
    </row>
    <row r="110" spans="1:6" ht="13.5">
      <c r="A110" s="2830">
        <v>38</v>
      </c>
      <c r="B110" s="3468"/>
      <c r="C110" s="2830" t="s">
        <v>2714</v>
      </c>
      <c r="D110" s="2804" t="s">
        <v>2715</v>
      </c>
      <c r="E110" s="2830">
        <v>0.1</v>
      </c>
      <c r="F110" s="2830">
        <v>15</v>
      </c>
    </row>
    <row r="111" spans="1:6" ht="24">
      <c r="A111" s="2830">
        <v>39</v>
      </c>
      <c r="B111" s="3468"/>
      <c r="C111" s="2830" t="s">
        <v>2716</v>
      </c>
      <c r="D111" s="2804" t="s">
        <v>2717</v>
      </c>
      <c r="E111" s="2830">
        <v>0.1</v>
      </c>
      <c r="F111" s="2830">
        <v>15</v>
      </c>
    </row>
    <row r="112" spans="1:6" ht="24">
      <c r="A112" s="2830">
        <v>40</v>
      </c>
      <c r="B112" s="3467"/>
      <c r="C112" s="2830" t="s">
        <v>2718</v>
      </c>
      <c r="D112" s="2804" t="s">
        <v>2719</v>
      </c>
      <c r="E112" s="2830">
        <v>0.1</v>
      </c>
      <c r="F112" s="2830">
        <v>15</v>
      </c>
    </row>
    <row r="113" spans="1:6" ht="13.5">
      <c r="A113" s="2830">
        <v>41</v>
      </c>
      <c r="B113" s="3465" t="s">
        <v>2720</v>
      </c>
      <c r="C113" s="2830" t="s">
        <v>2721</v>
      </c>
      <c r="D113" s="2804" t="s">
        <v>2722</v>
      </c>
      <c r="E113" s="2830">
        <v>0.1</v>
      </c>
      <c r="F113" s="2830">
        <v>15</v>
      </c>
    </row>
    <row r="114" spans="1:6" ht="13.5">
      <c r="A114" s="2830">
        <v>42</v>
      </c>
      <c r="B114" s="3465"/>
      <c r="C114" s="2830" t="s">
        <v>2723</v>
      </c>
      <c r="D114" s="2804" t="s">
        <v>2724</v>
      </c>
      <c r="E114" s="2830">
        <v>0.1</v>
      </c>
      <c r="F114" s="2830">
        <v>15</v>
      </c>
    </row>
    <row r="115" spans="1:6" ht="24">
      <c r="A115" s="2830">
        <v>43</v>
      </c>
      <c r="B115" s="3465"/>
      <c r="C115" s="2830" t="s">
        <v>2725</v>
      </c>
      <c r="D115" s="2804" t="s">
        <v>2726</v>
      </c>
      <c r="E115" s="2830">
        <v>0.1</v>
      </c>
      <c r="F115" s="2830">
        <v>15</v>
      </c>
    </row>
    <row r="116" spans="1:6" ht="13.5">
      <c r="A116" s="2830">
        <v>44</v>
      </c>
      <c r="B116" s="3466" t="s">
        <v>2727</v>
      </c>
      <c r="C116" s="2830" t="s">
        <v>2728</v>
      </c>
      <c r="D116" s="2804" t="s">
        <v>2729</v>
      </c>
      <c r="E116" s="2830">
        <v>0.1</v>
      </c>
      <c r="F116" s="2830">
        <v>15</v>
      </c>
    </row>
    <row r="117" spans="1:6" ht="24">
      <c r="A117" s="2830">
        <v>45</v>
      </c>
      <c r="B117" s="3467"/>
      <c r="C117" s="2804" t="s">
        <v>2730</v>
      </c>
      <c r="D117" s="2804" t="s">
        <v>2731</v>
      </c>
      <c r="E117" s="2830">
        <v>0.1</v>
      </c>
      <c r="F117" s="2830">
        <v>15</v>
      </c>
    </row>
    <row r="118" spans="1:6" ht="24">
      <c r="A118" s="2830">
        <v>46</v>
      </c>
      <c r="B118" s="3466" t="s">
        <v>2732</v>
      </c>
      <c r="C118" s="2830" t="s">
        <v>2733</v>
      </c>
      <c r="D118" s="2804" t="s">
        <v>2734</v>
      </c>
      <c r="E118" s="2830">
        <v>0.1</v>
      </c>
      <c r="F118" s="2830">
        <v>15</v>
      </c>
    </row>
    <row r="119" spans="1:6" ht="24">
      <c r="A119" s="2830">
        <v>47</v>
      </c>
      <c r="B119" s="3467"/>
      <c r="C119" s="2830" t="s">
        <v>2735</v>
      </c>
      <c r="D119" s="2804" t="s">
        <v>2736</v>
      </c>
      <c r="E119" s="2830">
        <v>0.1</v>
      </c>
      <c r="F119" s="2830">
        <v>15</v>
      </c>
    </row>
    <row r="120" spans="1:6" ht="13.5">
      <c r="A120" s="2830">
        <v>48</v>
      </c>
      <c r="B120" s="3466" t="s">
        <v>2737</v>
      </c>
      <c r="C120" s="2830" t="s">
        <v>2738</v>
      </c>
      <c r="D120" s="2804" t="s">
        <v>2739</v>
      </c>
      <c r="E120" s="2830">
        <v>0.1</v>
      </c>
      <c r="F120" s="2830">
        <v>15</v>
      </c>
    </row>
    <row r="121" spans="1:6" ht="13.5">
      <c r="A121" s="2830">
        <v>49</v>
      </c>
      <c r="B121" s="3467"/>
      <c r="C121" s="2830" t="s">
        <v>2740</v>
      </c>
      <c r="D121" s="2804" t="s">
        <v>2741</v>
      </c>
      <c r="E121" s="2830">
        <v>0.1</v>
      </c>
      <c r="F121" s="2830">
        <v>15</v>
      </c>
    </row>
    <row r="122" spans="1:6" ht="24">
      <c r="A122" s="2830">
        <v>50</v>
      </c>
      <c r="B122" s="3465" t="s">
        <v>2742</v>
      </c>
      <c r="C122" s="2830" t="s">
        <v>2743</v>
      </c>
      <c r="D122" s="2804" t="s">
        <v>2744</v>
      </c>
      <c r="E122" s="2830">
        <v>0.1</v>
      </c>
      <c r="F122" s="2830">
        <v>15</v>
      </c>
    </row>
    <row r="123" spans="1:6" ht="24">
      <c r="A123" s="2830">
        <v>51</v>
      </c>
      <c r="B123" s="3465"/>
      <c r="C123" s="2830" t="s">
        <v>2745</v>
      </c>
      <c r="D123" s="2804" t="s">
        <v>2746</v>
      </c>
      <c r="E123" s="2830">
        <v>0.1</v>
      </c>
      <c r="F123" s="2830">
        <v>15</v>
      </c>
    </row>
    <row r="124" spans="1:6" ht="24">
      <c r="A124" s="2830">
        <v>52</v>
      </c>
      <c r="B124" s="3465" t="s">
        <v>2747</v>
      </c>
      <c r="C124" s="2830" t="s">
        <v>2748</v>
      </c>
      <c r="D124" s="2804" t="s">
        <v>2749</v>
      </c>
      <c r="E124" s="2830">
        <v>0.1</v>
      </c>
      <c r="F124" s="2830">
        <v>15</v>
      </c>
    </row>
    <row r="125" spans="1:6" ht="24">
      <c r="A125" s="2830">
        <v>53</v>
      </c>
      <c r="B125" s="3465"/>
      <c r="C125" s="2830" t="s">
        <v>2750</v>
      </c>
      <c r="D125" s="2804" t="s">
        <v>2751</v>
      </c>
      <c r="E125" s="2830">
        <v>0.1</v>
      </c>
      <c r="F125" s="2830">
        <v>15</v>
      </c>
    </row>
    <row r="126" spans="1:6" ht="13.5">
      <c r="A126" s="2830">
        <v>54</v>
      </c>
      <c r="B126" s="2830" t="s">
        <v>2752</v>
      </c>
      <c r="C126" s="2830" t="s">
        <v>2753</v>
      </c>
      <c r="D126" s="2804" t="s">
        <v>2754</v>
      </c>
      <c r="E126" s="2830">
        <v>0.1</v>
      </c>
      <c r="F126" s="2830">
        <v>15</v>
      </c>
    </row>
    <row r="127" spans="1:6" ht="13.5">
      <c r="A127" s="2830">
        <v>55</v>
      </c>
      <c r="B127" s="3465" t="s">
        <v>2755</v>
      </c>
      <c r="C127" s="2830" t="s">
        <v>2756</v>
      </c>
      <c r="D127" s="2804" t="s">
        <v>2757</v>
      </c>
      <c r="E127" s="2830">
        <v>0.1</v>
      </c>
      <c r="F127" s="2830">
        <v>15</v>
      </c>
    </row>
    <row r="128" spans="1:6" ht="13.5">
      <c r="A128" s="2830">
        <v>56</v>
      </c>
      <c r="B128" s="3465"/>
      <c r="C128" s="2830" t="s">
        <v>2758</v>
      </c>
      <c r="D128" s="2804" t="s">
        <v>2759</v>
      </c>
      <c r="E128" s="2830">
        <v>0.1</v>
      </c>
      <c r="F128" s="2830">
        <v>15</v>
      </c>
    </row>
    <row r="129" spans="1:6" ht="24">
      <c r="A129" s="2830">
        <v>57</v>
      </c>
      <c r="B129" s="3465"/>
      <c r="C129" s="2830" t="s">
        <v>2760</v>
      </c>
      <c r="D129" s="2804" t="s">
        <v>2761</v>
      </c>
      <c r="E129" s="2830">
        <v>0.1</v>
      </c>
      <c r="F129" s="2830">
        <v>15</v>
      </c>
    </row>
    <row r="130" spans="1:6" ht="24">
      <c r="A130" s="2830">
        <v>58</v>
      </c>
      <c r="B130" s="3465" t="s">
        <v>2762</v>
      </c>
      <c r="C130" s="2830" t="s">
        <v>2763</v>
      </c>
      <c r="D130" s="2804" t="s">
        <v>2764</v>
      </c>
      <c r="E130" s="2830">
        <v>0.1</v>
      </c>
      <c r="F130" s="2830">
        <v>15</v>
      </c>
    </row>
    <row r="131" spans="1:6" ht="13.5">
      <c r="A131" s="2830">
        <v>59</v>
      </c>
      <c r="B131" s="3465"/>
      <c r="C131" s="2830" t="s">
        <v>2765</v>
      </c>
      <c r="D131" s="2804" t="s">
        <v>2766</v>
      </c>
      <c r="E131" s="2830">
        <v>0.1</v>
      </c>
      <c r="F131" s="2830">
        <v>15</v>
      </c>
    </row>
    <row r="132" spans="1:6" ht="13.5">
      <c r="A132" s="2830">
        <v>60</v>
      </c>
      <c r="B132" s="3466" t="s">
        <v>2767</v>
      </c>
      <c r="C132" s="2830" t="s">
        <v>2768</v>
      </c>
      <c r="D132" s="2804" t="s">
        <v>2769</v>
      </c>
      <c r="E132" s="2830">
        <v>0.1</v>
      </c>
      <c r="F132" s="2830">
        <v>15</v>
      </c>
    </row>
    <row r="133" spans="1:6" ht="13.5">
      <c r="A133" s="2830">
        <v>61</v>
      </c>
      <c r="B133" s="3467"/>
      <c r="C133" s="2830" t="s">
        <v>2770</v>
      </c>
      <c r="D133" s="2804" t="s">
        <v>2771</v>
      </c>
      <c r="E133" s="2830">
        <v>0.1</v>
      </c>
      <c r="F133" s="2830">
        <v>15</v>
      </c>
    </row>
    <row r="134" spans="1:6" ht="24">
      <c r="A134" s="2830">
        <v>62</v>
      </c>
      <c r="B134" s="2830" t="s">
        <v>2772</v>
      </c>
      <c r="C134" s="2830" t="s">
        <v>2773</v>
      </c>
      <c r="D134" s="2804" t="s">
        <v>2774</v>
      </c>
      <c r="E134" s="2830">
        <v>0.1</v>
      </c>
      <c r="F134" s="2830">
        <v>15</v>
      </c>
    </row>
    <row r="135" spans="1:6" ht="13.5">
      <c r="A135" s="2830">
        <v>63</v>
      </c>
      <c r="B135" s="3465" t="s">
        <v>2775</v>
      </c>
      <c r="C135" s="2830" t="s">
        <v>2776</v>
      </c>
      <c r="D135" s="2804" t="s">
        <v>2777</v>
      </c>
      <c r="E135" s="2830">
        <v>0.1</v>
      </c>
      <c r="F135" s="2830">
        <v>15</v>
      </c>
    </row>
    <row r="136" spans="1:6" ht="13.5">
      <c r="A136" s="2830">
        <v>64</v>
      </c>
      <c r="B136" s="3465"/>
      <c r="C136" s="2830" t="s">
        <v>2778</v>
      </c>
      <c r="D136" s="2804" t="s">
        <v>2779</v>
      </c>
      <c r="E136" s="2830">
        <v>0.1</v>
      </c>
      <c r="F136" s="2830">
        <v>15</v>
      </c>
    </row>
    <row r="137" spans="1:6" ht="13.5">
      <c r="A137" s="2830">
        <v>65</v>
      </c>
      <c r="B137" s="2830" t="s">
        <v>2780</v>
      </c>
      <c r="C137" s="2830" t="s">
        <v>2781</v>
      </c>
      <c r="D137" s="2804" t="s">
        <v>2782</v>
      </c>
      <c r="E137" s="2830">
        <v>0.1</v>
      </c>
      <c r="F137" s="2830">
        <v>15</v>
      </c>
    </row>
    <row r="138" spans="1:6" ht="13.5">
      <c r="A138" s="2830"/>
      <c r="B138" s="2830"/>
      <c r="C138" s="2830"/>
      <c r="D138" s="2830"/>
      <c r="E138" s="2830" t="s">
        <v>2783</v>
      </c>
      <c r="F138" s="2830"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2784</v>
      </c>
      <c r="B1" s="2838"/>
      <c r="C1" s="2838"/>
      <c r="D1" s="2838"/>
      <c r="E1" s="2838"/>
      <c r="F1" s="2838"/>
      <c r="G1" s="2838"/>
      <c r="H1" s="2838"/>
      <c r="I1" s="2838"/>
      <c r="J1" s="2838"/>
      <c r="K1" s="2838"/>
      <c r="L1" s="2838"/>
      <c r="M1" s="2838"/>
      <c r="N1" s="689"/>
    </row>
    <row r="2" spans="1:20">
      <c r="A2" s="2839" t="s">
        <v>2785</v>
      </c>
      <c r="B2" s="2840" t="s">
        <v>2581</v>
      </c>
      <c r="C2" s="2840" t="s">
        <v>2582</v>
      </c>
      <c r="D2" s="2840" t="s">
        <v>2583</v>
      </c>
      <c r="E2" s="2840" t="s">
        <v>2584</v>
      </c>
      <c r="F2" s="2840" t="s">
        <v>2585</v>
      </c>
      <c r="G2" s="2840" t="s">
        <v>2586</v>
      </c>
      <c r="H2" s="2841" t="s">
        <v>2587</v>
      </c>
      <c r="I2" s="2841" t="s">
        <v>2588</v>
      </c>
      <c r="J2" s="2842" t="s">
        <v>2589</v>
      </c>
      <c r="K2" s="2842" t="s">
        <v>2590</v>
      </c>
      <c r="L2" s="2842" t="s">
        <v>2591</v>
      </c>
      <c r="M2" s="2843" t="s">
        <v>2592</v>
      </c>
      <c r="Q2" s="2853" t="s">
        <v>2790</v>
      </c>
      <c r="R2" s="2853" t="s">
        <v>2791</v>
      </c>
      <c r="S2" s="2853" t="s">
        <v>2792</v>
      </c>
      <c r="T2" s="2853" t="s">
        <v>2793</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2786</v>
      </c>
      <c r="B93" s="2838"/>
      <c r="C93" s="2838"/>
      <c r="D93" s="2838"/>
      <c r="E93" s="2838"/>
      <c r="F93" s="2838"/>
      <c r="G93" s="2838"/>
      <c r="H93" s="2838"/>
      <c r="I93" s="2838"/>
      <c r="J93" s="2838"/>
      <c r="K93" s="2838"/>
      <c r="L93" s="2838"/>
      <c r="M93" s="2838"/>
    </row>
    <row r="94" spans="1:20">
      <c r="A94" s="2839" t="s">
        <v>2785</v>
      </c>
      <c r="B94" s="2840" t="s">
        <v>2581</v>
      </c>
      <c r="C94" s="2840" t="s">
        <v>2582</v>
      </c>
      <c r="D94" s="2840" t="s">
        <v>2583</v>
      </c>
      <c r="E94" s="2840" t="s">
        <v>2584</v>
      </c>
      <c r="F94" s="2840" t="s">
        <v>2585</v>
      </c>
      <c r="G94" s="2840" t="s">
        <v>2586</v>
      </c>
      <c r="H94" s="2841" t="s">
        <v>2587</v>
      </c>
      <c r="I94" s="2841" t="s">
        <v>2588</v>
      </c>
      <c r="J94" s="2842" t="s">
        <v>2589</v>
      </c>
      <c r="K94" s="2842" t="s">
        <v>2590</v>
      </c>
      <c r="L94" s="2842" t="s">
        <v>2591</v>
      </c>
      <c r="M94" s="2843" t="s">
        <v>2592</v>
      </c>
      <c r="N94">
        <f>SUMPRODUCT((A95:A184=ROUNDDOWN(基准地价修正!G3,1))*(B94:M94=基准地价修正!G2)*(B95:M184))</f>
        <v>0</v>
      </c>
      <c r="Q94" s="2853" t="s">
        <v>2790</v>
      </c>
      <c r="R94" s="2853" t="s">
        <v>2791</v>
      </c>
      <c r="S94" s="2853" t="s">
        <v>2792</v>
      </c>
      <c r="T94" s="2853" t="s">
        <v>2793</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2787</v>
      </c>
      <c r="B185" s="2838"/>
      <c r="C185" s="2838"/>
      <c r="D185" s="2838"/>
      <c r="E185" s="2838"/>
      <c r="F185" s="2838"/>
      <c r="G185" s="2838"/>
      <c r="H185" s="2838"/>
      <c r="I185" s="2838"/>
      <c r="J185" s="2838"/>
      <c r="K185" s="2838"/>
      <c r="L185" s="2838"/>
      <c r="M185" s="2838"/>
    </row>
    <row r="186" spans="1:20">
      <c r="A186" s="2839" t="s">
        <v>2785</v>
      </c>
      <c r="B186" s="2840" t="s">
        <v>2581</v>
      </c>
      <c r="C186" s="2840" t="s">
        <v>2582</v>
      </c>
      <c r="D186" s="2840" t="s">
        <v>2583</v>
      </c>
      <c r="E186" s="2840" t="s">
        <v>2584</v>
      </c>
      <c r="F186" s="2840" t="s">
        <v>2585</v>
      </c>
      <c r="G186" s="2840" t="s">
        <v>2586</v>
      </c>
      <c r="H186" s="2841" t="s">
        <v>2587</v>
      </c>
      <c r="I186" s="2841" t="s">
        <v>2588</v>
      </c>
      <c r="J186" s="2842" t="s">
        <v>2589</v>
      </c>
      <c r="K186" s="2842" t="s">
        <v>2590</v>
      </c>
      <c r="L186" s="2842" t="s">
        <v>2591</v>
      </c>
      <c r="M186" s="2843" t="s">
        <v>2592</v>
      </c>
      <c r="Q186" s="2853" t="s">
        <v>2790</v>
      </c>
      <c r="R186" s="2853" t="s">
        <v>2791</v>
      </c>
      <c r="S186" s="2853" t="s">
        <v>2792</v>
      </c>
      <c r="T186" s="2853" t="s">
        <v>2793</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2788</v>
      </c>
      <c r="B277" s="2838"/>
      <c r="C277" s="2838"/>
      <c r="D277" s="2838"/>
      <c r="E277" s="2838"/>
      <c r="F277" s="2838"/>
      <c r="G277" s="2838"/>
      <c r="H277" s="2838"/>
      <c r="I277" s="2838"/>
      <c r="J277" s="2838"/>
      <c r="K277" s="2838"/>
      <c r="L277" s="2838"/>
      <c r="M277" s="2838"/>
    </row>
    <row r="278" spans="1:21">
      <c r="A278" s="2839" t="s">
        <v>2785</v>
      </c>
      <c r="B278" s="2840" t="s">
        <v>2581</v>
      </c>
      <c r="C278" s="2840" t="s">
        <v>2582</v>
      </c>
      <c r="D278" s="2840" t="s">
        <v>2583</v>
      </c>
      <c r="E278" s="2840" t="s">
        <v>2584</v>
      </c>
      <c r="F278" s="2840" t="s">
        <v>2585</v>
      </c>
      <c r="G278" s="2840" t="s">
        <v>2586</v>
      </c>
      <c r="H278" s="2841" t="s">
        <v>2587</v>
      </c>
      <c r="I278" s="2841" t="s">
        <v>2588</v>
      </c>
      <c r="J278" s="2842" t="s">
        <v>2589</v>
      </c>
      <c r="K278" s="2842" t="s">
        <v>2590</v>
      </c>
      <c r="L278" s="2842" t="s">
        <v>2591</v>
      </c>
      <c r="M278" s="2843" t="s">
        <v>2592</v>
      </c>
      <c r="Q278" s="2853" t="s">
        <v>2790</v>
      </c>
      <c r="R278" s="2853" t="s">
        <v>2791</v>
      </c>
      <c r="S278" s="2853" t="s">
        <v>2794</v>
      </c>
      <c r="T278" s="2853" t="s">
        <v>2795</v>
      </c>
      <c r="U278" s="2853" t="s">
        <v>2793</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2789</v>
      </c>
      <c r="B369" s="2851"/>
      <c r="C369" s="2851"/>
      <c r="D369" s="2851"/>
      <c r="E369" s="2851"/>
      <c r="F369" s="2851"/>
      <c r="G369" s="2851"/>
      <c r="H369" s="2851"/>
      <c r="I369" s="2851"/>
      <c r="J369" s="2851"/>
      <c r="K369" s="2851"/>
      <c r="L369" s="2851"/>
      <c r="M369" s="2851"/>
    </row>
    <row r="370" spans="1:20">
      <c r="A370" s="2839" t="s">
        <v>2785</v>
      </c>
      <c r="B370" s="2840" t="s">
        <v>2581</v>
      </c>
      <c r="C370" s="2840" t="s">
        <v>2582</v>
      </c>
      <c r="D370" s="2840" t="s">
        <v>2583</v>
      </c>
      <c r="E370" s="2840" t="s">
        <v>2584</v>
      </c>
      <c r="F370" s="2840" t="s">
        <v>2585</v>
      </c>
      <c r="G370" s="2840" t="s">
        <v>2586</v>
      </c>
      <c r="H370" s="2841" t="s">
        <v>2587</v>
      </c>
      <c r="I370" s="2841" t="s">
        <v>2588</v>
      </c>
      <c r="J370" s="2842" t="s">
        <v>2589</v>
      </c>
      <c r="K370" s="2842" t="s">
        <v>2590</v>
      </c>
      <c r="L370" s="2842" t="s">
        <v>2591</v>
      </c>
      <c r="M370" s="2843" t="s">
        <v>2592</v>
      </c>
      <c r="N370">
        <f>SUMPRODUCT((A371:A460=ROUNDDOWN(基准地价修正!G3,1))*(B370:M370=基准地价修正!G2)*(B371:M460))</f>
        <v>0</v>
      </c>
      <c r="Q370" s="2853" t="s">
        <v>2790</v>
      </c>
      <c r="R370" s="2853" t="s">
        <v>2791</v>
      </c>
      <c r="S370" s="2853" t="s">
        <v>2792</v>
      </c>
      <c r="T370" s="2853" t="s">
        <v>2793</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29949</v>
      </c>
      <c r="C2" s="2" t="s">
        <v>106</v>
      </c>
      <c r="D2" s="185"/>
      <c r="E2" s="185"/>
      <c r="F2" s="185"/>
      <c r="G2" s="185"/>
    </row>
    <row r="3" spans="1:7" s="186" customFormat="1" ht="18" customHeight="1" thickBot="1">
      <c r="A3" s="189" t="s">
        <v>58</v>
      </c>
      <c r="B3" s="190">
        <f ca="1">ROUND(B2*10000/'数据-汇总表'!E3,0)</f>
        <v>84792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150</v>
      </c>
      <c r="F9" s="207"/>
      <c r="G9" s="212"/>
    </row>
    <row r="10" spans="1:7" s="200" customFormat="1" ht="13.5" customHeight="1">
      <c r="A10" s="715" t="s">
        <v>356</v>
      </c>
      <c r="B10" s="210" t="s">
        <v>67</v>
      </c>
      <c r="C10" s="211">
        <f>ROUND(D10*E10/10000,0)</f>
        <v>67</v>
      </c>
      <c r="D10" s="777">
        <f>'数据-汇总表'!E6</f>
        <v>3532.0600000000004</v>
      </c>
      <c r="E10" s="211">
        <f>'数据-取费表'!B28</f>
        <v>190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71</v>
      </c>
      <c r="D19" s="198">
        <f>'数据-汇总表'!E3</f>
        <v>3532.0600000000004</v>
      </c>
      <c r="E19" s="197">
        <f>'数据-取费表'!B31</f>
        <v>200</v>
      </c>
      <c r="F19" s="217"/>
      <c r="G19" s="1" t="s">
        <v>436</v>
      </c>
    </row>
    <row r="20" spans="1:7" s="200" customFormat="1" ht="13.5" customHeight="1">
      <c r="A20" s="713" t="s">
        <v>419</v>
      </c>
      <c r="B20" s="196" t="s">
        <v>77</v>
      </c>
      <c r="C20" s="218">
        <f>ROUND((C5+C19)*F20,0)</f>
        <v>414</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1315</v>
      </c>
      <c r="D22" s="221">
        <f ca="1">C26</f>
        <v>5.9999999999999995E-4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1298</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4</v>
      </c>
      <c r="D24" s="224"/>
      <c r="E24" s="224"/>
      <c r="F24" s="225"/>
      <c r="G24" s="226" t="s">
        <v>82</v>
      </c>
    </row>
    <row r="25" spans="1:7" s="200" customFormat="1" ht="24">
      <c r="A25" s="716" t="s">
        <v>348</v>
      </c>
      <c r="B25" s="201" t="s">
        <v>420</v>
      </c>
      <c r="C25" s="1020">
        <f ca="1">ROUND(IF('数据-取费表'!B22&lt;=1,C20*F22*'数据-取费表'!B23/2,C20*(POWER((1+F22),'数据-取费表'!B23/2)-1)),0)</f>
        <v>13</v>
      </c>
      <c r="D25" s="224"/>
      <c r="E25" s="227"/>
      <c r="F25" s="225"/>
      <c r="G25" s="228" t="s">
        <v>83</v>
      </c>
    </row>
    <row r="26" spans="1:7" s="200" customFormat="1">
      <c r="A26" s="716" t="s">
        <v>350</v>
      </c>
      <c r="B26" s="201" t="s">
        <v>422</v>
      </c>
      <c r="C26" s="224">
        <f ca="1">ROUND(IF('数据-取费表'!B22&lt;=1,F21*F22*'数据-取费表'!B23/2,F21*(POWER((1+F22),'数据-取费表'!B23/2)-1)),4)</f>
        <v>5.9999999999999995E-4</v>
      </c>
      <c r="D26" s="224"/>
      <c r="E26" s="227"/>
      <c r="F26" s="225"/>
      <c r="G26" s="229"/>
    </row>
    <row r="27" spans="1:7" s="200" customFormat="1" ht="24.75">
      <c r="A27" s="713" t="s">
        <v>342</v>
      </c>
      <c r="B27" s="230" t="s">
        <v>85</v>
      </c>
      <c r="C27" s="231">
        <f>C28</f>
        <v>3164</v>
      </c>
      <c r="D27" s="221">
        <f>C29</f>
        <v>3.0000000000000001E-3</v>
      </c>
      <c r="E27" s="222" t="s">
        <v>99</v>
      </c>
      <c r="F27" s="232">
        <f>'数据-取费表'!Q16</f>
        <v>0.15</v>
      </c>
      <c r="G27" s="233" t="s">
        <v>431</v>
      </c>
    </row>
    <row r="28" spans="1:7" s="200" customFormat="1" ht="13.5" customHeight="1">
      <c r="A28" s="716" t="s">
        <v>349</v>
      </c>
      <c r="B28" s="234" t="s">
        <v>424</v>
      </c>
      <c r="C28" s="235">
        <f>ROUND((C5+C19+C20)*F27*'数据-取费表'!B21/'数据-取费表'!B20,0)</f>
        <v>3164</v>
      </c>
      <c r="D28" s="221"/>
      <c r="E28" s="222"/>
      <c r="F28" s="232"/>
      <c r="G28" s="233"/>
    </row>
    <row r="29" spans="1:7" s="200" customFormat="1" ht="13.5" customHeight="1">
      <c r="A29" s="716" t="s">
        <v>347</v>
      </c>
      <c r="B29" s="234" t="s">
        <v>425</v>
      </c>
      <c r="C29" s="224">
        <f>ROUND(C21*F27*'数据-取费表'!B21/'数据-取费表'!B20,4)</f>
        <v>3.0000000000000001E-3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27705</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1773</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1590</v>
      </c>
      <c r="D34" s="203"/>
      <c r="E34" s="206"/>
      <c r="F34" s="243">
        <f>IF('数据-取费表'!B24=0,1,'数据-取费表'!N16)</f>
        <v>1</v>
      </c>
      <c r="G34" s="205" t="s">
        <v>89</v>
      </c>
    </row>
    <row r="35" spans="1:7" ht="13.5" customHeight="1">
      <c r="A35" s="716" t="s">
        <v>351</v>
      </c>
      <c r="B35" s="201" t="s">
        <v>33</v>
      </c>
      <c r="C35" s="206">
        <f>ROUND(C34*F35,0)</f>
        <v>80</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71</v>
      </c>
      <c r="D37" s="203">
        <f>'数据-汇总表'!E3</f>
        <v>3532.0600000000004</v>
      </c>
      <c r="E37" s="235">
        <f>'数据-取费表'!B35</f>
        <v>200</v>
      </c>
      <c r="F37" s="245"/>
      <c r="G37" s="247" t="s">
        <v>92</v>
      </c>
    </row>
    <row r="38" spans="1:7" ht="13.5" customHeight="1">
      <c r="A38" s="716" t="s">
        <v>354</v>
      </c>
      <c r="B38" s="201" t="s">
        <v>36</v>
      </c>
      <c r="C38" s="206">
        <f>ROUND(C34*F38,0)</f>
        <v>32</v>
      </c>
      <c r="D38" s="206"/>
      <c r="E38" s="206"/>
      <c r="F38" s="245">
        <f>'数据-取费表'!B36</f>
        <v>0.02</v>
      </c>
      <c r="G38" s="205" t="s">
        <v>90</v>
      </c>
    </row>
    <row r="39" spans="1:7" s="200" customFormat="1" ht="13.5" customHeight="1">
      <c r="A39" s="713" t="s">
        <v>338</v>
      </c>
      <c r="B39" s="196" t="s">
        <v>77</v>
      </c>
      <c r="C39" s="218">
        <f>ROUND(C33*F20,0)</f>
        <v>35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56</v>
      </c>
      <c r="D41" s="221">
        <f ca="1">C44</f>
        <v>5.9999999999999995E-4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55</v>
      </c>
      <c r="D42" s="224"/>
      <c r="E42" s="224"/>
      <c r="F42" s="225"/>
      <c r="G42" s="3336" t="s">
        <v>94</v>
      </c>
    </row>
    <row r="43" spans="1:7" ht="13.5" customHeight="1">
      <c r="A43" s="716" t="s">
        <v>347</v>
      </c>
      <c r="B43" s="201" t="s">
        <v>426</v>
      </c>
      <c r="C43" s="224">
        <f ca="1">ROUND(IF('数据-取费表'!B22&lt;=1,C39*F22*'数据-取费表'!B21/2,C39*(POWER((1+F22),'数据-取费表'!B21/2)-1)),0)</f>
        <v>1</v>
      </c>
      <c r="D43" s="224"/>
      <c r="E43" s="224"/>
      <c r="F43" s="225"/>
      <c r="G43" s="3337"/>
    </row>
    <row r="44" spans="1:7" ht="13.5" customHeight="1">
      <c r="A44" s="716" t="s">
        <v>348</v>
      </c>
      <c r="B44" s="201" t="s">
        <v>428</v>
      </c>
      <c r="C44" s="224">
        <f ca="1">ROUND(IF('数据-取费表'!B22&lt;=1,C40*F22*'数据-取费表'!B21/2,C40*(POWER((1+F22),'数据-取费表'!B21/2)-1)),4)</f>
        <v>5.9999999999999995E-4</v>
      </c>
      <c r="D44" s="224"/>
      <c r="E44" s="224"/>
      <c r="F44" s="225"/>
      <c r="G44" s="3338"/>
    </row>
    <row r="45" spans="1:7" s="200" customFormat="1" ht="13.5" customHeight="1">
      <c r="A45" s="713" t="s">
        <v>341</v>
      </c>
      <c r="B45" s="230" t="s">
        <v>85</v>
      </c>
      <c r="C45" s="231">
        <f>C46</f>
        <v>271</v>
      </c>
      <c r="D45" s="221">
        <f>C47</f>
        <v>3.0000000000000001E-3</v>
      </c>
      <c r="E45" s="222" t="s">
        <v>102</v>
      </c>
      <c r="F45" s="232"/>
      <c r="G45" s="233" t="s">
        <v>434</v>
      </c>
    </row>
    <row r="46" spans="1:7" s="200" customFormat="1" ht="13.5" customHeight="1">
      <c r="A46" s="716" t="s">
        <v>349</v>
      </c>
      <c r="B46" s="234" t="s">
        <v>427</v>
      </c>
      <c r="C46" s="235">
        <f>ROUND((C33+C39)*F27,0)</f>
        <v>271</v>
      </c>
      <c r="D46" s="249"/>
      <c r="E46" s="222"/>
      <c r="F46" s="232"/>
      <c r="G46" s="233"/>
    </row>
    <row r="47" spans="1:7" s="200" customFormat="1" ht="13.5" customHeight="1">
      <c r="A47" s="716" t="s">
        <v>347</v>
      </c>
      <c r="B47" s="234" t="s">
        <v>429</v>
      </c>
      <c r="C47" s="224">
        <f>ROUND(C40*F27,4)</f>
        <v>3.0000000000000001E-3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2313</v>
      </c>
      <c r="D49" s="218"/>
      <c r="E49" s="218"/>
      <c r="F49" s="250"/>
      <c r="G49" s="220" t="s">
        <v>435</v>
      </c>
    </row>
    <row r="50" spans="1:7" s="244" customFormat="1" ht="24">
      <c r="A50" s="713" t="s">
        <v>344</v>
      </c>
      <c r="B50" s="196" t="s">
        <v>97</v>
      </c>
      <c r="C50" s="218"/>
      <c r="D50" s="218"/>
      <c r="E50" s="218"/>
      <c r="F50" s="250">
        <f>IF('数据-取费表'!B24=0,'数据-取费表'!N16,1)</f>
        <v>0.97</v>
      </c>
      <c r="G50" s="233" t="s">
        <v>98</v>
      </c>
    </row>
    <row r="51" spans="1:7" ht="16.5" customHeight="1">
      <c r="A51" s="713" t="s">
        <v>345</v>
      </c>
      <c r="B51" s="196" t="s">
        <v>105</v>
      </c>
      <c r="C51" s="218">
        <f ca="1">ROUND(C49*F50,0)</f>
        <v>2244</v>
      </c>
      <c r="D51" s="218"/>
      <c r="E51" s="218"/>
      <c r="F51" s="250"/>
      <c r="G51" s="220" t="s">
        <v>37</v>
      </c>
    </row>
    <row r="52" spans="1:7" s="194" customFormat="1" ht="16.5" thickBot="1">
      <c r="A52" s="251" t="s">
        <v>38</v>
      </c>
      <c r="B52" s="252"/>
      <c r="C52" s="253">
        <f ca="1">C31+C51</f>
        <v>29949</v>
      </c>
      <c r="D52" s="252"/>
      <c r="E52" s="252"/>
      <c r="F52" s="252"/>
      <c r="G52" s="254"/>
    </row>
    <row r="55" spans="1:7" ht="15">
      <c r="B55" s="256" t="s">
        <v>39</v>
      </c>
      <c r="C55" s="257"/>
    </row>
    <row r="56" spans="1:7">
      <c r="B56" s="259" t="s">
        <v>40</v>
      </c>
      <c r="C56" s="260">
        <f ca="1">ROUND(C51/C52,3)</f>
        <v>7.4999999999999997E-2</v>
      </c>
    </row>
    <row r="57" spans="1:7">
      <c r="B57" s="259" t="s">
        <v>41</v>
      </c>
      <c r="C57" s="261">
        <f ca="1">1-C56</f>
        <v>0.92500000000000004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20" sqref="H20"/>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79" t="s">
        <v>2825</v>
      </c>
      <c r="B1" s="3479"/>
      <c r="C1" s="3479"/>
      <c r="D1" s="3479"/>
      <c r="E1" s="3479"/>
      <c r="F1" s="3479"/>
      <c r="G1" s="3480"/>
      <c r="I1" s="2911" t="s">
        <v>2826</v>
      </c>
      <c r="J1" s="2912" t="s">
        <v>2827</v>
      </c>
      <c r="K1" s="2912" t="s">
        <v>2828</v>
      </c>
      <c r="L1" s="2912" t="s">
        <v>2829</v>
      </c>
      <c r="M1" s="2912" t="s">
        <v>2830</v>
      </c>
      <c r="N1" s="2912" t="s">
        <v>2831</v>
      </c>
      <c r="O1" s="2912" t="s">
        <v>2832</v>
      </c>
      <c r="P1" s="2912" t="s">
        <v>2833</v>
      </c>
      <c r="Q1" s="2912" t="s">
        <v>2834</v>
      </c>
      <c r="R1" s="2912" t="s">
        <v>2835</v>
      </c>
      <c r="S1" s="2912" t="s">
        <v>2836</v>
      </c>
      <c r="T1" s="2913" t="s">
        <v>2837</v>
      </c>
    </row>
    <row r="2" spans="1:20" ht="12" thickBot="1">
      <c r="A2" s="2914" t="s">
        <v>2838</v>
      </c>
      <c r="B2" s="2914"/>
      <c r="C2" s="2914"/>
      <c r="D2" s="2914"/>
      <c r="E2" s="2914"/>
      <c r="F2" s="2914"/>
      <c r="G2" s="2915" t="s">
        <v>2839</v>
      </c>
      <c r="I2" s="2916" t="s">
        <v>2840</v>
      </c>
      <c r="J2" s="2916" t="s">
        <v>2841</v>
      </c>
      <c r="K2" s="2916" t="s">
        <v>2842</v>
      </c>
      <c r="L2" s="2916" t="s">
        <v>2843</v>
      </c>
      <c r="M2" s="2916" t="s">
        <v>2844</v>
      </c>
      <c r="N2" s="2916" t="s">
        <v>2845</v>
      </c>
      <c r="O2" s="2916" t="s">
        <v>2846</v>
      </c>
      <c r="P2" s="2916" t="s">
        <v>2847</v>
      </c>
      <c r="Q2" s="2916" t="s">
        <v>2848</v>
      </c>
      <c r="R2" s="2916" t="s">
        <v>2849</v>
      </c>
      <c r="S2" s="2916" t="s">
        <v>2850</v>
      </c>
      <c r="T2" s="2916" t="s">
        <v>2851</v>
      </c>
    </row>
    <row r="3" spans="1:20" s="2922" customFormat="1">
      <c r="A3" s="3477" t="s">
        <v>2852</v>
      </c>
      <c r="B3" s="2917"/>
      <c r="C3" s="2918" t="s">
        <v>2797</v>
      </c>
      <c r="D3" s="2918" t="s">
        <v>2853</v>
      </c>
      <c r="E3" s="2918" t="s">
        <v>2799</v>
      </c>
      <c r="F3" s="2918" t="s">
        <v>2854</v>
      </c>
      <c r="G3" s="2918" t="s">
        <v>2617</v>
      </c>
      <c r="H3" s="2919"/>
      <c r="I3" s="2920" t="s">
        <v>2855</v>
      </c>
      <c r="J3" s="2921" t="s">
        <v>128</v>
      </c>
      <c r="K3" s="2921" t="s">
        <v>129</v>
      </c>
      <c r="L3" s="2920" t="s">
        <v>130</v>
      </c>
      <c r="M3" s="2920" t="s">
        <v>131</v>
      </c>
      <c r="N3" s="2920" t="s">
        <v>132</v>
      </c>
      <c r="O3" s="2920" t="s">
        <v>133</v>
      </c>
      <c r="P3" s="2920" t="s">
        <v>134</v>
      </c>
      <c r="Q3" s="2920" t="s">
        <v>135</v>
      </c>
      <c r="R3" s="2920" t="s">
        <v>136</v>
      </c>
      <c r="S3" s="2920" t="s">
        <v>2856</v>
      </c>
      <c r="T3" s="2920" t="s">
        <v>2857</v>
      </c>
    </row>
    <row r="4" spans="1:20" s="2922" customFormat="1" ht="12" thickBot="1">
      <c r="A4" s="3478"/>
      <c r="B4" s="2923" t="s">
        <v>2858</v>
      </c>
      <c r="C4" s="2923" t="s">
        <v>2859</v>
      </c>
      <c r="D4" s="2923" t="s">
        <v>2859</v>
      </c>
      <c r="E4" s="2923" t="s">
        <v>2859</v>
      </c>
      <c r="F4" s="2924" t="s">
        <v>2859</v>
      </c>
      <c r="G4" s="2924" t="s">
        <v>2859</v>
      </c>
      <c r="H4" s="2919"/>
      <c r="I4" s="2921" t="s">
        <v>137</v>
      </c>
      <c r="J4" s="2921" t="s">
        <v>111</v>
      </c>
      <c r="K4" s="2921" t="s">
        <v>138</v>
      </c>
      <c r="L4" s="2920" t="s">
        <v>139</v>
      </c>
      <c r="M4" s="2920" t="s">
        <v>140</v>
      </c>
      <c r="N4" s="2920" t="s">
        <v>141</v>
      </c>
      <c r="O4" s="2920" t="s">
        <v>142</v>
      </c>
      <c r="P4" s="2920" t="s">
        <v>143</v>
      </c>
      <c r="Q4" s="2920" t="s">
        <v>2860</v>
      </c>
      <c r="R4" s="2920" t="s">
        <v>2861</v>
      </c>
      <c r="S4" s="2920" t="s">
        <v>2862</v>
      </c>
      <c r="T4" s="2920" t="s">
        <v>2863</v>
      </c>
    </row>
    <row r="5" spans="1:20">
      <c r="A5" s="2925" t="s">
        <v>2826</v>
      </c>
      <c r="B5" s="2916" t="s">
        <v>2840</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2864</v>
      </c>
      <c r="R5" s="2920" t="s">
        <v>2865</v>
      </c>
      <c r="S5" s="2920" t="s">
        <v>153</v>
      </c>
      <c r="T5" s="2920" t="s">
        <v>2866</v>
      </c>
    </row>
    <row r="6" spans="1:20" ht="12" thickBot="1">
      <c r="A6" s="2920" t="s">
        <v>144</v>
      </c>
      <c r="B6" s="2920" t="s">
        <v>2855</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2867</v>
      </c>
      <c r="Q6" s="2920" t="s">
        <v>2868</v>
      </c>
      <c r="R6" s="2920" t="s">
        <v>161</v>
      </c>
      <c r="S6" s="2920" t="s">
        <v>2869</v>
      </c>
      <c r="T6" s="2920" t="s">
        <v>2870</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2871</v>
      </c>
      <c r="Q7" s="2920" t="s">
        <v>2872</v>
      </c>
      <c r="R7" s="2920" t="s">
        <v>2873</v>
      </c>
      <c r="S7" s="2920" t="s">
        <v>2874</v>
      </c>
      <c r="T7" s="2920" t="s">
        <v>2875</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2876</v>
      </c>
      <c r="Q8" s="2920" t="s">
        <v>174</v>
      </c>
      <c r="R8" s="2920" t="s">
        <v>2877</v>
      </c>
      <c r="S8" s="2920" t="s">
        <v>2878</v>
      </c>
      <c r="T8" s="2927" t="s">
        <v>2879</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2880</v>
      </c>
      <c r="Q9" s="2920" t="s">
        <v>182</v>
      </c>
      <c r="R9" s="2920" t="s">
        <v>183</v>
      </c>
      <c r="S9" s="2920" t="s">
        <v>200</v>
      </c>
    </row>
    <row r="10" spans="1:20">
      <c r="A10" s="2925" t="s">
        <v>184</v>
      </c>
      <c r="B10" s="2916" t="s">
        <v>2841</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2881</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2882</v>
      </c>
      <c r="P11" s="2920" t="s">
        <v>191</v>
      </c>
      <c r="Q11" s="2920" t="s">
        <v>199</v>
      </c>
      <c r="R11" s="2920" t="s">
        <v>2883</v>
      </c>
      <c r="S11" s="2920" t="s">
        <v>2884</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2885</v>
      </c>
      <c r="P12" s="2920" t="s">
        <v>2886</v>
      </c>
      <c r="Q12" s="2920" t="s">
        <v>2887</v>
      </c>
      <c r="R12" s="2920" t="s">
        <v>2888</v>
      </c>
      <c r="S12" s="2920" t="s">
        <v>2889</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2890</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2891</v>
      </c>
      <c r="K14" s="2921" t="s">
        <v>215</v>
      </c>
      <c r="L14" s="2920" t="s">
        <v>216</v>
      </c>
      <c r="M14" s="2920" t="s">
        <v>217</v>
      </c>
      <c r="N14" s="2920" t="s">
        <v>218</v>
      </c>
      <c r="O14" s="2920" t="s">
        <v>240</v>
      </c>
      <c r="P14" s="2920" t="s">
        <v>213</v>
      </c>
      <c r="Q14" s="2920" t="s">
        <v>2892</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2893</v>
      </c>
      <c r="P15" s="2920" t="s">
        <v>2894</v>
      </c>
      <c r="Q15" s="2920" t="s">
        <v>242</v>
      </c>
      <c r="R15" s="2920" t="s">
        <v>2895</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2896</v>
      </c>
      <c r="P16" s="2920" t="s">
        <v>227</v>
      </c>
      <c r="Q16" s="2920" t="s">
        <v>250</v>
      </c>
      <c r="R16" s="2920" t="s">
        <v>207</v>
      </c>
      <c r="S16" s="2920" t="s">
        <v>2897</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2898</v>
      </c>
      <c r="P17" s="2920" t="s">
        <v>2899</v>
      </c>
      <c r="Q17" s="2920" t="s">
        <v>256</v>
      </c>
      <c r="R17" s="2920" t="s">
        <v>2900</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2901</v>
      </c>
      <c r="P18" s="2920" t="s">
        <v>241</v>
      </c>
      <c r="Q18" s="2920" t="s">
        <v>2902</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2903</v>
      </c>
      <c r="P19" s="2920" t="s">
        <v>249</v>
      </c>
      <c r="Q19" s="2920" t="s">
        <v>2904</v>
      </c>
      <c r="R19" s="2920" t="s">
        <v>265</v>
      </c>
      <c r="S19" s="2920" t="s">
        <v>2905</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2906</v>
      </c>
      <c r="P20" s="2920" t="s">
        <v>2907</v>
      </c>
      <c r="Q20" s="2920" t="s">
        <v>290</v>
      </c>
      <c r="R20" s="2920" t="s">
        <v>2908</v>
      </c>
      <c r="S20" s="2920" t="s">
        <v>277</v>
      </c>
    </row>
    <row r="21" spans="1:19" ht="14.25" customHeight="1" thickBot="1">
      <c r="A21" s="2920" t="s">
        <v>184</v>
      </c>
      <c r="B21" s="2921" t="s">
        <v>208</v>
      </c>
      <c r="C21" s="2920">
        <v>32370</v>
      </c>
      <c r="D21" s="2920">
        <v>26730</v>
      </c>
      <c r="E21" s="2920">
        <v>26640</v>
      </c>
      <c r="F21" s="2920"/>
      <c r="G21" s="2920">
        <v>19440</v>
      </c>
      <c r="J21" s="2927" t="s">
        <v>2909</v>
      </c>
      <c r="K21" s="2921" t="s">
        <v>267</v>
      </c>
      <c r="L21" s="2920" t="s">
        <v>268</v>
      </c>
      <c r="M21" s="2920" t="s">
        <v>269</v>
      </c>
      <c r="N21" s="2920" t="s">
        <v>270</v>
      </c>
      <c r="O21" s="2920" t="s">
        <v>264</v>
      </c>
      <c r="P21" s="2920" t="s">
        <v>283</v>
      </c>
      <c r="Q21" s="2920" t="s">
        <v>293</v>
      </c>
      <c r="R21" s="2920" t="s">
        <v>2910</v>
      </c>
      <c r="S21" s="2927" t="s">
        <v>2911</v>
      </c>
    </row>
    <row r="22" spans="1:19" ht="14.25" customHeight="1">
      <c r="A22" s="2920" t="s">
        <v>184</v>
      </c>
      <c r="B22" s="2921" t="s">
        <v>2891</v>
      </c>
      <c r="C22" s="2920">
        <v>29830</v>
      </c>
      <c r="D22" s="2920">
        <v>27600</v>
      </c>
      <c r="E22" s="2920">
        <v>28150</v>
      </c>
      <c r="F22" s="2920"/>
      <c r="G22" s="2920">
        <v>20080</v>
      </c>
      <c r="K22" s="2921" t="s">
        <v>2912</v>
      </c>
      <c r="L22" s="2920" t="s">
        <v>272</v>
      </c>
      <c r="M22" s="2920" t="s">
        <v>273</v>
      </c>
      <c r="N22" s="2920" t="s">
        <v>274</v>
      </c>
      <c r="O22" s="2920" t="s">
        <v>2913</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2914</v>
      </c>
      <c r="L23" s="2920" t="s">
        <v>278</v>
      </c>
      <c r="M23" s="2920" t="s">
        <v>279</v>
      </c>
      <c r="N23" s="2920" t="s">
        <v>2915</v>
      </c>
      <c r="O23" s="2920" t="s">
        <v>2916</v>
      </c>
      <c r="P23" s="2920" t="s">
        <v>289</v>
      </c>
      <c r="Q23" s="2920" t="s">
        <v>298</v>
      </c>
      <c r="R23" s="2920" t="s">
        <v>2917</v>
      </c>
    </row>
    <row r="24" spans="1:19" ht="14.25" customHeight="1">
      <c r="A24" s="2920" t="s">
        <v>184</v>
      </c>
      <c r="B24" s="2921" t="s">
        <v>230</v>
      </c>
      <c r="C24" s="2920">
        <v>27930</v>
      </c>
      <c r="D24" s="2920">
        <v>32260</v>
      </c>
      <c r="E24" s="2920">
        <v>32120</v>
      </c>
      <c r="F24" s="2920"/>
      <c r="G24" s="2920">
        <v>23470</v>
      </c>
      <c r="K24" s="2921" t="s">
        <v>2918</v>
      </c>
      <c r="L24" s="2920" t="s">
        <v>281</v>
      </c>
      <c r="M24" s="2920" t="s">
        <v>282</v>
      </c>
      <c r="N24" s="2920" t="s">
        <v>2919</v>
      </c>
      <c r="O24" s="2920" t="s">
        <v>285</v>
      </c>
      <c r="P24" s="2920" t="s">
        <v>2920</v>
      </c>
      <c r="Q24" s="2929" t="s">
        <v>2921</v>
      </c>
      <c r="R24" s="2920" t="s">
        <v>2922</v>
      </c>
    </row>
    <row r="25" spans="1:19" ht="14.25" customHeight="1">
      <c r="A25" s="2920" t="s">
        <v>184</v>
      </c>
      <c r="B25" s="2921" t="s">
        <v>235</v>
      </c>
      <c r="C25" s="2920">
        <v>32230</v>
      </c>
      <c r="D25" s="2920">
        <v>29640</v>
      </c>
      <c r="E25" s="2920">
        <v>29510</v>
      </c>
      <c r="F25" s="2920"/>
      <c r="G25" s="2920">
        <v>21560</v>
      </c>
      <c r="K25" s="2921" t="s">
        <v>2923</v>
      </c>
      <c r="L25" s="2920" t="s">
        <v>2924</v>
      </c>
      <c r="M25" s="2920" t="s">
        <v>284</v>
      </c>
      <c r="N25" s="2920" t="s">
        <v>292</v>
      </c>
      <c r="O25" s="2920" t="s">
        <v>288</v>
      </c>
      <c r="P25" s="2920" t="s">
        <v>275</v>
      </c>
      <c r="Q25" s="2929" t="s">
        <v>271</v>
      </c>
      <c r="R25" s="2920" t="s">
        <v>2925</v>
      </c>
    </row>
    <row r="26" spans="1:19" ht="14.25" customHeight="1" thickBot="1">
      <c r="A26" s="2920" t="s">
        <v>184</v>
      </c>
      <c r="B26" s="2921" t="s">
        <v>244</v>
      </c>
      <c r="C26" s="2920">
        <v>31690</v>
      </c>
      <c r="D26" s="2920">
        <v>27650</v>
      </c>
      <c r="E26" s="2920">
        <v>28200</v>
      </c>
      <c r="F26" s="2920"/>
      <c r="G26" s="2920">
        <v>20110</v>
      </c>
      <c r="K26" s="2926" t="s">
        <v>2926</v>
      </c>
      <c r="L26" s="2920" t="s">
        <v>2927</v>
      </c>
      <c r="M26" s="2920" t="s">
        <v>287</v>
      </c>
      <c r="N26" s="2920" t="s">
        <v>294</v>
      </c>
      <c r="O26" s="2920" t="s">
        <v>2928</v>
      </c>
      <c r="P26" s="2920" t="s">
        <v>2929</v>
      </c>
      <c r="Q26" s="2929" t="s">
        <v>276</v>
      </c>
      <c r="R26" s="2920" t="s">
        <v>2930</v>
      </c>
    </row>
    <row r="27" spans="1:19" ht="14.25" customHeight="1">
      <c r="A27" s="2920" t="s">
        <v>184</v>
      </c>
      <c r="B27" s="2921" t="s">
        <v>251</v>
      </c>
      <c r="C27" s="2920">
        <v>29610</v>
      </c>
      <c r="D27" s="2920">
        <v>27770</v>
      </c>
      <c r="E27" s="2920">
        <v>28300</v>
      </c>
      <c r="F27" s="2920"/>
      <c r="G27" s="2920">
        <v>20210</v>
      </c>
      <c r="L27" s="2920" t="s">
        <v>2931</v>
      </c>
      <c r="M27" s="2920" t="s">
        <v>291</v>
      </c>
      <c r="N27" s="2920" t="s">
        <v>297</v>
      </c>
      <c r="O27" s="2920" t="s">
        <v>2932</v>
      </c>
      <c r="P27" s="2920" t="s">
        <v>2933</v>
      </c>
      <c r="Q27" s="2920" t="s">
        <v>2934</v>
      </c>
      <c r="R27" s="2920" t="s">
        <v>2935</v>
      </c>
    </row>
    <row r="28" spans="1:19" ht="14.25" customHeight="1">
      <c r="A28" s="2920" t="s">
        <v>184</v>
      </c>
      <c r="B28" s="2921" t="s">
        <v>259</v>
      </c>
      <c r="C28" s="2920"/>
      <c r="D28" s="2920">
        <v>31520</v>
      </c>
      <c r="E28" s="2920">
        <v>31410</v>
      </c>
      <c r="F28" s="2920"/>
      <c r="G28" s="2920">
        <v>22940</v>
      </c>
      <c r="L28" s="2920" t="s">
        <v>2936</v>
      </c>
      <c r="M28" s="2920" t="s">
        <v>2937</v>
      </c>
      <c r="N28" s="2920" t="s">
        <v>2938</v>
      </c>
      <c r="O28" s="2920" t="s">
        <v>2939</v>
      </c>
      <c r="P28" s="2920" t="s">
        <v>2940</v>
      </c>
      <c r="Q28" s="2920" t="s">
        <v>2941</v>
      </c>
      <c r="R28" s="2920" t="s">
        <v>2942</v>
      </c>
    </row>
    <row r="29" spans="1:19" ht="14.25" customHeight="1" thickBot="1">
      <c r="A29" s="2928" t="s">
        <v>184</v>
      </c>
      <c r="B29" s="2930" t="s">
        <v>2909</v>
      </c>
      <c r="C29" s="2931"/>
      <c r="D29" s="2931">
        <v>29460</v>
      </c>
      <c r="E29" s="2931">
        <v>28640</v>
      </c>
      <c r="F29" s="2931"/>
      <c r="G29" s="2931">
        <v>21430</v>
      </c>
      <c r="L29" s="2920" t="s">
        <v>2943</v>
      </c>
      <c r="M29" s="2920" t="s">
        <v>2944</v>
      </c>
      <c r="N29" s="2920" t="s">
        <v>2945</v>
      </c>
      <c r="O29" s="2920" t="s">
        <v>2946</v>
      </c>
      <c r="P29" s="2920" t="s">
        <v>2947</v>
      </c>
      <c r="Q29" s="2920" t="s">
        <v>2948</v>
      </c>
      <c r="R29" s="2920" t="s">
        <v>280</v>
      </c>
    </row>
    <row r="30" spans="1:19" ht="14.25" customHeight="1">
      <c r="A30" s="2925" t="s">
        <v>296</v>
      </c>
      <c r="B30" s="2916" t="s">
        <v>2842</v>
      </c>
      <c r="C30" s="2916">
        <v>26890</v>
      </c>
      <c r="D30" s="2916">
        <v>26770</v>
      </c>
      <c r="E30" s="2916">
        <v>25700</v>
      </c>
      <c r="F30" s="2916">
        <v>8180</v>
      </c>
      <c r="G30" s="2932">
        <v>18740</v>
      </c>
      <c r="L30" s="2920" t="s">
        <v>2949</v>
      </c>
      <c r="M30" s="2920" t="s">
        <v>2950</v>
      </c>
      <c r="N30" s="2920" t="s">
        <v>2951</v>
      </c>
      <c r="O30" s="2920" t="s">
        <v>2952</v>
      </c>
      <c r="P30" s="2920" t="s">
        <v>2953</v>
      </c>
      <c r="Q30" s="2920" t="s">
        <v>2954</v>
      </c>
      <c r="R30" s="2920" t="s">
        <v>2955</v>
      </c>
    </row>
    <row r="31" spans="1:19" ht="14.25" customHeight="1">
      <c r="A31" s="2920" t="s">
        <v>296</v>
      </c>
      <c r="B31" s="2921" t="s">
        <v>129</v>
      </c>
      <c r="C31" s="2920">
        <v>24550</v>
      </c>
      <c r="D31" s="2920">
        <v>23990</v>
      </c>
      <c r="E31" s="2920">
        <v>22930</v>
      </c>
      <c r="F31" s="2920">
        <v>7470</v>
      </c>
      <c r="G31" s="2933">
        <v>16790</v>
      </c>
      <c r="L31" s="2920" t="s">
        <v>2956</v>
      </c>
      <c r="M31" s="2920" t="s">
        <v>2957</v>
      </c>
      <c r="N31" s="2920" t="s">
        <v>2958</v>
      </c>
      <c r="O31" s="2920" t="s">
        <v>2959</v>
      </c>
      <c r="P31" s="2920" t="s">
        <v>2960</v>
      </c>
      <c r="Q31" s="2920" t="s">
        <v>2961</v>
      </c>
      <c r="R31" s="2920" t="s">
        <v>2962</v>
      </c>
    </row>
    <row r="32" spans="1:19" ht="14.25" customHeight="1" thickBot="1">
      <c r="A32" s="2920" t="s">
        <v>296</v>
      </c>
      <c r="B32" s="2921" t="s">
        <v>138</v>
      </c>
      <c r="C32" s="2920">
        <v>27210</v>
      </c>
      <c r="D32" s="2920">
        <v>23240</v>
      </c>
      <c r="E32" s="2920">
        <v>23260</v>
      </c>
      <c r="F32" s="2920">
        <v>7130</v>
      </c>
      <c r="G32" s="2933">
        <v>16270</v>
      </c>
      <c r="L32" s="2920" t="s">
        <v>2963</v>
      </c>
      <c r="M32" s="2920" t="s">
        <v>2964</v>
      </c>
      <c r="N32" s="2920" t="s">
        <v>300</v>
      </c>
      <c r="O32" s="2920" t="s">
        <v>2965</v>
      </c>
      <c r="P32" s="2920" t="s">
        <v>299</v>
      </c>
      <c r="Q32" s="2920" t="s">
        <v>2966</v>
      </c>
      <c r="R32" s="2927" t="s">
        <v>2967</v>
      </c>
    </row>
    <row r="33" spans="1:17" ht="14.25" customHeight="1" thickBot="1">
      <c r="A33" s="2920" t="s">
        <v>296</v>
      </c>
      <c r="B33" s="2921" t="s">
        <v>147</v>
      </c>
      <c r="C33" s="2920">
        <v>27300</v>
      </c>
      <c r="D33" s="2920">
        <v>22980</v>
      </c>
      <c r="E33" s="2920">
        <v>24260</v>
      </c>
      <c r="F33" s="2920">
        <v>5860</v>
      </c>
      <c r="G33" s="2933">
        <v>16090</v>
      </c>
      <c r="L33" s="2927" t="s">
        <v>2968</v>
      </c>
      <c r="M33" s="2920" t="s">
        <v>2969</v>
      </c>
      <c r="N33" s="2920" t="s">
        <v>301</v>
      </c>
      <c r="O33" s="2920" t="s">
        <v>2970</v>
      </c>
      <c r="P33" s="2920" t="s">
        <v>2971</v>
      </c>
      <c r="Q33" s="2920" t="s">
        <v>2972</v>
      </c>
    </row>
    <row r="34" spans="1:17" ht="14.25" customHeight="1">
      <c r="A34" s="2920" t="s">
        <v>296</v>
      </c>
      <c r="B34" s="2921" t="s">
        <v>156</v>
      </c>
      <c r="C34" s="2920">
        <v>23090</v>
      </c>
      <c r="D34" s="2920">
        <v>23390</v>
      </c>
      <c r="E34" s="2920">
        <v>23510</v>
      </c>
      <c r="F34" s="2920">
        <v>6700</v>
      </c>
      <c r="G34" s="2933">
        <v>16370</v>
      </c>
      <c r="M34" s="2920" t="s">
        <v>2973</v>
      </c>
      <c r="N34" s="2920" t="s">
        <v>302</v>
      </c>
      <c r="O34" s="2920" t="s">
        <v>2974</v>
      </c>
      <c r="P34" s="2920" t="s">
        <v>2975</v>
      </c>
      <c r="Q34" s="2920" t="s">
        <v>2976</v>
      </c>
    </row>
    <row r="35" spans="1:17" ht="14.25" customHeight="1">
      <c r="A35" s="2920" t="s">
        <v>296</v>
      </c>
      <c r="B35" s="2921" t="s">
        <v>163</v>
      </c>
      <c r="C35" s="2920">
        <v>27270</v>
      </c>
      <c r="D35" s="2920">
        <v>24270</v>
      </c>
      <c r="E35" s="2920">
        <v>24950</v>
      </c>
      <c r="F35" s="2920">
        <v>6600</v>
      </c>
      <c r="G35" s="2933">
        <v>16990</v>
      </c>
      <c r="M35" s="2920" t="s">
        <v>2977</v>
      </c>
      <c r="N35" s="2920" t="s">
        <v>2978</v>
      </c>
      <c r="O35" s="2920" t="s">
        <v>2979</v>
      </c>
      <c r="P35" s="2920" t="s">
        <v>2980</v>
      </c>
      <c r="Q35" s="2920" t="s">
        <v>2981</v>
      </c>
    </row>
    <row r="36" spans="1:17" ht="14.25" customHeight="1">
      <c r="A36" s="2920" t="s">
        <v>296</v>
      </c>
      <c r="B36" s="2921" t="s">
        <v>169</v>
      </c>
      <c r="C36" s="2920">
        <v>23490</v>
      </c>
      <c r="D36" s="2920">
        <v>23020</v>
      </c>
      <c r="E36" s="2920">
        <v>25230</v>
      </c>
      <c r="F36" s="2920">
        <v>6780</v>
      </c>
      <c r="G36" s="2933">
        <v>16120</v>
      </c>
      <c r="M36" s="2920" t="s">
        <v>2982</v>
      </c>
      <c r="N36" s="2920" t="s">
        <v>2983</v>
      </c>
      <c r="O36" s="2920" t="s">
        <v>2984</v>
      </c>
      <c r="P36" s="2920" t="s">
        <v>2985</v>
      </c>
      <c r="Q36" s="2920" t="s">
        <v>2986</v>
      </c>
    </row>
    <row r="37" spans="1:17" ht="14.25" customHeight="1">
      <c r="A37" s="2920" t="s">
        <v>296</v>
      </c>
      <c r="B37" s="2921" t="s">
        <v>176</v>
      </c>
      <c r="C37" s="2920">
        <v>24380</v>
      </c>
      <c r="D37" s="2920">
        <v>22240</v>
      </c>
      <c r="E37" s="2920">
        <v>25980</v>
      </c>
      <c r="F37" s="2920">
        <v>8160</v>
      </c>
      <c r="G37" s="2933">
        <v>15570</v>
      </c>
      <c r="M37" s="2920" t="s">
        <v>2987</v>
      </c>
      <c r="N37" s="2920" t="s">
        <v>2988</v>
      </c>
      <c r="O37" s="2920" t="s">
        <v>2989</v>
      </c>
      <c r="P37" s="2920" t="s">
        <v>2990</v>
      </c>
      <c r="Q37" s="2920" t="s">
        <v>2991</v>
      </c>
    </row>
    <row r="38" spans="1:17" ht="14.25" customHeight="1">
      <c r="A38" s="2920" t="s">
        <v>296</v>
      </c>
      <c r="B38" s="2921" t="s">
        <v>186</v>
      </c>
      <c r="C38" s="2920">
        <v>23120</v>
      </c>
      <c r="D38" s="2920">
        <v>24630</v>
      </c>
      <c r="E38" s="2920">
        <v>25030</v>
      </c>
      <c r="F38" s="2920">
        <v>7710</v>
      </c>
      <c r="G38" s="2933">
        <v>17240</v>
      </c>
      <c r="M38" s="2920" t="s">
        <v>2992</v>
      </c>
      <c r="N38" s="2920" t="s">
        <v>2993</v>
      </c>
      <c r="O38" s="2920" t="s">
        <v>2994</v>
      </c>
      <c r="P38" s="2920" t="s">
        <v>2995</v>
      </c>
      <c r="Q38" s="2920" t="s">
        <v>2996</v>
      </c>
    </row>
    <row r="39" spans="1:17" ht="14.25" customHeight="1">
      <c r="A39" s="2920" t="s">
        <v>296</v>
      </c>
      <c r="B39" s="2921" t="s">
        <v>195</v>
      </c>
      <c r="C39" s="2920">
        <v>22330</v>
      </c>
      <c r="D39" s="2920">
        <v>21140</v>
      </c>
      <c r="E39" s="2920">
        <v>23970</v>
      </c>
      <c r="F39" s="2920">
        <v>7940</v>
      </c>
      <c r="G39" s="2933">
        <v>14790</v>
      </c>
      <c r="M39" s="2920" t="s">
        <v>2997</v>
      </c>
      <c r="N39" s="2920" t="s">
        <v>2998</v>
      </c>
      <c r="O39" s="2920" t="s">
        <v>2999</v>
      </c>
      <c r="P39" s="2920" t="s">
        <v>3000</v>
      </c>
      <c r="Q39" s="2920" t="s">
        <v>3001</v>
      </c>
    </row>
    <row r="40" spans="1:17" ht="14.25" customHeight="1">
      <c r="A40" s="2920" t="s">
        <v>296</v>
      </c>
      <c r="B40" s="2921" t="s">
        <v>202</v>
      </c>
      <c r="C40" s="2920">
        <v>24740</v>
      </c>
      <c r="D40" s="2920">
        <v>24690</v>
      </c>
      <c r="E40" s="2920">
        <v>22610</v>
      </c>
      <c r="F40" s="2920"/>
      <c r="G40" s="2933">
        <v>17280</v>
      </c>
      <c r="M40" s="2920" t="s">
        <v>3002</v>
      </c>
      <c r="N40" s="2920" t="s">
        <v>3003</v>
      </c>
      <c r="O40" s="2920" t="s">
        <v>3004</v>
      </c>
      <c r="P40" s="2920" t="s">
        <v>3005</v>
      </c>
      <c r="Q40" s="2920" t="s">
        <v>3006</v>
      </c>
    </row>
    <row r="41" spans="1:17" ht="14.25" customHeight="1" thickBot="1">
      <c r="A41" s="2920" t="s">
        <v>296</v>
      </c>
      <c r="B41" s="2921" t="s">
        <v>209</v>
      </c>
      <c r="C41" s="2920">
        <v>21220</v>
      </c>
      <c r="D41" s="2920">
        <v>21120</v>
      </c>
      <c r="E41" s="2920">
        <v>22590</v>
      </c>
      <c r="F41" s="2920"/>
      <c r="G41" s="2933">
        <v>14780</v>
      </c>
      <c r="M41" s="2927" t="s">
        <v>3007</v>
      </c>
      <c r="N41" s="2920" t="s">
        <v>3008</v>
      </c>
      <c r="O41" s="2920" t="s">
        <v>3009</v>
      </c>
      <c r="P41" s="2920" t="s">
        <v>3010</v>
      </c>
      <c r="Q41" s="2920" t="s">
        <v>3011</v>
      </c>
    </row>
    <row r="42" spans="1:17" ht="14.25" customHeight="1">
      <c r="A42" s="2920" t="s">
        <v>296</v>
      </c>
      <c r="B42" s="2921" t="s">
        <v>215</v>
      </c>
      <c r="C42" s="2920">
        <v>24800</v>
      </c>
      <c r="D42" s="2920">
        <v>22280</v>
      </c>
      <c r="E42" s="2920">
        <v>24350</v>
      </c>
      <c r="F42" s="2920"/>
      <c r="G42" s="2933">
        <v>15590</v>
      </c>
      <c r="N42" s="2920" t="s">
        <v>3012</v>
      </c>
      <c r="O42" s="2920" t="s">
        <v>3013</v>
      </c>
      <c r="P42" s="2920" t="s">
        <v>3014</v>
      </c>
      <c r="Q42" s="2920" t="s">
        <v>3015</v>
      </c>
    </row>
    <row r="43" spans="1:17" ht="14.25" customHeight="1">
      <c r="A43" s="2920" t="s">
        <v>3016</v>
      </c>
      <c r="B43" s="2921" t="s">
        <v>223</v>
      </c>
      <c r="C43" s="2920">
        <v>21210</v>
      </c>
      <c r="D43" s="2920">
        <v>21160</v>
      </c>
      <c r="E43" s="2920">
        <v>22650</v>
      </c>
      <c r="F43" s="2920"/>
      <c r="G43" s="2933">
        <v>14800</v>
      </c>
      <c r="N43" s="2920" t="s">
        <v>3017</v>
      </c>
      <c r="O43" s="2920" t="s">
        <v>3018</v>
      </c>
      <c r="P43" s="2920" t="s">
        <v>3019</v>
      </c>
      <c r="Q43" s="2920" t="s">
        <v>3020</v>
      </c>
    </row>
    <row r="44" spans="1:17" ht="14.25" customHeight="1" thickBot="1">
      <c r="A44" s="2920" t="s">
        <v>296</v>
      </c>
      <c r="B44" s="2921" t="s">
        <v>231</v>
      </c>
      <c r="C44" s="2920">
        <v>22370</v>
      </c>
      <c r="D44" s="2920">
        <v>23140</v>
      </c>
      <c r="E44" s="2920">
        <v>25090</v>
      </c>
      <c r="F44" s="2920"/>
      <c r="G44" s="2933">
        <v>16190</v>
      </c>
      <c r="N44" s="2920" t="s">
        <v>3021</v>
      </c>
      <c r="O44" s="2920" t="s">
        <v>3022</v>
      </c>
      <c r="P44" s="2927" t="s">
        <v>3023</v>
      </c>
      <c r="Q44" s="2920" t="s">
        <v>3024</v>
      </c>
    </row>
    <row r="45" spans="1:17" ht="14.25" customHeight="1" thickBot="1">
      <c r="A45" s="2920" t="s">
        <v>296</v>
      </c>
      <c r="B45" s="2921" t="s">
        <v>236</v>
      </c>
      <c r="C45" s="2920">
        <v>21240</v>
      </c>
      <c r="D45" s="2920">
        <v>27050</v>
      </c>
      <c r="E45" s="2920">
        <v>28000</v>
      </c>
      <c r="F45" s="2920"/>
      <c r="G45" s="2933">
        <v>18940</v>
      </c>
      <c r="N45" s="2920" t="s">
        <v>3025</v>
      </c>
      <c r="O45" s="2927" t="s">
        <v>3026</v>
      </c>
      <c r="Q45" s="2920" t="s">
        <v>3027</v>
      </c>
    </row>
    <row r="46" spans="1:17" ht="14.25" customHeight="1">
      <c r="A46" s="2920" t="s">
        <v>296</v>
      </c>
      <c r="B46" s="2921" t="s">
        <v>245</v>
      </c>
      <c r="C46" s="2920">
        <v>23240</v>
      </c>
      <c r="D46" s="2920">
        <v>23000</v>
      </c>
      <c r="E46" s="2920">
        <v>24980</v>
      </c>
      <c r="F46" s="2920"/>
      <c r="G46" s="2933">
        <v>16100</v>
      </c>
      <c r="N46" s="2920" t="s">
        <v>3028</v>
      </c>
      <c r="Q46" s="2920" t="s">
        <v>3029</v>
      </c>
    </row>
    <row r="47" spans="1:17" ht="14.25" customHeight="1">
      <c r="A47" s="2920" t="s">
        <v>296</v>
      </c>
      <c r="B47" s="2921" t="s">
        <v>252</v>
      </c>
      <c r="C47" s="2920">
        <v>27150</v>
      </c>
      <c r="D47" s="2920">
        <v>23310</v>
      </c>
      <c r="E47" s="2920">
        <v>25150</v>
      </c>
      <c r="F47" s="2920"/>
      <c r="G47" s="2933">
        <v>16310</v>
      </c>
      <c r="N47" s="2920" t="s">
        <v>3030</v>
      </c>
      <c r="Q47" s="2920" t="s">
        <v>3031</v>
      </c>
    </row>
    <row r="48" spans="1:17" ht="14.25" customHeight="1">
      <c r="A48" s="2920" t="s">
        <v>296</v>
      </c>
      <c r="B48" s="2921" t="s">
        <v>260</v>
      </c>
      <c r="C48" s="2920">
        <v>23100</v>
      </c>
      <c r="D48" s="2920">
        <v>21110</v>
      </c>
      <c r="E48" s="2920">
        <v>23080</v>
      </c>
      <c r="F48" s="2920"/>
      <c r="G48" s="2933">
        <v>14780</v>
      </c>
      <c r="N48" s="2920" t="s">
        <v>3032</v>
      </c>
      <c r="Q48" s="2920" t="s">
        <v>3033</v>
      </c>
    </row>
    <row r="49" spans="1:17" ht="14.25" customHeight="1">
      <c r="A49" s="2920" t="s">
        <v>296</v>
      </c>
      <c r="B49" s="2921" t="s">
        <v>267</v>
      </c>
      <c r="C49" s="2920">
        <v>23400</v>
      </c>
      <c r="D49" s="2920">
        <v>22920</v>
      </c>
      <c r="E49" s="2920">
        <v>24900</v>
      </c>
      <c r="F49" s="2920"/>
      <c r="G49" s="2933">
        <v>16040</v>
      </c>
      <c r="N49" s="2920" t="s">
        <v>3034</v>
      </c>
      <c r="Q49" s="2920" t="s">
        <v>3035</v>
      </c>
    </row>
    <row r="50" spans="1:17" ht="14.25" customHeight="1">
      <c r="A50" s="2920" t="s">
        <v>296</v>
      </c>
      <c r="B50" s="2921" t="s">
        <v>2912</v>
      </c>
      <c r="C50" s="2920">
        <v>21200</v>
      </c>
      <c r="D50" s="2920">
        <v>26540</v>
      </c>
      <c r="E50" s="2920">
        <v>23200</v>
      </c>
      <c r="F50" s="2920"/>
      <c r="G50" s="2933">
        <v>18580</v>
      </c>
      <c r="N50" s="2920" t="s">
        <v>3036</v>
      </c>
      <c r="Q50" s="2921" t="s">
        <v>3037</v>
      </c>
    </row>
    <row r="51" spans="1:17" ht="14.25" customHeight="1" thickBot="1">
      <c r="A51" s="2920" t="s">
        <v>296</v>
      </c>
      <c r="B51" s="2921" t="s">
        <v>2914</v>
      </c>
      <c r="C51" s="2920">
        <v>23000</v>
      </c>
      <c r="D51" s="2920">
        <v>23460</v>
      </c>
      <c r="E51" s="2920">
        <v>25290</v>
      </c>
      <c r="F51" s="2920"/>
      <c r="G51" s="2933">
        <v>16420</v>
      </c>
      <c r="N51" s="2920" t="s">
        <v>3038</v>
      </c>
      <c r="Q51" s="2927" t="s">
        <v>3039</v>
      </c>
    </row>
    <row r="52" spans="1:17" ht="14.25" customHeight="1">
      <c r="A52" s="2920" t="s">
        <v>296</v>
      </c>
      <c r="B52" s="2921" t="s">
        <v>2918</v>
      </c>
      <c r="C52" s="2920">
        <v>26660</v>
      </c>
      <c r="D52" s="2920">
        <v>22350</v>
      </c>
      <c r="E52" s="2920">
        <v>22920</v>
      </c>
      <c r="F52" s="2920"/>
      <c r="G52" s="2933">
        <v>15640</v>
      </c>
      <c r="N52" s="2920" t="s">
        <v>3040</v>
      </c>
    </row>
    <row r="53" spans="1:17" ht="14.25" customHeight="1">
      <c r="A53" s="2920" t="s">
        <v>296</v>
      </c>
      <c r="B53" s="2921" t="s">
        <v>2923</v>
      </c>
      <c r="C53" s="2920">
        <v>23580</v>
      </c>
      <c r="D53" s="2920"/>
      <c r="E53" s="2920">
        <v>24280</v>
      </c>
      <c r="F53" s="2920"/>
      <c r="G53" s="2933"/>
      <c r="N53" s="2920" t="s">
        <v>3041</v>
      </c>
    </row>
    <row r="54" spans="1:17" ht="14.25" customHeight="1" thickBot="1">
      <c r="A54" s="2934" t="s">
        <v>296</v>
      </c>
      <c r="B54" s="2926" t="s">
        <v>2926</v>
      </c>
      <c r="C54" s="2927">
        <v>22460</v>
      </c>
      <c r="D54" s="2927"/>
      <c r="E54" s="2927"/>
      <c r="F54" s="2927"/>
      <c r="G54" s="2935"/>
      <c r="N54" s="2920" t="s">
        <v>3042</v>
      </c>
    </row>
    <row r="55" spans="1:17" ht="14.25" customHeight="1">
      <c r="A55" s="2925" t="s">
        <v>110</v>
      </c>
      <c r="B55" s="2916" t="s">
        <v>3043</v>
      </c>
      <c r="C55" s="2920">
        <v>21970</v>
      </c>
      <c r="D55" s="2920">
        <v>20370</v>
      </c>
      <c r="E55" s="2920">
        <v>20180</v>
      </c>
      <c r="F55" s="2920">
        <v>5730</v>
      </c>
      <c r="G55" s="2920">
        <v>13820</v>
      </c>
      <c r="N55" s="2920" t="s">
        <v>3044</v>
      </c>
    </row>
    <row r="56" spans="1:17" ht="14.25" customHeight="1">
      <c r="A56" s="2920" t="s">
        <v>110</v>
      </c>
      <c r="B56" s="2920" t="s">
        <v>130</v>
      </c>
      <c r="C56" s="2920">
        <v>20470</v>
      </c>
      <c r="D56" s="2920">
        <v>20700</v>
      </c>
      <c r="E56" s="2920">
        <v>20380</v>
      </c>
      <c r="F56" s="2920">
        <v>4760</v>
      </c>
      <c r="G56" s="2920">
        <v>14050</v>
      </c>
      <c r="N56" s="2920" t="s">
        <v>3045</v>
      </c>
    </row>
    <row r="57" spans="1:17" ht="14.25" customHeight="1">
      <c r="A57" s="2920" t="s">
        <v>110</v>
      </c>
      <c r="B57" s="2920" t="s">
        <v>139</v>
      </c>
      <c r="C57" s="2920">
        <v>20790</v>
      </c>
      <c r="D57" s="2920">
        <v>21370</v>
      </c>
      <c r="E57" s="2920">
        <v>20890</v>
      </c>
      <c r="F57" s="2920">
        <v>4910</v>
      </c>
      <c r="G57" s="2920">
        <v>14510</v>
      </c>
      <c r="N57" s="2920" t="s">
        <v>3046</v>
      </c>
    </row>
    <row r="58" spans="1:17" ht="14.25" customHeight="1">
      <c r="A58" s="2920" t="s">
        <v>110</v>
      </c>
      <c r="B58" s="2920" t="s">
        <v>148</v>
      </c>
      <c r="C58" s="2920">
        <v>21460</v>
      </c>
      <c r="D58" s="2920">
        <v>20920</v>
      </c>
      <c r="E58" s="2920">
        <v>23410</v>
      </c>
      <c r="F58" s="2920">
        <v>5100</v>
      </c>
      <c r="G58" s="2920">
        <v>14200</v>
      </c>
      <c r="N58" s="2920" t="s">
        <v>3047</v>
      </c>
    </row>
    <row r="59" spans="1:17" ht="14.25" customHeight="1">
      <c r="A59" s="2920" t="s">
        <v>110</v>
      </c>
      <c r="B59" s="2920" t="s">
        <v>157</v>
      </c>
      <c r="C59" s="2920">
        <v>21000</v>
      </c>
      <c r="D59" s="2920">
        <v>21550</v>
      </c>
      <c r="E59" s="2920">
        <v>21150</v>
      </c>
      <c r="F59" s="2920">
        <v>5250</v>
      </c>
      <c r="G59" s="2920">
        <v>14630</v>
      </c>
      <c r="N59" s="2920" t="s">
        <v>3048</v>
      </c>
    </row>
    <row r="60" spans="1:17" ht="14.25" customHeight="1">
      <c r="A60" s="2920" t="s">
        <v>110</v>
      </c>
      <c r="B60" s="2920" t="s">
        <v>164</v>
      </c>
      <c r="C60" s="2920">
        <v>21640</v>
      </c>
      <c r="D60" s="2920">
        <v>21260</v>
      </c>
      <c r="E60" s="2920">
        <v>24040</v>
      </c>
      <c r="F60" s="2920">
        <v>4470</v>
      </c>
      <c r="G60" s="2920">
        <v>14430</v>
      </c>
      <c r="N60" s="2920" t="s">
        <v>3049</v>
      </c>
    </row>
    <row r="61" spans="1:17" ht="14.25" customHeight="1">
      <c r="A61" s="2920" t="s">
        <v>110</v>
      </c>
      <c r="B61" s="2920" t="s">
        <v>170</v>
      </c>
      <c r="C61" s="2920">
        <v>21330</v>
      </c>
      <c r="D61" s="2920">
        <v>18640</v>
      </c>
      <c r="E61" s="2920">
        <v>21190</v>
      </c>
      <c r="F61" s="2920">
        <v>4180</v>
      </c>
      <c r="G61" s="2920">
        <v>12650</v>
      </c>
      <c r="N61" s="2920" t="s">
        <v>3050</v>
      </c>
    </row>
    <row r="62" spans="1:17" ht="14.25" customHeight="1">
      <c r="A62" s="2920" t="s">
        <v>110</v>
      </c>
      <c r="B62" s="2920" t="s">
        <v>177</v>
      </c>
      <c r="C62" s="2920">
        <v>18710</v>
      </c>
      <c r="D62" s="2920">
        <v>19400</v>
      </c>
      <c r="E62" s="2920">
        <v>23750</v>
      </c>
      <c r="F62" s="2920">
        <v>4860</v>
      </c>
      <c r="G62" s="2920">
        <v>13170</v>
      </c>
      <c r="N62" s="2920" t="s">
        <v>3051</v>
      </c>
    </row>
    <row r="63" spans="1:17" ht="14.25" customHeight="1">
      <c r="A63" s="2920" t="s">
        <v>110</v>
      </c>
      <c r="B63" s="2920" t="s">
        <v>187</v>
      </c>
      <c r="C63" s="2920">
        <v>19480</v>
      </c>
      <c r="D63" s="2920">
        <v>16830</v>
      </c>
      <c r="E63" s="2920">
        <v>21590</v>
      </c>
      <c r="F63" s="2920">
        <v>4560</v>
      </c>
      <c r="G63" s="2920">
        <v>11420</v>
      </c>
      <c r="N63" s="2920" t="s">
        <v>3052</v>
      </c>
    </row>
    <row r="64" spans="1:17" ht="14.25" customHeight="1" thickBot="1">
      <c r="A64" s="2920" t="s">
        <v>110</v>
      </c>
      <c r="B64" s="2920" t="s">
        <v>196</v>
      </c>
      <c r="C64" s="2920">
        <v>16920</v>
      </c>
      <c r="D64" s="2920">
        <v>19190</v>
      </c>
      <c r="E64" s="2920">
        <v>22200</v>
      </c>
      <c r="F64" s="2920">
        <v>4390</v>
      </c>
      <c r="G64" s="2920">
        <v>13030</v>
      </c>
      <c r="N64" s="2927" t="s">
        <v>3053</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2924</v>
      </c>
      <c r="C78" s="2920">
        <v>19820</v>
      </c>
      <c r="D78" s="2920">
        <v>19780</v>
      </c>
      <c r="E78" s="2920">
        <v>18560</v>
      </c>
      <c r="F78" s="2920"/>
      <c r="G78" s="2920">
        <v>13430</v>
      </c>
    </row>
    <row r="79" spans="1:7" s="2754" customFormat="1" ht="14.25" customHeight="1">
      <c r="A79" s="2920" t="s">
        <v>110</v>
      </c>
      <c r="B79" s="2920" t="s">
        <v>2927</v>
      </c>
      <c r="C79" s="2920">
        <v>21660</v>
      </c>
      <c r="D79" s="2920">
        <v>18000</v>
      </c>
      <c r="E79" s="2920">
        <v>22570</v>
      </c>
      <c r="F79" s="2920"/>
      <c r="G79" s="2920">
        <v>12220</v>
      </c>
    </row>
    <row r="80" spans="1:7" s="2754" customFormat="1" ht="14.25" customHeight="1">
      <c r="A80" s="2920" t="s">
        <v>110</v>
      </c>
      <c r="B80" s="2920" t="s">
        <v>2931</v>
      </c>
      <c r="C80" s="2920">
        <v>19850</v>
      </c>
      <c r="D80" s="2920"/>
      <c r="E80" s="2920">
        <v>21700</v>
      </c>
      <c r="F80" s="2920"/>
      <c r="G80" s="2920"/>
    </row>
    <row r="81" spans="1:7" s="2754" customFormat="1" ht="14.25" customHeight="1">
      <c r="A81" s="2920" t="s">
        <v>110</v>
      </c>
      <c r="B81" s="2920" t="s">
        <v>2936</v>
      </c>
      <c r="C81" s="2920">
        <v>18080</v>
      </c>
      <c r="D81" s="2920"/>
      <c r="E81" s="2920">
        <v>20900</v>
      </c>
      <c r="F81" s="2920"/>
      <c r="G81" s="2920"/>
    </row>
    <row r="82" spans="1:7" s="2754" customFormat="1" ht="14.25" customHeight="1">
      <c r="A82" s="2920" t="s">
        <v>110</v>
      </c>
      <c r="B82" s="2920" t="s">
        <v>2943</v>
      </c>
      <c r="C82" s="2920"/>
      <c r="D82" s="2920"/>
      <c r="E82" s="2920">
        <v>20840</v>
      </c>
      <c r="F82" s="2920"/>
      <c r="G82" s="2920"/>
    </row>
    <row r="83" spans="1:7" s="2754" customFormat="1" ht="14.25" customHeight="1">
      <c r="A83" s="2920" t="s">
        <v>110</v>
      </c>
      <c r="B83" s="2920" t="s">
        <v>3054</v>
      </c>
      <c r="C83" s="2920"/>
      <c r="D83" s="2920"/>
      <c r="E83" s="2920"/>
      <c r="F83" s="2920">
        <v>4770</v>
      </c>
      <c r="G83" s="2920"/>
    </row>
    <row r="84" spans="1:7" s="2754" customFormat="1" ht="14.25" customHeight="1">
      <c r="A84" s="2920" t="s">
        <v>110</v>
      </c>
      <c r="B84" s="2920" t="s">
        <v>3055</v>
      </c>
      <c r="C84" s="2920"/>
      <c r="D84" s="2920"/>
      <c r="E84" s="2920"/>
      <c r="F84" s="2920">
        <v>4600</v>
      </c>
      <c r="G84" s="2920"/>
    </row>
    <row r="85" spans="1:7" s="2754" customFormat="1" ht="14.25" customHeight="1">
      <c r="A85" s="2920" t="s">
        <v>110</v>
      </c>
      <c r="B85" s="2920" t="s">
        <v>3056</v>
      </c>
      <c r="C85" s="2920"/>
      <c r="D85" s="2920"/>
      <c r="E85" s="2920"/>
      <c r="F85" s="2920">
        <v>4680</v>
      </c>
      <c r="G85" s="2920"/>
    </row>
    <row r="86" spans="1:7" s="2754" customFormat="1" ht="14.25" customHeight="1" thickBot="1">
      <c r="A86" s="2928" t="s">
        <v>110</v>
      </c>
      <c r="B86" s="2930" t="s">
        <v>3057</v>
      </c>
      <c r="C86" s="2931">
        <v>16610</v>
      </c>
      <c r="D86" s="2931">
        <v>16540</v>
      </c>
      <c r="E86" s="2931">
        <v>18850</v>
      </c>
      <c r="F86" s="2931"/>
      <c r="G86" s="2931">
        <v>11220</v>
      </c>
    </row>
    <row r="87" spans="1:7" s="2754" customFormat="1" ht="14.25" customHeight="1">
      <c r="A87" s="2925" t="s">
        <v>303</v>
      </c>
      <c r="B87" s="2916" t="s">
        <v>3058</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2937</v>
      </c>
      <c r="C113" s="2920">
        <v>15520</v>
      </c>
      <c r="D113" s="2920">
        <v>15450</v>
      </c>
      <c r="E113" s="2920"/>
      <c r="F113" s="2920"/>
      <c r="G113" s="2933">
        <v>10210</v>
      </c>
    </row>
    <row r="114" spans="1:7" s="2754" customFormat="1" ht="14.25" customHeight="1">
      <c r="A114" s="2920" t="s">
        <v>303</v>
      </c>
      <c r="B114" s="2920" t="s">
        <v>2944</v>
      </c>
      <c r="C114" s="2920">
        <v>13110</v>
      </c>
      <c r="D114" s="2920">
        <v>13050</v>
      </c>
      <c r="E114" s="2920"/>
      <c r="F114" s="2920"/>
      <c r="G114" s="2933">
        <v>8620</v>
      </c>
    </row>
    <row r="115" spans="1:7" s="2754" customFormat="1" ht="14.25" customHeight="1">
      <c r="A115" s="2920" t="s">
        <v>303</v>
      </c>
      <c r="B115" s="2920" t="s">
        <v>2950</v>
      </c>
      <c r="C115" s="2920">
        <v>12460</v>
      </c>
      <c r="D115" s="2920">
        <v>12390</v>
      </c>
      <c r="E115" s="2920"/>
      <c r="F115" s="2920"/>
      <c r="G115" s="2933">
        <v>8190</v>
      </c>
    </row>
    <row r="116" spans="1:7" s="2754" customFormat="1" ht="14.25" customHeight="1">
      <c r="A116" s="2920" t="s">
        <v>303</v>
      </c>
      <c r="B116" s="2920" t="s">
        <v>2957</v>
      </c>
      <c r="C116" s="2920">
        <v>13580</v>
      </c>
      <c r="D116" s="2920">
        <v>13520</v>
      </c>
      <c r="E116" s="2920"/>
      <c r="F116" s="2920"/>
      <c r="G116" s="2933">
        <v>8930</v>
      </c>
    </row>
    <row r="117" spans="1:7" s="2754" customFormat="1" ht="14.25" customHeight="1">
      <c r="A117" s="2920" t="s">
        <v>303</v>
      </c>
      <c r="B117" s="2920" t="s">
        <v>2964</v>
      </c>
      <c r="C117" s="2920">
        <v>17120</v>
      </c>
      <c r="D117" s="2920">
        <v>17040</v>
      </c>
      <c r="E117" s="2920"/>
      <c r="F117" s="2920"/>
      <c r="G117" s="2933">
        <v>11260</v>
      </c>
    </row>
    <row r="118" spans="1:7" s="2754" customFormat="1" ht="14.25" customHeight="1">
      <c r="A118" s="2920" t="s">
        <v>303</v>
      </c>
      <c r="B118" s="2920" t="s">
        <v>2969</v>
      </c>
      <c r="C118" s="2920">
        <v>14860</v>
      </c>
      <c r="D118" s="2920">
        <v>14790</v>
      </c>
      <c r="E118" s="2920"/>
      <c r="F118" s="2920"/>
      <c r="G118" s="2933">
        <v>9780</v>
      </c>
    </row>
    <row r="119" spans="1:7" s="2754" customFormat="1" ht="14.25" customHeight="1">
      <c r="A119" s="2920" t="s">
        <v>303</v>
      </c>
      <c r="B119" s="2920" t="s">
        <v>2973</v>
      </c>
      <c r="C119" s="2920">
        <v>16470</v>
      </c>
      <c r="D119" s="2920">
        <v>16400</v>
      </c>
      <c r="E119" s="2920"/>
      <c r="F119" s="2920"/>
      <c r="G119" s="2933">
        <v>10840</v>
      </c>
    </row>
    <row r="120" spans="1:7" s="2754" customFormat="1" ht="14.25" customHeight="1">
      <c r="A120" s="2920" t="s">
        <v>303</v>
      </c>
      <c r="B120" s="2920" t="s">
        <v>3059</v>
      </c>
      <c r="C120" s="2920"/>
      <c r="D120" s="2920"/>
      <c r="E120" s="2920"/>
      <c r="F120" s="2920">
        <v>4160</v>
      </c>
      <c r="G120" s="2933"/>
    </row>
    <row r="121" spans="1:7" s="2754" customFormat="1" ht="14.25" customHeight="1">
      <c r="A121" s="2920" t="s">
        <v>303</v>
      </c>
      <c r="B121" s="2920" t="s">
        <v>3060</v>
      </c>
      <c r="C121" s="2920"/>
      <c r="D121" s="2920"/>
      <c r="E121" s="2920"/>
      <c r="F121" s="2920">
        <v>3880</v>
      </c>
      <c r="G121" s="2933"/>
    </row>
    <row r="122" spans="1:7" s="2754" customFormat="1" ht="14.25" customHeight="1">
      <c r="A122" s="2920" t="s">
        <v>303</v>
      </c>
      <c r="B122" s="2920" t="s">
        <v>3061</v>
      </c>
      <c r="C122" s="2920">
        <v>13750</v>
      </c>
      <c r="D122" s="2920">
        <v>13680</v>
      </c>
      <c r="E122" s="2920">
        <v>16460</v>
      </c>
      <c r="F122" s="2920">
        <v>2880</v>
      </c>
      <c r="G122" s="2933">
        <v>9040</v>
      </c>
    </row>
    <row r="123" spans="1:7" s="2754" customFormat="1" ht="14.25" customHeight="1">
      <c r="A123" s="2920" t="s">
        <v>303</v>
      </c>
      <c r="B123" s="2920" t="s">
        <v>2992</v>
      </c>
      <c r="C123" s="2920">
        <v>13590</v>
      </c>
      <c r="D123" s="2920">
        <v>13520</v>
      </c>
      <c r="E123" s="2920">
        <v>16290</v>
      </c>
      <c r="F123" s="2920">
        <v>2790</v>
      </c>
      <c r="G123" s="2933">
        <v>8930</v>
      </c>
    </row>
    <row r="124" spans="1:7" s="2754" customFormat="1" ht="14.25" customHeight="1">
      <c r="A124" s="2920" t="s">
        <v>303</v>
      </c>
      <c r="B124" s="2920" t="s">
        <v>2997</v>
      </c>
      <c r="C124" s="2920">
        <v>13400</v>
      </c>
      <c r="D124" s="2920">
        <v>13320</v>
      </c>
      <c r="E124" s="2920">
        <v>16100</v>
      </c>
      <c r="F124" s="2920">
        <v>2320</v>
      </c>
      <c r="G124" s="2933">
        <v>8800</v>
      </c>
    </row>
    <row r="125" spans="1:7" s="2754" customFormat="1" ht="14.25" customHeight="1">
      <c r="A125" s="2920" t="s">
        <v>303</v>
      </c>
      <c r="B125" s="2920" t="s">
        <v>3002</v>
      </c>
      <c r="C125" s="2920">
        <v>12860</v>
      </c>
      <c r="D125" s="2920">
        <v>12790</v>
      </c>
      <c r="E125" s="2920">
        <v>15370</v>
      </c>
      <c r="F125" s="2920">
        <v>2280</v>
      </c>
      <c r="G125" s="2933">
        <v>8450</v>
      </c>
    </row>
    <row r="126" spans="1:7" s="2754" customFormat="1" ht="14.25" customHeight="1" thickBot="1">
      <c r="A126" s="2934" t="s">
        <v>303</v>
      </c>
      <c r="B126" s="2927" t="s">
        <v>3007</v>
      </c>
      <c r="C126" s="2927">
        <v>12960</v>
      </c>
      <c r="D126" s="2927">
        <v>12890</v>
      </c>
      <c r="E126" s="2927">
        <v>15530</v>
      </c>
      <c r="F126" s="2927">
        <v>2910</v>
      </c>
      <c r="G126" s="2935">
        <v>8520</v>
      </c>
    </row>
    <row r="127" spans="1:7" s="2754" customFormat="1" ht="14.25" customHeight="1">
      <c r="A127" s="2925" t="s">
        <v>29</v>
      </c>
      <c r="B127" s="2916" t="s">
        <v>3062</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3063</v>
      </c>
      <c r="C148" s="2920">
        <v>10370</v>
      </c>
      <c r="D148" s="2920">
        <v>10310</v>
      </c>
      <c r="E148" s="2920">
        <v>12970</v>
      </c>
      <c r="F148" s="2920"/>
      <c r="G148" s="2920">
        <v>6630</v>
      </c>
    </row>
    <row r="149" spans="1:7" s="2754" customFormat="1" ht="14.25" customHeight="1">
      <c r="A149" s="2920" t="s">
        <v>29</v>
      </c>
      <c r="B149" s="2920" t="s">
        <v>3064</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2938</v>
      </c>
      <c r="C153" s="2920">
        <v>10880</v>
      </c>
      <c r="D153" s="2920">
        <v>10820</v>
      </c>
      <c r="E153" s="2920">
        <v>13660</v>
      </c>
      <c r="F153" s="2920">
        <v>2260</v>
      </c>
      <c r="G153" s="2920">
        <v>6970</v>
      </c>
    </row>
    <row r="154" spans="1:7" s="2754" customFormat="1" ht="14.25" customHeight="1">
      <c r="A154" s="2920" t="s">
        <v>29</v>
      </c>
      <c r="B154" s="2920" t="s">
        <v>3065</v>
      </c>
      <c r="C154" s="2920">
        <v>11220</v>
      </c>
      <c r="D154" s="2920">
        <v>11160</v>
      </c>
      <c r="E154" s="2920">
        <v>14130</v>
      </c>
      <c r="F154" s="2920">
        <v>2230</v>
      </c>
      <c r="G154" s="2920">
        <v>7180</v>
      </c>
    </row>
    <row r="155" spans="1:7" s="2754" customFormat="1" ht="14.25" customHeight="1">
      <c r="A155" s="2920" t="s">
        <v>29</v>
      </c>
      <c r="B155" s="2920" t="s">
        <v>2951</v>
      </c>
      <c r="C155" s="2920">
        <v>10430</v>
      </c>
      <c r="D155" s="2920">
        <v>10380</v>
      </c>
      <c r="E155" s="2920">
        <v>13140</v>
      </c>
      <c r="F155" s="2920">
        <v>2080</v>
      </c>
      <c r="G155" s="2920">
        <v>6650</v>
      </c>
    </row>
    <row r="156" spans="1:7" s="2754" customFormat="1" ht="14.25" customHeight="1">
      <c r="A156" s="2920" t="s">
        <v>29</v>
      </c>
      <c r="B156" s="2920" t="s">
        <v>3066</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3067</v>
      </c>
      <c r="C160" s="2920">
        <v>11180</v>
      </c>
      <c r="D160" s="2920">
        <v>11140</v>
      </c>
      <c r="E160" s="2920">
        <v>14050</v>
      </c>
      <c r="F160" s="2920">
        <v>2270</v>
      </c>
      <c r="G160" s="2920">
        <v>7170</v>
      </c>
    </row>
    <row r="161" spans="1:7" s="2754" customFormat="1" ht="14.25" customHeight="1">
      <c r="A161" s="2920" t="s">
        <v>29</v>
      </c>
      <c r="B161" s="2920" t="s">
        <v>2983</v>
      </c>
      <c r="C161" s="2920">
        <v>11160</v>
      </c>
      <c r="D161" s="2920">
        <v>11120</v>
      </c>
      <c r="E161" s="2920">
        <v>14020</v>
      </c>
      <c r="F161" s="2920">
        <v>2150</v>
      </c>
      <c r="G161" s="2920">
        <v>7160</v>
      </c>
    </row>
    <row r="162" spans="1:7" s="2754" customFormat="1" ht="14.25" customHeight="1">
      <c r="A162" s="2920" t="s">
        <v>29</v>
      </c>
      <c r="B162" s="2920" t="s">
        <v>2988</v>
      </c>
      <c r="C162" s="2920">
        <v>9620</v>
      </c>
      <c r="D162" s="2920">
        <v>9570</v>
      </c>
      <c r="E162" s="2920">
        <v>12320</v>
      </c>
      <c r="F162" s="2920">
        <v>2010</v>
      </c>
      <c r="G162" s="2920">
        <v>6160</v>
      </c>
    </row>
    <row r="163" spans="1:7" s="2754" customFormat="1" ht="14.25" customHeight="1">
      <c r="A163" s="2920" t="s">
        <v>29</v>
      </c>
      <c r="B163" s="2920" t="s">
        <v>2993</v>
      </c>
      <c r="C163" s="2920">
        <v>9320</v>
      </c>
      <c r="D163" s="2920">
        <v>9270</v>
      </c>
      <c r="E163" s="2920">
        <v>11790</v>
      </c>
      <c r="F163" s="2920">
        <v>1920</v>
      </c>
      <c r="G163" s="2920">
        <v>5960</v>
      </c>
    </row>
    <row r="164" spans="1:7" s="2754" customFormat="1" ht="14.25" customHeight="1">
      <c r="A164" s="2920" t="s">
        <v>29</v>
      </c>
      <c r="B164" s="2920" t="s">
        <v>2998</v>
      </c>
      <c r="C164" s="2920"/>
      <c r="D164" s="2920"/>
      <c r="E164" s="2920"/>
      <c r="F164" s="2920">
        <v>1980</v>
      </c>
      <c r="G164" s="2920"/>
    </row>
    <row r="165" spans="1:7" s="2754" customFormat="1" ht="14.25" customHeight="1">
      <c r="A165" s="2920" t="s">
        <v>29</v>
      </c>
      <c r="B165" s="2920" t="s">
        <v>3068</v>
      </c>
      <c r="C165" s="2920">
        <v>11060</v>
      </c>
      <c r="D165" s="2920">
        <v>11030</v>
      </c>
      <c r="E165" s="2920">
        <v>13850</v>
      </c>
      <c r="F165" s="2920">
        <v>2170</v>
      </c>
      <c r="G165" s="2920">
        <v>7090</v>
      </c>
    </row>
    <row r="166" spans="1:7" s="2754" customFormat="1" ht="14.25" customHeight="1">
      <c r="A166" s="2920" t="s">
        <v>29</v>
      </c>
      <c r="B166" s="2920" t="s">
        <v>3008</v>
      </c>
      <c r="C166" s="2920">
        <v>11050</v>
      </c>
      <c r="D166" s="2920">
        <v>11010</v>
      </c>
      <c r="E166" s="2920">
        <v>13920</v>
      </c>
      <c r="F166" s="2920">
        <v>2140</v>
      </c>
      <c r="G166" s="2920">
        <v>7080</v>
      </c>
    </row>
    <row r="167" spans="1:7" s="2754" customFormat="1" ht="14.25" customHeight="1">
      <c r="A167" s="2920" t="s">
        <v>29</v>
      </c>
      <c r="B167" s="2920" t="s">
        <v>3012</v>
      </c>
      <c r="C167" s="2920">
        <v>10930</v>
      </c>
      <c r="D167" s="2920">
        <v>10890</v>
      </c>
      <c r="E167" s="2920">
        <v>13790</v>
      </c>
      <c r="F167" s="2920">
        <v>2010</v>
      </c>
      <c r="G167" s="2920">
        <v>7000</v>
      </c>
    </row>
    <row r="168" spans="1:7" s="2754" customFormat="1" ht="14.25" customHeight="1">
      <c r="A168" s="2920" t="s">
        <v>29</v>
      </c>
      <c r="B168" s="2920" t="s">
        <v>3017</v>
      </c>
      <c r="C168" s="2920">
        <v>9420</v>
      </c>
      <c r="D168" s="2920">
        <v>9380</v>
      </c>
      <c r="E168" s="2920">
        <v>11970</v>
      </c>
      <c r="F168" s="2920"/>
      <c r="G168" s="2920">
        <v>6040</v>
      </c>
    </row>
    <row r="169" spans="1:7" s="2754" customFormat="1" ht="14.25" customHeight="1">
      <c r="A169" s="2920" t="s">
        <v>29</v>
      </c>
      <c r="B169" s="2920" t="s">
        <v>3069</v>
      </c>
      <c r="C169" s="2920"/>
      <c r="D169" s="2920"/>
      <c r="E169" s="2920"/>
      <c r="F169" s="2920">
        <v>2880</v>
      </c>
      <c r="G169" s="2920"/>
    </row>
    <row r="170" spans="1:7" s="2754" customFormat="1" ht="14.25" customHeight="1">
      <c r="A170" s="2920" t="s">
        <v>29</v>
      </c>
      <c r="B170" s="2920" t="s">
        <v>3025</v>
      </c>
      <c r="C170" s="2920"/>
      <c r="D170" s="2920"/>
      <c r="E170" s="2920"/>
      <c r="F170" s="2920">
        <v>2880</v>
      </c>
      <c r="G170" s="2920"/>
    </row>
    <row r="171" spans="1:7" s="2754" customFormat="1" ht="14.25" customHeight="1">
      <c r="A171" s="2920" t="s">
        <v>29</v>
      </c>
      <c r="B171" s="2920" t="s">
        <v>3028</v>
      </c>
      <c r="C171" s="2920"/>
      <c r="D171" s="2920"/>
      <c r="E171" s="2920"/>
      <c r="F171" s="2920">
        <v>2880</v>
      </c>
      <c r="G171" s="2920"/>
    </row>
    <row r="172" spans="1:7" s="2754" customFormat="1" ht="14.25" customHeight="1">
      <c r="A172" s="2920" t="s">
        <v>29</v>
      </c>
      <c r="B172" s="2920" t="s">
        <v>3030</v>
      </c>
      <c r="C172" s="2920"/>
      <c r="D172" s="2920"/>
      <c r="E172" s="2920"/>
      <c r="F172" s="2920">
        <v>2880</v>
      </c>
      <c r="G172" s="2920"/>
    </row>
    <row r="173" spans="1:7" s="2754" customFormat="1" ht="14.25" customHeight="1">
      <c r="A173" s="2920" t="s">
        <v>29</v>
      </c>
      <c r="B173" s="2920" t="s">
        <v>3032</v>
      </c>
      <c r="C173" s="2920"/>
      <c r="D173" s="2920"/>
      <c r="E173" s="2920"/>
      <c r="F173" s="2920">
        <v>2150</v>
      </c>
      <c r="G173" s="2920"/>
    </row>
    <row r="174" spans="1:7" s="2754" customFormat="1" ht="14.25" customHeight="1">
      <c r="A174" s="2920" t="s">
        <v>29</v>
      </c>
      <c r="B174" s="2920" t="s">
        <v>3034</v>
      </c>
      <c r="C174" s="2920"/>
      <c r="D174" s="2920"/>
      <c r="E174" s="2920"/>
      <c r="F174" s="2920">
        <v>2030</v>
      </c>
      <c r="G174" s="2920"/>
    </row>
    <row r="175" spans="1:7" s="2754" customFormat="1" ht="14.25" customHeight="1">
      <c r="A175" s="2920" t="s">
        <v>29</v>
      </c>
      <c r="B175" s="2920" t="s">
        <v>3036</v>
      </c>
      <c r="C175" s="2920"/>
      <c r="D175" s="2920"/>
      <c r="E175" s="2920"/>
      <c r="F175" s="2920">
        <v>2780</v>
      </c>
      <c r="G175" s="2920"/>
    </row>
    <row r="176" spans="1:7" s="2754" customFormat="1" ht="14.25" customHeight="1">
      <c r="A176" s="2920" t="s">
        <v>29</v>
      </c>
      <c r="B176" s="2920" t="s">
        <v>3038</v>
      </c>
      <c r="C176" s="2920"/>
      <c r="D176" s="2920"/>
      <c r="E176" s="2920"/>
      <c r="F176" s="2920">
        <v>2780</v>
      </c>
      <c r="G176" s="2920"/>
    </row>
    <row r="177" spans="1:7" s="2754" customFormat="1" ht="14.25" customHeight="1">
      <c r="A177" s="2920" t="s">
        <v>29</v>
      </c>
      <c r="B177" s="2920" t="s">
        <v>3070</v>
      </c>
      <c r="C177" s="2920"/>
      <c r="D177" s="2920"/>
      <c r="E177" s="2920"/>
      <c r="F177" s="2920">
        <v>2780</v>
      </c>
      <c r="G177" s="2920"/>
    </row>
    <row r="178" spans="1:7" s="2754" customFormat="1" ht="14.25" customHeight="1">
      <c r="A178" s="2920" t="s">
        <v>29</v>
      </c>
      <c r="B178" s="2920" t="s">
        <v>3071</v>
      </c>
      <c r="C178" s="2920"/>
      <c r="D178" s="2920"/>
      <c r="E178" s="2920"/>
      <c r="F178" s="2920">
        <v>2060</v>
      </c>
      <c r="G178" s="2920"/>
    </row>
    <row r="179" spans="1:7" s="2754" customFormat="1" ht="14.25" customHeight="1">
      <c r="A179" s="2920" t="s">
        <v>29</v>
      </c>
      <c r="B179" s="2920" t="s">
        <v>3072</v>
      </c>
      <c r="C179" s="2920"/>
      <c r="D179" s="2920"/>
      <c r="E179" s="2920"/>
      <c r="F179" s="2920">
        <v>2120</v>
      </c>
      <c r="G179" s="2920"/>
    </row>
    <row r="180" spans="1:7" s="2754" customFormat="1" ht="14.25" customHeight="1">
      <c r="A180" s="2920" t="s">
        <v>29</v>
      </c>
      <c r="B180" s="2920" t="s">
        <v>3044</v>
      </c>
      <c r="C180" s="2920"/>
      <c r="D180" s="2920"/>
      <c r="E180" s="2920"/>
      <c r="F180" s="2920">
        <v>2340</v>
      </c>
      <c r="G180" s="2920"/>
    </row>
    <row r="181" spans="1:7" s="2754" customFormat="1" ht="14.25" customHeight="1">
      <c r="A181" s="2920" t="s">
        <v>29</v>
      </c>
      <c r="B181" s="2920" t="s">
        <v>3045</v>
      </c>
      <c r="C181" s="2920"/>
      <c r="D181" s="2920"/>
      <c r="E181" s="2920"/>
      <c r="F181" s="2920">
        <v>2340</v>
      </c>
      <c r="G181" s="2920"/>
    </row>
    <row r="182" spans="1:7" s="2754" customFormat="1" ht="14.25" customHeight="1">
      <c r="A182" s="2920" t="s">
        <v>29</v>
      </c>
      <c r="B182" s="2920" t="s">
        <v>3046</v>
      </c>
      <c r="C182" s="2920"/>
      <c r="D182" s="2920"/>
      <c r="E182" s="2920"/>
      <c r="F182" s="2920">
        <v>2340</v>
      </c>
      <c r="G182" s="2920"/>
    </row>
    <row r="183" spans="1:7" s="2754" customFormat="1" ht="14.25" customHeight="1">
      <c r="A183" s="2920" t="s">
        <v>29</v>
      </c>
      <c r="B183" s="2920" t="s">
        <v>3047</v>
      </c>
      <c r="C183" s="2920"/>
      <c r="D183" s="2920"/>
      <c r="E183" s="2920"/>
      <c r="F183" s="2920">
        <v>2340</v>
      </c>
      <c r="G183" s="2920"/>
    </row>
    <row r="184" spans="1:7" s="2754" customFormat="1" ht="14.25" customHeight="1">
      <c r="A184" s="2920" t="s">
        <v>29</v>
      </c>
      <c r="B184" s="2920" t="s">
        <v>3048</v>
      </c>
      <c r="C184" s="2920"/>
      <c r="D184" s="2920"/>
      <c r="E184" s="2920"/>
      <c r="F184" s="2920">
        <v>2340</v>
      </c>
      <c r="G184" s="2920"/>
    </row>
    <row r="185" spans="1:7" s="2754" customFormat="1" ht="14.25" customHeight="1">
      <c r="A185" s="2920" t="s">
        <v>29</v>
      </c>
      <c r="B185" s="2920" t="s">
        <v>3049</v>
      </c>
      <c r="C185" s="2920"/>
      <c r="D185" s="2920"/>
      <c r="E185" s="2920"/>
      <c r="F185" s="2920">
        <v>2530</v>
      </c>
      <c r="G185" s="2920"/>
    </row>
    <row r="186" spans="1:7" s="2754" customFormat="1" ht="14.25" customHeight="1">
      <c r="A186" s="2920" t="s">
        <v>29</v>
      </c>
      <c r="B186" s="2920" t="s">
        <v>3050</v>
      </c>
      <c r="C186" s="2920"/>
      <c r="D186" s="2920"/>
      <c r="E186" s="2920"/>
      <c r="F186" s="2920">
        <v>2550</v>
      </c>
      <c r="G186" s="2920"/>
    </row>
    <row r="187" spans="1:7" s="2754" customFormat="1" ht="14.25" customHeight="1">
      <c r="A187" s="2920" t="s">
        <v>29</v>
      </c>
      <c r="B187" s="2920" t="s">
        <v>3051</v>
      </c>
      <c r="C187" s="2920"/>
      <c r="D187" s="2920"/>
      <c r="E187" s="2920"/>
      <c r="F187" s="2920">
        <v>2070</v>
      </c>
      <c r="G187" s="2920"/>
    </row>
    <row r="188" spans="1:7" s="2754" customFormat="1" ht="14.25" customHeight="1">
      <c r="A188" s="2920" t="s">
        <v>29</v>
      </c>
      <c r="B188" s="2920" t="s">
        <v>3052</v>
      </c>
      <c r="C188" s="2920"/>
      <c r="D188" s="2920"/>
      <c r="E188" s="2920"/>
      <c r="F188" s="2920">
        <v>2340</v>
      </c>
      <c r="G188" s="2920"/>
    </row>
    <row r="189" spans="1:7" s="2754" customFormat="1" ht="14.25" customHeight="1" thickBot="1">
      <c r="A189" s="2928" t="s">
        <v>29</v>
      </c>
      <c r="B189" s="2931" t="s">
        <v>3053</v>
      </c>
      <c r="C189" s="2931"/>
      <c r="D189" s="2931"/>
      <c r="E189" s="2931"/>
      <c r="F189" s="2931">
        <v>2050</v>
      </c>
      <c r="G189" s="2931"/>
    </row>
    <row r="190" spans="1:7" s="2754" customFormat="1" ht="14.25" customHeight="1">
      <c r="A190" s="2925" t="s">
        <v>304</v>
      </c>
      <c r="B190" s="2916" t="s">
        <v>3073</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3074</v>
      </c>
      <c r="C199" s="2920">
        <v>8690</v>
      </c>
      <c r="D199" s="2920">
        <v>8630</v>
      </c>
      <c r="E199" s="2920">
        <v>11350</v>
      </c>
      <c r="F199" s="2920">
        <v>1600</v>
      </c>
      <c r="G199" s="2933">
        <v>5450</v>
      </c>
    </row>
    <row r="200" spans="1:7" s="2754" customFormat="1" ht="14.25" customHeight="1">
      <c r="A200" s="2920" t="s">
        <v>304</v>
      </c>
      <c r="B200" s="2920" t="s">
        <v>2885</v>
      </c>
      <c r="C200" s="2920"/>
      <c r="D200" s="2920"/>
      <c r="E200" s="2920"/>
      <c r="F200" s="2920">
        <v>1510</v>
      </c>
      <c r="G200" s="2933"/>
    </row>
    <row r="201" spans="1:7" s="2754" customFormat="1" ht="14.25" customHeight="1">
      <c r="A201" s="2920" t="s">
        <v>304</v>
      </c>
      <c r="B201" s="2920" t="s">
        <v>3075</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3076</v>
      </c>
      <c r="C203" s="2920">
        <v>8130</v>
      </c>
      <c r="D203" s="2920">
        <v>8070</v>
      </c>
      <c r="E203" s="2920">
        <v>10820</v>
      </c>
      <c r="F203" s="2920">
        <v>1690</v>
      </c>
      <c r="G203" s="2933">
        <v>5100</v>
      </c>
    </row>
    <row r="204" spans="1:7" s="2754" customFormat="1" ht="14.25" customHeight="1">
      <c r="A204" s="2920" t="s">
        <v>304</v>
      </c>
      <c r="B204" s="2920" t="s">
        <v>2896</v>
      </c>
      <c r="C204" s="2920">
        <v>8350</v>
      </c>
      <c r="D204" s="2920">
        <v>8290</v>
      </c>
      <c r="E204" s="2920">
        <v>11080</v>
      </c>
      <c r="F204" s="2920">
        <v>1450</v>
      </c>
      <c r="G204" s="2933">
        <v>5240</v>
      </c>
    </row>
    <row r="205" spans="1:7" s="2754" customFormat="1" ht="14.25" customHeight="1">
      <c r="A205" s="2920" t="s">
        <v>304</v>
      </c>
      <c r="B205" s="2920" t="s">
        <v>2898</v>
      </c>
      <c r="C205" s="2920">
        <v>7190</v>
      </c>
      <c r="D205" s="2920">
        <v>7130</v>
      </c>
      <c r="E205" s="2920">
        <v>9490</v>
      </c>
      <c r="F205" s="2920">
        <v>1470</v>
      </c>
      <c r="G205" s="2933">
        <v>4510</v>
      </c>
    </row>
    <row r="206" spans="1:7" s="2754" customFormat="1" ht="14.25" customHeight="1">
      <c r="A206" s="2920" t="s">
        <v>304</v>
      </c>
      <c r="B206" s="2920" t="s">
        <v>2901</v>
      </c>
      <c r="C206" s="2920">
        <v>7000</v>
      </c>
      <c r="D206" s="2920">
        <v>6950</v>
      </c>
      <c r="E206" s="2920">
        <v>9170</v>
      </c>
      <c r="F206" s="2920">
        <v>1400</v>
      </c>
      <c r="G206" s="2933">
        <v>4380</v>
      </c>
    </row>
    <row r="207" spans="1:7" s="2754" customFormat="1" ht="14.25" customHeight="1">
      <c r="A207" s="2920" t="s">
        <v>304</v>
      </c>
      <c r="B207" s="2920" t="s">
        <v>2903</v>
      </c>
      <c r="C207" s="2920">
        <v>6950</v>
      </c>
      <c r="D207" s="2920">
        <v>6900</v>
      </c>
      <c r="E207" s="2920">
        <v>9110</v>
      </c>
      <c r="F207" s="2920">
        <v>1790</v>
      </c>
      <c r="G207" s="2933">
        <v>4360</v>
      </c>
    </row>
    <row r="208" spans="1:7" s="2754" customFormat="1" ht="14.25" customHeight="1">
      <c r="A208" s="2920" t="s">
        <v>304</v>
      </c>
      <c r="B208" s="2920" t="s">
        <v>3077</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2913</v>
      </c>
      <c r="C210" s="2920">
        <v>8710</v>
      </c>
      <c r="D210" s="2920">
        <v>8660</v>
      </c>
      <c r="E210" s="2920">
        <v>11440</v>
      </c>
      <c r="F210" s="2920">
        <v>1740</v>
      </c>
      <c r="G210" s="2933">
        <v>5470</v>
      </c>
    </row>
    <row r="211" spans="1:7" s="2754" customFormat="1" ht="14.25" customHeight="1">
      <c r="A211" s="2920" t="s">
        <v>304</v>
      </c>
      <c r="B211" s="2920" t="s">
        <v>3078</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3079</v>
      </c>
      <c r="C214" s="2920">
        <v>8090</v>
      </c>
      <c r="D214" s="2920">
        <v>8030</v>
      </c>
      <c r="E214" s="2920">
        <v>10780</v>
      </c>
      <c r="F214" s="2920">
        <v>1570</v>
      </c>
      <c r="G214" s="2933">
        <v>5070</v>
      </c>
    </row>
    <row r="215" spans="1:7" s="2754" customFormat="1" ht="14.25" customHeight="1">
      <c r="A215" s="2920" t="s">
        <v>304</v>
      </c>
      <c r="B215" s="2920" t="s">
        <v>3080</v>
      </c>
      <c r="C215" s="2920">
        <v>7950</v>
      </c>
      <c r="D215" s="2920">
        <v>7900</v>
      </c>
      <c r="E215" s="2920">
        <v>10560</v>
      </c>
      <c r="F215" s="2920">
        <v>1630</v>
      </c>
      <c r="G215" s="2933">
        <v>4990</v>
      </c>
    </row>
    <row r="216" spans="1:7" s="2754" customFormat="1" ht="14.25" customHeight="1">
      <c r="A216" s="2920" t="s">
        <v>304</v>
      </c>
      <c r="B216" s="2920" t="s">
        <v>3081</v>
      </c>
      <c r="C216" s="2920">
        <v>8490</v>
      </c>
      <c r="D216" s="2920">
        <v>8440</v>
      </c>
      <c r="E216" s="2920">
        <v>11260</v>
      </c>
      <c r="F216" s="2920">
        <v>1690</v>
      </c>
      <c r="G216" s="2933">
        <v>5330</v>
      </c>
    </row>
    <row r="217" spans="1:7" s="2754" customFormat="1" ht="14.25" customHeight="1">
      <c r="A217" s="2920" t="s">
        <v>304</v>
      </c>
      <c r="B217" s="2920" t="s">
        <v>2946</v>
      </c>
      <c r="C217" s="2920">
        <v>8200</v>
      </c>
      <c r="D217" s="2920">
        <v>8150</v>
      </c>
      <c r="E217" s="2920">
        <v>10910</v>
      </c>
      <c r="F217" s="2920">
        <v>1670</v>
      </c>
      <c r="G217" s="2933">
        <v>5150</v>
      </c>
    </row>
    <row r="218" spans="1:7" s="2754" customFormat="1" ht="14.25" customHeight="1">
      <c r="A218" s="2920" t="s">
        <v>304</v>
      </c>
      <c r="B218" s="2920" t="s">
        <v>3082</v>
      </c>
      <c r="C218" s="2920"/>
      <c r="D218" s="2920"/>
      <c r="E218" s="2920"/>
      <c r="F218" s="2920">
        <v>2040</v>
      </c>
      <c r="G218" s="2933"/>
    </row>
    <row r="219" spans="1:7" s="2754" customFormat="1" ht="14.25" customHeight="1">
      <c r="A219" s="2920" t="s">
        <v>304</v>
      </c>
      <c r="B219" s="2920" t="s">
        <v>3083</v>
      </c>
      <c r="C219" s="2920"/>
      <c r="D219" s="2920"/>
      <c r="E219" s="2920"/>
      <c r="F219" s="2920">
        <v>2040</v>
      </c>
      <c r="G219" s="2933"/>
    </row>
    <row r="220" spans="1:7" s="2754" customFormat="1" ht="14.25" customHeight="1">
      <c r="A220" s="2920" t="s">
        <v>304</v>
      </c>
      <c r="B220" s="2920" t="s">
        <v>3084</v>
      </c>
      <c r="C220" s="2920"/>
      <c r="D220" s="2920"/>
      <c r="E220" s="2920"/>
      <c r="F220" s="2920">
        <v>2040</v>
      </c>
      <c r="G220" s="2933"/>
    </row>
    <row r="221" spans="1:7" s="2754" customFormat="1" ht="14.25" customHeight="1">
      <c r="A221" s="2920" t="s">
        <v>304</v>
      </c>
      <c r="B221" s="2920" t="s">
        <v>3085</v>
      </c>
      <c r="C221" s="2920"/>
      <c r="D221" s="2920"/>
      <c r="E221" s="2920"/>
      <c r="F221" s="2920">
        <v>2040</v>
      </c>
      <c r="G221" s="2933"/>
    </row>
    <row r="222" spans="1:7" s="2754" customFormat="1" ht="14.25" customHeight="1">
      <c r="A222" s="2920" t="s">
        <v>304</v>
      </c>
      <c r="B222" s="2920" t="s">
        <v>3086</v>
      </c>
      <c r="C222" s="2920"/>
      <c r="D222" s="2920"/>
      <c r="E222" s="2920"/>
      <c r="F222" s="2920">
        <v>2040</v>
      </c>
      <c r="G222" s="2933"/>
    </row>
    <row r="223" spans="1:7" s="2754" customFormat="1" ht="14.25" customHeight="1">
      <c r="A223" s="2920" t="s">
        <v>304</v>
      </c>
      <c r="B223" s="2920" t="s">
        <v>3087</v>
      </c>
      <c r="C223" s="2920"/>
      <c r="D223" s="2920"/>
      <c r="E223" s="2920"/>
      <c r="F223" s="2920">
        <v>1930</v>
      </c>
      <c r="G223" s="2933"/>
    </row>
    <row r="224" spans="1:7" s="2754" customFormat="1" ht="14.25" customHeight="1">
      <c r="A224" s="2920" t="s">
        <v>304</v>
      </c>
      <c r="B224" s="2920" t="s">
        <v>3088</v>
      </c>
      <c r="C224" s="2920"/>
      <c r="D224" s="2920"/>
      <c r="E224" s="2920"/>
      <c r="F224" s="2920">
        <v>1930</v>
      </c>
      <c r="G224" s="2933"/>
    </row>
    <row r="225" spans="1:7" s="2754" customFormat="1" ht="14.25" customHeight="1">
      <c r="A225" s="2920" t="s">
        <v>304</v>
      </c>
      <c r="B225" s="2920" t="s">
        <v>3089</v>
      </c>
      <c r="C225" s="2920"/>
      <c r="D225" s="2920"/>
      <c r="E225" s="2920"/>
      <c r="F225" s="2920">
        <v>1930</v>
      </c>
      <c r="G225" s="2933"/>
    </row>
    <row r="226" spans="1:7" s="2754" customFormat="1" ht="14.25" customHeight="1">
      <c r="A226" s="2920" t="s">
        <v>304</v>
      </c>
      <c r="B226" s="2920" t="s">
        <v>3090</v>
      </c>
      <c r="C226" s="2920"/>
      <c r="D226" s="2920"/>
      <c r="E226" s="2920"/>
      <c r="F226" s="2920">
        <v>1700</v>
      </c>
      <c r="G226" s="2933"/>
    </row>
    <row r="227" spans="1:7" s="2754" customFormat="1" ht="14.25" customHeight="1">
      <c r="A227" s="2920" t="s">
        <v>304</v>
      </c>
      <c r="B227" s="2920" t="s">
        <v>3091</v>
      </c>
      <c r="C227" s="2920"/>
      <c r="D227" s="2920"/>
      <c r="E227" s="2920"/>
      <c r="F227" s="2920">
        <v>1520</v>
      </c>
      <c r="G227" s="2933"/>
    </row>
    <row r="228" spans="1:7" s="2754" customFormat="1" ht="14.25" customHeight="1">
      <c r="A228" s="2920" t="s">
        <v>304</v>
      </c>
      <c r="B228" s="2920" t="s">
        <v>3092</v>
      </c>
      <c r="C228" s="2920"/>
      <c r="D228" s="2920"/>
      <c r="E228" s="2920"/>
      <c r="F228" s="2920">
        <v>1520</v>
      </c>
      <c r="G228" s="2933"/>
    </row>
    <row r="229" spans="1:7" s="2754" customFormat="1" ht="14.25" customHeight="1">
      <c r="A229" s="2920" t="s">
        <v>304</v>
      </c>
      <c r="B229" s="2920" t="s">
        <v>3009</v>
      </c>
      <c r="C229" s="2920"/>
      <c r="D229" s="2920"/>
      <c r="E229" s="2920"/>
      <c r="F229" s="2920">
        <v>1520</v>
      </c>
      <c r="G229" s="2933"/>
    </row>
    <row r="230" spans="1:7" s="2754" customFormat="1" ht="14.25" customHeight="1">
      <c r="A230" s="2920" t="s">
        <v>304</v>
      </c>
      <c r="B230" s="2920" t="s">
        <v>3093</v>
      </c>
      <c r="C230" s="2920"/>
      <c r="D230" s="2920"/>
      <c r="E230" s="2920"/>
      <c r="F230" s="2920">
        <v>1820</v>
      </c>
      <c r="G230" s="2933"/>
    </row>
    <row r="231" spans="1:7" s="2754" customFormat="1" ht="14.25" customHeight="1">
      <c r="A231" s="2920" t="s">
        <v>304</v>
      </c>
      <c r="B231" s="2920" t="s">
        <v>3094</v>
      </c>
      <c r="C231" s="2920"/>
      <c r="D231" s="2920"/>
      <c r="E231" s="2920"/>
      <c r="F231" s="2920">
        <v>1760</v>
      </c>
      <c r="G231" s="2933"/>
    </row>
    <row r="232" spans="1:7" s="2754" customFormat="1" ht="14.25" customHeight="1">
      <c r="A232" s="2920" t="s">
        <v>304</v>
      </c>
      <c r="B232" s="2920" t="s">
        <v>3095</v>
      </c>
      <c r="C232" s="2920"/>
      <c r="D232" s="2920"/>
      <c r="E232" s="2920"/>
      <c r="F232" s="2920">
        <v>1840</v>
      </c>
      <c r="G232" s="2933"/>
    </row>
    <row r="233" spans="1:7" s="2754" customFormat="1" ht="14.25" customHeight="1" thickBot="1">
      <c r="A233" s="2934" t="s">
        <v>304</v>
      </c>
      <c r="B233" s="2927" t="s">
        <v>3026</v>
      </c>
      <c r="C233" s="2927"/>
      <c r="D233" s="2927"/>
      <c r="E233" s="2927"/>
      <c r="F233" s="2927">
        <v>1770</v>
      </c>
      <c r="G233" s="2935"/>
    </row>
    <row r="234" spans="1:7" s="2754" customFormat="1" ht="14.25" customHeight="1">
      <c r="A234" s="2925" t="s">
        <v>305</v>
      </c>
      <c r="B234" s="2916" t="s">
        <v>3096</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2867</v>
      </c>
      <c r="C238" s="2920">
        <v>6920</v>
      </c>
      <c r="D238" s="2920">
        <v>6890</v>
      </c>
      <c r="E238" s="2920">
        <v>8640</v>
      </c>
      <c r="F238" s="2920">
        <v>1310</v>
      </c>
      <c r="G238" s="2920">
        <v>4230</v>
      </c>
    </row>
    <row r="239" spans="1:7" s="2754" customFormat="1" ht="14.25" customHeight="1">
      <c r="A239" s="2920" t="s">
        <v>305</v>
      </c>
      <c r="B239" s="2920" t="s">
        <v>3097</v>
      </c>
      <c r="C239" s="2920">
        <v>6780</v>
      </c>
      <c r="D239" s="2920">
        <v>6750</v>
      </c>
      <c r="E239" s="2920">
        <v>8440</v>
      </c>
      <c r="F239" s="2920">
        <v>1160</v>
      </c>
      <c r="G239" s="2920">
        <v>4140</v>
      </c>
    </row>
    <row r="240" spans="1:7" s="2754" customFormat="1" ht="14.25" customHeight="1">
      <c r="A240" s="2920" t="s">
        <v>305</v>
      </c>
      <c r="B240" s="2920" t="s">
        <v>3098</v>
      </c>
      <c r="C240" s="2920">
        <v>5420</v>
      </c>
      <c r="D240" s="2920">
        <v>5380</v>
      </c>
      <c r="E240" s="2920">
        <v>6640</v>
      </c>
      <c r="F240" s="2920">
        <v>1020</v>
      </c>
      <c r="G240" s="2920">
        <v>3300</v>
      </c>
    </row>
    <row r="241" spans="1:7" s="2754" customFormat="1" ht="14.25" customHeight="1">
      <c r="A241" s="2920" t="s">
        <v>305</v>
      </c>
      <c r="B241" s="2920" t="s">
        <v>3099</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3100</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3101</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3102</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3103</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3104</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2929</v>
      </c>
      <c r="C258" s="2920">
        <v>6190</v>
      </c>
      <c r="D258" s="2920">
        <v>6160</v>
      </c>
      <c r="E258" s="2920">
        <v>7680</v>
      </c>
      <c r="F258" s="2920">
        <v>1170</v>
      </c>
      <c r="G258" s="2920">
        <v>3780</v>
      </c>
    </row>
    <row r="259" spans="1:7" s="2754" customFormat="1" ht="14.25" customHeight="1">
      <c r="A259" s="2920" t="s">
        <v>305</v>
      </c>
      <c r="B259" s="2920" t="s">
        <v>3105</v>
      </c>
      <c r="C259" s="2920">
        <v>7610</v>
      </c>
      <c r="D259" s="2920">
        <v>7570</v>
      </c>
      <c r="E259" s="2920">
        <v>9350</v>
      </c>
      <c r="F259" s="2920">
        <v>1350</v>
      </c>
      <c r="G259" s="2920">
        <v>4650</v>
      </c>
    </row>
    <row r="260" spans="1:7" s="2754" customFormat="1" ht="14.25" customHeight="1">
      <c r="A260" s="2920" t="s">
        <v>305</v>
      </c>
      <c r="B260" s="2920" t="s">
        <v>3106</v>
      </c>
      <c r="C260" s="2920">
        <v>6920</v>
      </c>
      <c r="D260" s="2920">
        <v>6880</v>
      </c>
      <c r="E260" s="2920">
        <v>8380</v>
      </c>
      <c r="F260" s="2920">
        <v>1160</v>
      </c>
      <c r="G260" s="2920">
        <v>4220</v>
      </c>
    </row>
    <row r="261" spans="1:7" s="2754" customFormat="1" ht="14.25" customHeight="1">
      <c r="A261" s="2920" t="s">
        <v>305</v>
      </c>
      <c r="B261" s="2920" t="s">
        <v>3107</v>
      </c>
      <c r="C261" s="2920">
        <v>6850</v>
      </c>
      <c r="D261" s="2920">
        <v>6810</v>
      </c>
      <c r="E261" s="2920">
        <v>8290</v>
      </c>
      <c r="F261" s="2920">
        <v>1130</v>
      </c>
      <c r="G261" s="2920">
        <v>4180</v>
      </c>
    </row>
    <row r="262" spans="1:7" s="2754" customFormat="1" ht="14.25" customHeight="1">
      <c r="A262" s="2920" t="s">
        <v>305</v>
      </c>
      <c r="B262" s="2920" t="s">
        <v>3108</v>
      </c>
      <c r="C262" s="2920">
        <v>5860</v>
      </c>
      <c r="D262" s="2920">
        <v>5820</v>
      </c>
      <c r="E262" s="2920">
        <v>7640</v>
      </c>
      <c r="F262" s="2920">
        <v>1070</v>
      </c>
      <c r="G262" s="2920">
        <v>3570</v>
      </c>
    </row>
    <row r="263" spans="1:7" s="2754" customFormat="1" ht="14.25" customHeight="1">
      <c r="A263" s="2920" t="s">
        <v>305</v>
      </c>
      <c r="B263" s="2920" t="s">
        <v>3109</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3110</v>
      </c>
      <c r="C265" s="2920"/>
      <c r="D265" s="2920"/>
      <c r="E265" s="2920"/>
      <c r="F265" s="2920">
        <v>1500</v>
      </c>
      <c r="G265" s="2920"/>
    </row>
    <row r="266" spans="1:7" s="2754" customFormat="1" ht="14.25" customHeight="1">
      <c r="A266" s="2920" t="s">
        <v>305</v>
      </c>
      <c r="B266" s="2920" t="s">
        <v>3111</v>
      </c>
      <c r="C266" s="2920"/>
      <c r="D266" s="2920"/>
      <c r="E266" s="2920"/>
      <c r="F266" s="2920">
        <v>1500</v>
      </c>
      <c r="G266" s="2920"/>
    </row>
    <row r="267" spans="1:7" s="2754" customFormat="1" ht="14.25" customHeight="1">
      <c r="A267" s="2920" t="s">
        <v>305</v>
      </c>
      <c r="B267" s="2920" t="s">
        <v>3112</v>
      </c>
      <c r="C267" s="2920"/>
      <c r="D267" s="2920"/>
      <c r="E267" s="2920"/>
      <c r="F267" s="2920">
        <v>1500</v>
      </c>
      <c r="G267" s="2920"/>
    </row>
    <row r="268" spans="1:7" s="2754" customFormat="1" ht="14.25" customHeight="1">
      <c r="A268" s="2920" t="s">
        <v>305</v>
      </c>
      <c r="B268" s="2920" t="s">
        <v>3113</v>
      </c>
      <c r="C268" s="2920"/>
      <c r="D268" s="2920"/>
      <c r="E268" s="2920"/>
      <c r="F268" s="2920">
        <v>1290</v>
      </c>
      <c r="G268" s="2920"/>
    </row>
    <row r="269" spans="1:7" s="2754" customFormat="1" ht="14.25" customHeight="1">
      <c r="A269" s="2920" t="s">
        <v>305</v>
      </c>
      <c r="B269" s="2920" t="s">
        <v>3114</v>
      </c>
      <c r="C269" s="2920"/>
      <c r="D269" s="2920"/>
      <c r="E269" s="2920"/>
      <c r="F269" s="2920">
        <v>1150</v>
      </c>
      <c r="G269" s="2920"/>
    </row>
    <row r="270" spans="1:7" s="2754" customFormat="1" ht="14.25" customHeight="1">
      <c r="A270" s="2920" t="s">
        <v>305</v>
      </c>
      <c r="B270" s="2920" t="s">
        <v>3115</v>
      </c>
      <c r="C270" s="2920"/>
      <c r="D270" s="2920"/>
      <c r="E270" s="2920"/>
      <c r="F270" s="2920">
        <v>1380</v>
      </c>
      <c r="G270" s="2920"/>
    </row>
    <row r="271" spans="1:7" s="2754" customFormat="1" ht="14.25" customHeight="1">
      <c r="A271" s="2920" t="s">
        <v>305</v>
      </c>
      <c r="B271" s="2920" t="s">
        <v>3116</v>
      </c>
      <c r="C271" s="2920"/>
      <c r="D271" s="2920"/>
      <c r="E271" s="2920"/>
      <c r="F271" s="2920">
        <v>1460</v>
      </c>
      <c r="G271" s="2920"/>
    </row>
    <row r="272" spans="1:7" s="2754" customFormat="1" ht="14.25" customHeight="1">
      <c r="A272" s="2920" t="s">
        <v>305</v>
      </c>
      <c r="B272" s="2920" t="s">
        <v>3117</v>
      </c>
      <c r="C272" s="2920"/>
      <c r="D272" s="2920"/>
      <c r="E272" s="2920"/>
      <c r="F272" s="2920">
        <v>1460</v>
      </c>
      <c r="G272" s="2920"/>
    </row>
    <row r="273" spans="1:7" s="2754" customFormat="1" ht="14.25" customHeight="1">
      <c r="A273" s="2920" t="s">
        <v>305</v>
      </c>
      <c r="B273" s="2920" t="s">
        <v>3010</v>
      </c>
      <c r="C273" s="2920"/>
      <c r="D273" s="2920"/>
      <c r="E273" s="2920"/>
      <c r="F273" s="2920">
        <v>1490</v>
      </c>
      <c r="G273" s="2920"/>
    </row>
    <row r="274" spans="1:7" s="2754" customFormat="1" ht="14.25" customHeight="1">
      <c r="A274" s="2920" t="s">
        <v>305</v>
      </c>
      <c r="B274" s="2920" t="s">
        <v>3118</v>
      </c>
      <c r="C274" s="2920"/>
      <c r="D274" s="2920"/>
      <c r="E274" s="2920"/>
      <c r="F274" s="2920">
        <v>1490</v>
      </c>
      <c r="G274" s="2920"/>
    </row>
    <row r="275" spans="1:7" s="2754" customFormat="1" ht="14.25" customHeight="1">
      <c r="A275" s="2920" t="s">
        <v>305</v>
      </c>
      <c r="B275" s="2920" t="s">
        <v>3119</v>
      </c>
      <c r="C275" s="2920"/>
      <c r="D275" s="2920"/>
      <c r="E275" s="2920"/>
      <c r="F275" s="2920">
        <v>1220</v>
      </c>
      <c r="G275" s="2920"/>
    </row>
    <row r="276" spans="1:7" s="2754" customFormat="1" ht="14.25" customHeight="1" thickBot="1">
      <c r="A276" s="2928" t="s">
        <v>305</v>
      </c>
      <c r="B276" s="2930" t="s">
        <v>3120</v>
      </c>
      <c r="C276" s="2931"/>
      <c r="D276" s="2931"/>
      <c r="E276" s="2931"/>
      <c r="F276" s="2931">
        <v>1380</v>
      </c>
      <c r="G276" s="2931"/>
    </row>
    <row r="277" spans="1:7" s="2754" customFormat="1" ht="14.25" customHeight="1">
      <c r="A277" s="2925" t="s">
        <v>306</v>
      </c>
      <c r="B277" s="2916" t="s">
        <v>3121</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3122</v>
      </c>
      <c r="C279" s="2920">
        <v>4760</v>
      </c>
      <c r="D279" s="2920">
        <v>4720</v>
      </c>
      <c r="E279" s="2920">
        <v>5540</v>
      </c>
      <c r="F279" s="2920">
        <v>810</v>
      </c>
      <c r="G279" s="2933">
        <v>2850</v>
      </c>
    </row>
    <row r="280" spans="1:7" s="2754" customFormat="1" ht="14.25" customHeight="1">
      <c r="A280" s="2920" t="s">
        <v>306</v>
      </c>
      <c r="B280" s="2920" t="s">
        <v>3123</v>
      </c>
      <c r="C280" s="2920">
        <v>4010</v>
      </c>
      <c r="D280" s="2920">
        <v>3950</v>
      </c>
      <c r="E280" s="2920">
        <v>4710</v>
      </c>
      <c r="F280" s="2920">
        <v>800</v>
      </c>
      <c r="G280" s="2933">
        <v>2390</v>
      </c>
    </row>
    <row r="281" spans="1:7" s="2754" customFormat="1" ht="14.25" customHeight="1">
      <c r="A281" s="2920" t="s">
        <v>306</v>
      </c>
      <c r="B281" s="2920" t="s">
        <v>3124</v>
      </c>
      <c r="C281" s="2920">
        <v>4480</v>
      </c>
      <c r="D281" s="2920">
        <v>4420</v>
      </c>
      <c r="E281" s="2920">
        <v>5230</v>
      </c>
      <c r="F281" s="2920">
        <v>870</v>
      </c>
      <c r="G281" s="2933">
        <v>2660</v>
      </c>
    </row>
    <row r="282" spans="1:7" s="2754" customFormat="1" ht="14.25" customHeight="1">
      <c r="A282" s="2920" t="s">
        <v>306</v>
      </c>
      <c r="B282" s="2920" t="s">
        <v>3125</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3126</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3127</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2902</v>
      </c>
      <c r="C293" s="2920">
        <v>5320</v>
      </c>
      <c r="D293" s="2920">
        <v>5270</v>
      </c>
      <c r="E293" s="2920">
        <v>6160</v>
      </c>
      <c r="F293" s="2920">
        <v>990</v>
      </c>
      <c r="G293" s="2933">
        <v>3170</v>
      </c>
    </row>
    <row r="294" spans="1:7" s="2754" customFormat="1" ht="14.25" customHeight="1">
      <c r="A294" s="2920" t="s">
        <v>306</v>
      </c>
      <c r="B294" s="2920" t="s">
        <v>3128</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2921</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3129</v>
      </c>
      <c r="C302" s="2920">
        <v>5520</v>
      </c>
      <c r="D302" s="2920">
        <v>5470</v>
      </c>
      <c r="E302" s="2920">
        <v>6410</v>
      </c>
      <c r="F302" s="2920">
        <v>950</v>
      </c>
      <c r="G302" s="2933">
        <v>3300</v>
      </c>
    </row>
    <row r="303" spans="1:7" s="2754" customFormat="1" ht="14.25" customHeight="1">
      <c r="A303" s="2920" t="s">
        <v>306</v>
      </c>
      <c r="B303" s="2920" t="s">
        <v>2941</v>
      </c>
      <c r="C303" s="2920">
        <v>5630</v>
      </c>
      <c r="D303" s="2920">
        <v>5590</v>
      </c>
      <c r="E303" s="2920">
        <v>6550</v>
      </c>
      <c r="F303" s="2920">
        <v>1010</v>
      </c>
      <c r="G303" s="2933">
        <v>3370</v>
      </c>
    </row>
    <row r="304" spans="1:7" s="2754" customFormat="1" ht="14.25" customHeight="1">
      <c r="A304" s="2920" t="s">
        <v>306</v>
      </c>
      <c r="B304" s="2920" t="s">
        <v>2948</v>
      </c>
      <c r="C304" s="2920">
        <v>5680</v>
      </c>
      <c r="D304" s="2920">
        <v>5620</v>
      </c>
      <c r="E304" s="2920">
        <v>6620</v>
      </c>
      <c r="F304" s="2920">
        <v>1050</v>
      </c>
      <c r="G304" s="2933">
        <v>3390</v>
      </c>
    </row>
    <row r="305" spans="1:7" s="2754" customFormat="1" ht="14.25" customHeight="1">
      <c r="A305" s="2920" t="s">
        <v>306</v>
      </c>
      <c r="B305" s="2920" t="s">
        <v>2954</v>
      </c>
      <c r="C305" s="2920">
        <v>5590</v>
      </c>
      <c r="D305" s="2920">
        <v>5530</v>
      </c>
      <c r="E305" s="2920">
        <v>6460</v>
      </c>
      <c r="F305" s="2920">
        <v>900</v>
      </c>
      <c r="G305" s="2933">
        <v>3340</v>
      </c>
    </row>
    <row r="306" spans="1:7" s="2754" customFormat="1" ht="14.25" customHeight="1">
      <c r="A306" s="2920" t="s">
        <v>306</v>
      </c>
      <c r="B306" s="2920" t="s">
        <v>3130</v>
      </c>
      <c r="C306" s="2920">
        <v>5560</v>
      </c>
      <c r="D306" s="2920">
        <v>5510</v>
      </c>
      <c r="E306" s="2920">
        <v>6440</v>
      </c>
      <c r="F306" s="2920">
        <v>900</v>
      </c>
      <c r="G306" s="2933">
        <v>3320</v>
      </c>
    </row>
    <row r="307" spans="1:7" s="2754" customFormat="1" ht="14.25" customHeight="1">
      <c r="A307" s="2920" t="s">
        <v>306</v>
      </c>
      <c r="B307" s="2920" t="s">
        <v>2966</v>
      </c>
      <c r="C307" s="2920">
        <v>5650</v>
      </c>
      <c r="D307" s="2920">
        <v>5600</v>
      </c>
      <c r="E307" s="2920">
        <v>6590</v>
      </c>
      <c r="F307" s="2920">
        <v>930</v>
      </c>
      <c r="G307" s="2933">
        <v>3380</v>
      </c>
    </row>
    <row r="308" spans="1:7" s="2754" customFormat="1" ht="14.25" customHeight="1">
      <c r="A308" s="2920" t="s">
        <v>306</v>
      </c>
      <c r="B308" s="2920" t="s">
        <v>3131</v>
      </c>
      <c r="C308" s="2920">
        <v>5620</v>
      </c>
      <c r="D308" s="2920">
        <v>5580</v>
      </c>
      <c r="E308" s="2920">
        <v>6540</v>
      </c>
      <c r="F308" s="2920">
        <v>910</v>
      </c>
      <c r="G308" s="2933">
        <v>3370</v>
      </c>
    </row>
    <row r="309" spans="1:7" s="2754" customFormat="1" ht="14.25" customHeight="1">
      <c r="A309" s="2920" t="s">
        <v>306</v>
      </c>
      <c r="B309" s="2920" t="s">
        <v>3132</v>
      </c>
      <c r="C309" s="2920">
        <v>5060</v>
      </c>
      <c r="D309" s="2920">
        <v>5020</v>
      </c>
      <c r="E309" s="2920">
        <v>6370</v>
      </c>
      <c r="F309" s="2920">
        <v>800</v>
      </c>
      <c r="G309" s="2933">
        <v>3020</v>
      </c>
    </row>
    <row r="310" spans="1:7" s="2754" customFormat="1" ht="14.25" customHeight="1">
      <c r="A310" s="2920" t="s">
        <v>306</v>
      </c>
      <c r="B310" s="2920" t="s">
        <v>2981</v>
      </c>
      <c r="C310" s="2920">
        <v>5150</v>
      </c>
      <c r="D310" s="2920">
        <v>5110</v>
      </c>
      <c r="E310" s="2920">
        <v>6500</v>
      </c>
      <c r="F310" s="2920">
        <v>880</v>
      </c>
      <c r="G310" s="2933">
        <v>3080</v>
      </c>
    </row>
    <row r="311" spans="1:7" s="2754" customFormat="1" ht="14.25" customHeight="1">
      <c r="A311" s="2920" t="s">
        <v>306</v>
      </c>
      <c r="B311" s="2920" t="s">
        <v>3133</v>
      </c>
      <c r="C311" s="2920">
        <v>4750</v>
      </c>
      <c r="D311" s="2920">
        <v>4710</v>
      </c>
      <c r="E311" s="2920">
        <v>5510</v>
      </c>
      <c r="F311" s="2920">
        <v>880</v>
      </c>
      <c r="G311" s="2933">
        <v>2840</v>
      </c>
    </row>
    <row r="312" spans="1:7" s="2754" customFormat="1" ht="14.25" customHeight="1">
      <c r="A312" s="2920" t="s">
        <v>306</v>
      </c>
      <c r="B312" s="2920" t="s">
        <v>2991</v>
      </c>
      <c r="C312" s="2920">
        <v>4690</v>
      </c>
      <c r="D312" s="2920">
        <v>4640</v>
      </c>
      <c r="E312" s="2920">
        <v>5420</v>
      </c>
      <c r="F312" s="2920">
        <v>800</v>
      </c>
      <c r="G312" s="2933">
        <v>2800</v>
      </c>
    </row>
    <row r="313" spans="1:7" s="2754" customFormat="1" ht="14.25" customHeight="1">
      <c r="A313" s="2920" t="s">
        <v>306</v>
      </c>
      <c r="B313" s="2920" t="s">
        <v>2996</v>
      </c>
      <c r="C313" s="2920">
        <v>4810</v>
      </c>
      <c r="D313" s="2920">
        <v>4760</v>
      </c>
      <c r="E313" s="2920">
        <v>5550</v>
      </c>
      <c r="F313" s="2920">
        <v>920</v>
      </c>
      <c r="G313" s="2933">
        <v>2870</v>
      </c>
    </row>
    <row r="314" spans="1:7" s="2754" customFormat="1" ht="14.25" customHeight="1">
      <c r="A314" s="2920" t="s">
        <v>306</v>
      </c>
      <c r="B314" s="2920" t="s">
        <v>3134</v>
      </c>
      <c r="C314" s="2920"/>
      <c r="D314" s="2920"/>
      <c r="E314" s="2920"/>
      <c r="F314" s="2920">
        <v>1020</v>
      </c>
      <c r="G314" s="2933"/>
    </row>
    <row r="315" spans="1:7" s="2754" customFormat="1" ht="14.25" customHeight="1">
      <c r="A315" s="2920" t="s">
        <v>306</v>
      </c>
      <c r="B315" s="2920" t="s">
        <v>3135</v>
      </c>
      <c r="C315" s="2920"/>
      <c r="D315" s="2920"/>
      <c r="E315" s="2920"/>
      <c r="F315" s="2920">
        <v>1050</v>
      </c>
      <c r="G315" s="2933"/>
    </row>
    <row r="316" spans="1:7" s="2754" customFormat="1" ht="14.25" customHeight="1">
      <c r="A316" s="2920" t="s">
        <v>306</v>
      </c>
      <c r="B316" s="2920" t="s">
        <v>3011</v>
      </c>
      <c r="C316" s="2920"/>
      <c r="D316" s="2920"/>
      <c r="E316" s="2920"/>
      <c r="F316" s="2920">
        <v>900</v>
      </c>
      <c r="G316" s="2933"/>
    </row>
    <row r="317" spans="1:7" s="2754" customFormat="1" ht="14.25" customHeight="1">
      <c r="A317" s="2920" t="s">
        <v>306</v>
      </c>
      <c r="B317" s="2920" t="s">
        <v>3136</v>
      </c>
      <c r="C317" s="2920"/>
      <c r="D317" s="2920"/>
      <c r="E317" s="2920"/>
      <c r="F317" s="2920">
        <v>920</v>
      </c>
      <c r="G317" s="2933"/>
    </row>
    <row r="318" spans="1:7" s="2754" customFormat="1" ht="14.25" customHeight="1">
      <c r="A318" s="2920" t="s">
        <v>306</v>
      </c>
      <c r="B318" s="2920" t="s">
        <v>3137</v>
      </c>
      <c r="C318" s="2920"/>
      <c r="D318" s="2920"/>
      <c r="E318" s="2920"/>
      <c r="F318" s="2920">
        <v>1080</v>
      </c>
      <c r="G318" s="2933"/>
    </row>
    <row r="319" spans="1:7" s="2754" customFormat="1" ht="14.25" customHeight="1">
      <c r="A319" s="2920" t="s">
        <v>306</v>
      </c>
      <c r="B319" s="2920" t="s">
        <v>3024</v>
      </c>
      <c r="C319" s="2920"/>
      <c r="D319" s="2920"/>
      <c r="E319" s="2920"/>
      <c r="F319" s="2920">
        <v>1020</v>
      </c>
      <c r="G319" s="2933"/>
    </row>
    <row r="320" spans="1:7" s="2754" customFormat="1" ht="14.25" customHeight="1">
      <c r="A320" s="2920" t="s">
        <v>306</v>
      </c>
      <c r="B320" s="2920" t="s">
        <v>3027</v>
      </c>
      <c r="C320" s="2920"/>
      <c r="D320" s="2920"/>
      <c r="E320" s="2920"/>
      <c r="F320" s="2920">
        <v>1050</v>
      </c>
      <c r="G320" s="2933"/>
    </row>
    <row r="321" spans="1:7" s="2754" customFormat="1" ht="14.25" customHeight="1">
      <c r="A321" s="2920" t="s">
        <v>306</v>
      </c>
      <c r="B321" s="2920" t="s">
        <v>3029</v>
      </c>
      <c r="C321" s="2920"/>
      <c r="D321" s="2920"/>
      <c r="E321" s="2920"/>
      <c r="F321" s="2920">
        <v>960</v>
      </c>
      <c r="G321" s="2933"/>
    </row>
    <row r="322" spans="1:7" s="2754" customFormat="1" ht="14.25" customHeight="1">
      <c r="A322" s="2920" t="s">
        <v>306</v>
      </c>
      <c r="B322" s="2920" t="s">
        <v>3031</v>
      </c>
      <c r="C322" s="2920"/>
      <c r="D322" s="2920"/>
      <c r="E322" s="2920"/>
      <c r="F322" s="2920">
        <v>960</v>
      </c>
      <c r="G322" s="2933"/>
    </row>
    <row r="323" spans="1:7" s="2754" customFormat="1" ht="14.25" customHeight="1">
      <c r="A323" s="2920" t="s">
        <v>306</v>
      </c>
      <c r="B323" s="2920" t="s">
        <v>3033</v>
      </c>
      <c r="C323" s="2920"/>
      <c r="D323" s="2920"/>
      <c r="E323" s="2920"/>
      <c r="F323" s="2920">
        <v>880</v>
      </c>
      <c r="G323" s="2933"/>
    </row>
    <row r="324" spans="1:7" s="2754" customFormat="1" ht="14.25" customHeight="1">
      <c r="A324" s="2920" t="s">
        <v>306</v>
      </c>
      <c r="B324" s="2920" t="s">
        <v>3035</v>
      </c>
      <c r="C324" s="2920"/>
      <c r="D324" s="2920"/>
      <c r="E324" s="2920"/>
      <c r="F324" s="2920">
        <v>930</v>
      </c>
      <c r="G324" s="2933"/>
    </row>
    <row r="325" spans="1:7" s="2754" customFormat="1" ht="14.25" customHeight="1">
      <c r="A325" s="2920" t="s">
        <v>306</v>
      </c>
      <c r="B325" s="2921" t="s">
        <v>3037</v>
      </c>
      <c r="C325" s="2920"/>
      <c r="D325" s="2920"/>
      <c r="E325" s="2920"/>
      <c r="F325" s="2920">
        <v>900</v>
      </c>
      <c r="G325" s="2933"/>
    </row>
    <row r="326" spans="1:7" s="2754" customFormat="1" ht="14.25" customHeight="1" thickBot="1">
      <c r="A326" s="2934" t="s">
        <v>306</v>
      </c>
      <c r="B326" s="2927" t="s">
        <v>3039</v>
      </c>
      <c r="C326" s="2927"/>
      <c r="D326" s="2927"/>
      <c r="E326" s="2927"/>
      <c r="F326" s="2927">
        <v>790</v>
      </c>
      <c r="G326" s="2935"/>
    </row>
    <row r="327" spans="1:7" s="2754" customFormat="1" ht="14.25" customHeight="1">
      <c r="A327" s="2925" t="s">
        <v>307</v>
      </c>
      <c r="B327" s="2916" t="s">
        <v>3138</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3139</v>
      </c>
      <c r="C329" s="2920">
        <v>2730</v>
      </c>
      <c r="D329" s="2920">
        <v>2690</v>
      </c>
      <c r="E329" s="2920">
        <v>3100</v>
      </c>
      <c r="F329" s="2920">
        <v>660</v>
      </c>
      <c r="G329" s="2920">
        <v>1610</v>
      </c>
    </row>
    <row r="330" spans="1:7" s="2754" customFormat="1" ht="14.25" customHeight="1">
      <c r="A330" s="2920" t="s">
        <v>307</v>
      </c>
      <c r="B330" s="2920" t="s">
        <v>3140</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2873</v>
      </c>
      <c r="C332" s="2920">
        <v>3520</v>
      </c>
      <c r="D332" s="2920">
        <v>3480</v>
      </c>
      <c r="E332" s="2920">
        <v>3830</v>
      </c>
      <c r="F332" s="2920">
        <v>720</v>
      </c>
      <c r="G332" s="2920">
        <v>2090</v>
      </c>
    </row>
    <row r="333" spans="1:7" s="2754" customFormat="1" ht="14.25" customHeight="1">
      <c r="A333" s="2920" t="s">
        <v>307</v>
      </c>
      <c r="B333" s="2920" t="s">
        <v>3141</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2883</v>
      </c>
      <c r="C336" s="2920">
        <v>3570</v>
      </c>
      <c r="D336" s="2920">
        <v>3530</v>
      </c>
      <c r="E336" s="2920">
        <v>3880</v>
      </c>
      <c r="F336" s="2920">
        <v>770</v>
      </c>
      <c r="G336" s="2920">
        <v>2110</v>
      </c>
    </row>
    <row r="337" spans="1:10" s="2754" customFormat="1" ht="14.25" customHeight="1">
      <c r="A337" s="2920" t="s">
        <v>307</v>
      </c>
      <c r="B337" s="2920" t="s">
        <v>3142</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3143</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3144</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2908</v>
      </c>
      <c r="C345" s="2920">
        <v>3190</v>
      </c>
      <c r="D345" s="2920">
        <v>3140</v>
      </c>
      <c r="E345" s="2920">
        <v>3450</v>
      </c>
      <c r="F345" s="2920">
        <v>720</v>
      </c>
      <c r="G345" s="2920">
        <v>1880</v>
      </c>
      <c r="J345" s="2754"/>
    </row>
    <row r="346" spans="1:10">
      <c r="A346" s="2920" t="s">
        <v>307</v>
      </c>
      <c r="B346" s="2920" t="s">
        <v>3145</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2917</v>
      </c>
      <c r="C348" s="2920">
        <v>4000</v>
      </c>
      <c r="D348" s="2920">
        <v>3950</v>
      </c>
      <c r="E348" s="2920">
        <v>4430</v>
      </c>
      <c r="F348" s="2920">
        <v>760</v>
      </c>
      <c r="G348" s="2920">
        <v>2360</v>
      </c>
      <c r="J348" s="2754"/>
    </row>
    <row r="349" spans="1:10">
      <c r="A349" s="2920" t="s">
        <v>307</v>
      </c>
      <c r="B349" s="2920" t="s">
        <v>2922</v>
      </c>
      <c r="C349" s="2920">
        <v>3820</v>
      </c>
      <c r="D349" s="2920">
        <v>3780</v>
      </c>
      <c r="E349" s="2920">
        <v>4170</v>
      </c>
      <c r="F349" s="2920">
        <v>710</v>
      </c>
      <c r="G349" s="2920">
        <v>2260</v>
      </c>
      <c r="J349" s="2754"/>
    </row>
    <row r="350" spans="1:10">
      <c r="A350" s="2920" t="s">
        <v>307</v>
      </c>
      <c r="B350" s="2920" t="s">
        <v>3146</v>
      </c>
      <c r="C350" s="2920">
        <v>3760</v>
      </c>
      <c r="D350" s="2920">
        <v>3730</v>
      </c>
      <c r="E350" s="2920">
        <v>4100</v>
      </c>
      <c r="F350" s="2920">
        <v>800</v>
      </c>
      <c r="G350" s="2920">
        <v>2230</v>
      </c>
      <c r="J350" s="2754"/>
    </row>
    <row r="351" spans="1:10">
      <c r="A351" s="2920" t="s">
        <v>307</v>
      </c>
      <c r="B351" s="2920" t="s">
        <v>2930</v>
      </c>
      <c r="C351" s="2920">
        <v>3610</v>
      </c>
      <c r="D351" s="2920">
        <v>3580</v>
      </c>
      <c r="E351" s="2920">
        <v>3930</v>
      </c>
      <c r="F351" s="2920">
        <v>700</v>
      </c>
      <c r="G351" s="2920">
        <v>2140</v>
      </c>
      <c r="J351" s="2754"/>
    </row>
    <row r="352" spans="1:10">
      <c r="A352" s="2920" t="s">
        <v>307</v>
      </c>
      <c r="B352" s="2920" t="s">
        <v>2935</v>
      </c>
      <c r="C352" s="2920">
        <v>3670</v>
      </c>
      <c r="D352" s="2920">
        <v>3630</v>
      </c>
      <c r="E352" s="2920">
        <v>4000</v>
      </c>
      <c r="F352" s="2920">
        <v>750</v>
      </c>
      <c r="G352" s="2920">
        <v>2180</v>
      </c>
    </row>
    <row r="353" spans="1:7" s="2755" customFormat="1">
      <c r="A353" s="2920" t="s">
        <v>307</v>
      </c>
      <c r="B353" s="2920" t="s">
        <v>3147</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2955</v>
      </c>
      <c r="C355" s="2920">
        <v>3650</v>
      </c>
      <c r="D355" s="2920">
        <v>3610</v>
      </c>
      <c r="E355" s="2920">
        <v>4200</v>
      </c>
      <c r="F355" s="2920">
        <v>640</v>
      </c>
      <c r="G355" s="2920">
        <v>2160</v>
      </c>
    </row>
    <row r="356" spans="1:7" s="2755" customFormat="1">
      <c r="A356" s="2920" t="s">
        <v>307</v>
      </c>
      <c r="B356" s="2920" t="s">
        <v>2962</v>
      </c>
      <c r="C356" s="2920">
        <v>3260</v>
      </c>
      <c r="D356" s="2920">
        <v>3230</v>
      </c>
      <c r="E356" s="2920">
        <v>3740</v>
      </c>
      <c r="F356" s="2920">
        <v>600</v>
      </c>
      <c r="G356" s="2920">
        <v>1930</v>
      </c>
    </row>
    <row r="357" spans="1:7" s="2755" customFormat="1" ht="12" thickBot="1">
      <c r="A357" s="2928" t="s">
        <v>307</v>
      </c>
      <c r="B357" s="2931" t="s">
        <v>3148</v>
      </c>
      <c r="C357" s="2931">
        <v>3690</v>
      </c>
      <c r="D357" s="2931">
        <v>3650</v>
      </c>
      <c r="E357" s="2931">
        <v>4020</v>
      </c>
      <c r="F357" s="2931">
        <v>700</v>
      </c>
      <c r="G357" s="2931">
        <v>2190</v>
      </c>
    </row>
    <row r="358" spans="1:7" s="2755" customFormat="1">
      <c r="A358" s="2925" t="s">
        <v>3149</v>
      </c>
      <c r="B358" s="2916" t="s">
        <v>3150</v>
      </c>
      <c r="C358" s="2916">
        <v>2080</v>
      </c>
      <c r="D358" s="2916">
        <v>2040</v>
      </c>
      <c r="E358" s="2916">
        <v>2010</v>
      </c>
      <c r="F358" s="2916">
        <v>530</v>
      </c>
      <c r="G358" s="2932">
        <v>1230</v>
      </c>
    </row>
    <row r="359" spans="1:7" s="2755" customFormat="1">
      <c r="A359" s="2920" t="s">
        <v>3149</v>
      </c>
      <c r="B359" s="2920" t="s">
        <v>3151</v>
      </c>
      <c r="C359" s="2920">
        <v>1850</v>
      </c>
      <c r="D359" s="2920">
        <v>1820</v>
      </c>
      <c r="E359" s="2920">
        <v>1780</v>
      </c>
      <c r="F359" s="2920">
        <v>520</v>
      </c>
      <c r="G359" s="2933">
        <v>1100</v>
      </c>
    </row>
    <row r="360" spans="1:7" s="2755" customFormat="1">
      <c r="A360" s="2920" t="s">
        <v>3149</v>
      </c>
      <c r="B360" s="2920" t="s">
        <v>3152</v>
      </c>
      <c r="C360" s="2920">
        <v>2020</v>
      </c>
      <c r="D360" s="2920">
        <v>1990</v>
      </c>
      <c r="E360" s="2920">
        <v>1950</v>
      </c>
      <c r="F360" s="2920">
        <v>500</v>
      </c>
      <c r="G360" s="2933">
        <v>1200</v>
      </c>
    </row>
    <row r="361" spans="1:7" s="2755" customFormat="1">
      <c r="A361" s="2920" t="s">
        <v>3149</v>
      </c>
      <c r="B361" s="2920" t="s">
        <v>153</v>
      </c>
      <c r="C361" s="2920">
        <v>2260</v>
      </c>
      <c r="D361" s="2920">
        <v>2220</v>
      </c>
      <c r="E361" s="2920">
        <v>2180</v>
      </c>
      <c r="F361" s="2920">
        <v>580</v>
      </c>
      <c r="G361" s="2933">
        <v>1340</v>
      </c>
    </row>
    <row r="362" spans="1:7" s="2755" customFormat="1">
      <c r="A362" s="2920" t="s">
        <v>3149</v>
      </c>
      <c r="B362" s="2920" t="s">
        <v>3153</v>
      </c>
      <c r="C362" s="2920">
        <v>2650</v>
      </c>
      <c r="D362" s="2920">
        <v>2610</v>
      </c>
      <c r="E362" s="2920">
        <v>2570</v>
      </c>
      <c r="F362" s="2920">
        <v>630</v>
      </c>
      <c r="G362" s="2933">
        <v>1570</v>
      </c>
    </row>
    <row r="363" spans="1:7" s="2755" customFormat="1">
      <c r="A363" s="2920" t="s">
        <v>3149</v>
      </c>
      <c r="B363" s="2920" t="s">
        <v>2874</v>
      </c>
      <c r="C363" s="2920">
        <v>2390</v>
      </c>
      <c r="D363" s="2920">
        <v>2360</v>
      </c>
      <c r="E363" s="2920">
        <v>2320</v>
      </c>
      <c r="F363" s="2920">
        <v>600</v>
      </c>
      <c r="G363" s="2933">
        <v>1420</v>
      </c>
    </row>
    <row r="364" spans="1:7" s="2755" customFormat="1">
      <c r="A364" s="2920" t="s">
        <v>3149</v>
      </c>
      <c r="B364" s="2920" t="s">
        <v>3154</v>
      </c>
      <c r="C364" s="2920">
        <v>2050</v>
      </c>
      <c r="D364" s="2920">
        <v>2030</v>
      </c>
      <c r="E364" s="2920">
        <v>1990</v>
      </c>
      <c r="F364" s="2920">
        <v>550</v>
      </c>
      <c r="G364" s="2933">
        <v>1220</v>
      </c>
    </row>
    <row r="365" spans="1:7" s="2755" customFormat="1">
      <c r="A365" s="2920" t="s">
        <v>3149</v>
      </c>
      <c r="B365" s="2920" t="s">
        <v>200</v>
      </c>
      <c r="C365" s="2920">
        <v>2140</v>
      </c>
      <c r="D365" s="2920">
        <v>2100</v>
      </c>
      <c r="E365" s="2920">
        <v>2060</v>
      </c>
      <c r="F365" s="2920">
        <v>540</v>
      </c>
      <c r="G365" s="2933">
        <v>1270</v>
      </c>
    </row>
    <row r="366" spans="1:7" s="2755" customFormat="1">
      <c r="A366" s="2920" t="s">
        <v>3149</v>
      </c>
      <c r="B366" s="2920" t="s">
        <v>2881</v>
      </c>
      <c r="C366" s="2920">
        <v>2410</v>
      </c>
      <c r="D366" s="2920">
        <v>2370</v>
      </c>
      <c r="E366" s="2920">
        <v>2330</v>
      </c>
      <c r="F366" s="2920">
        <v>570</v>
      </c>
      <c r="G366" s="2933">
        <v>1440</v>
      </c>
    </row>
    <row r="367" spans="1:7" s="2755" customFormat="1">
      <c r="A367" s="2920" t="s">
        <v>3149</v>
      </c>
      <c r="B367" s="2920" t="s">
        <v>3155</v>
      </c>
      <c r="C367" s="2920">
        <v>2300</v>
      </c>
      <c r="D367" s="2920">
        <v>2260</v>
      </c>
      <c r="E367" s="2920">
        <v>2220</v>
      </c>
      <c r="F367" s="2920">
        <v>560</v>
      </c>
      <c r="G367" s="2933">
        <v>1370</v>
      </c>
    </row>
    <row r="368" spans="1:7" s="2755" customFormat="1">
      <c r="A368" s="2920" t="s">
        <v>3149</v>
      </c>
      <c r="B368" s="2920" t="s">
        <v>3156</v>
      </c>
      <c r="C368" s="2920">
        <v>2430</v>
      </c>
      <c r="D368" s="2920">
        <v>2390</v>
      </c>
      <c r="E368" s="2920">
        <v>2350</v>
      </c>
      <c r="F368" s="2920">
        <v>570</v>
      </c>
      <c r="G368" s="2933">
        <v>1450</v>
      </c>
    </row>
    <row r="369" spans="1:7" s="2755" customFormat="1">
      <c r="A369" s="2920" t="s">
        <v>3149</v>
      </c>
      <c r="B369" s="2920" t="s">
        <v>214</v>
      </c>
      <c r="C369" s="2920">
        <v>2320</v>
      </c>
      <c r="D369" s="2920">
        <v>2290</v>
      </c>
      <c r="E369" s="2920">
        <v>2250</v>
      </c>
      <c r="F369" s="2920">
        <v>550</v>
      </c>
      <c r="G369" s="2933">
        <v>1380</v>
      </c>
    </row>
    <row r="370" spans="1:7" s="2755" customFormat="1">
      <c r="A370" s="2920" t="s">
        <v>3149</v>
      </c>
      <c r="B370" s="2920" t="s">
        <v>221</v>
      </c>
      <c r="C370" s="2920">
        <v>2190</v>
      </c>
      <c r="D370" s="2920">
        <v>2170</v>
      </c>
      <c r="E370" s="2920">
        <v>2130</v>
      </c>
      <c r="F370" s="2920">
        <v>530</v>
      </c>
      <c r="G370" s="2933">
        <v>1310</v>
      </c>
    </row>
    <row r="371" spans="1:7" s="2755" customFormat="1">
      <c r="A371" s="2920" t="s">
        <v>3149</v>
      </c>
      <c r="B371" s="2920" t="s">
        <v>229</v>
      </c>
      <c r="C371" s="2920">
        <v>2460</v>
      </c>
      <c r="D371" s="2920">
        <v>2420</v>
      </c>
      <c r="E371" s="2920">
        <v>2370</v>
      </c>
      <c r="F371" s="2920">
        <v>560</v>
      </c>
      <c r="G371" s="2933">
        <v>1470</v>
      </c>
    </row>
    <row r="372" spans="1:7" s="2755" customFormat="1">
      <c r="A372" s="2920" t="s">
        <v>3149</v>
      </c>
      <c r="B372" s="2920" t="s">
        <v>3157</v>
      </c>
      <c r="C372" s="2920">
        <v>2250</v>
      </c>
      <c r="D372" s="2920">
        <v>2210</v>
      </c>
      <c r="E372" s="2920">
        <v>2180</v>
      </c>
      <c r="F372" s="2920">
        <v>550</v>
      </c>
      <c r="G372" s="2933">
        <v>1340</v>
      </c>
    </row>
    <row r="373" spans="1:7" s="2755" customFormat="1">
      <c r="A373" s="2920" t="s">
        <v>3149</v>
      </c>
      <c r="B373" s="2920" t="s">
        <v>258</v>
      </c>
      <c r="C373" s="2920">
        <v>2210</v>
      </c>
      <c r="D373" s="2920">
        <v>2190</v>
      </c>
      <c r="E373" s="2920">
        <v>2150</v>
      </c>
      <c r="F373" s="2920">
        <v>530</v>
      </c>
      <c r="G373" s="2933">
        <v>1320</v>
      </c>
    </row>
    <row r="374" spans="1:7" s="2755" customFormat="1">
      <c r="A374" s="2920" t="s">
        <v>3149</v>
      </c>
      <c r="B374" s="2920" t="s">
        <v>266</v>
      </c>
      <c r="C374" s="2920">
        <v>2320</v>
      </c>
      <c r="D374" s="2920">
        <v>2280</v>
      </c>
      <c r="E374" s="2920">
        <v>2230</v>
      </c>
      <c r="F374" s="2920">
        <v>580</v>
      </c>
      <c r="G374" s="2933">
        <v>1380</v>
      </c>
    </row>
    <row r="375" spans="1:7" s="2755" customFormat="1">
      <c r="A375" s="2920" t="s">
        <v>3149</v>
      </c>
      <c r="B375" s="2920" t="s">
        <v>3158</v>
      </c>
      <c r="C375" s="2920">
        <v>2090</v>
      </c>
      <c r="D375" s="2920">
        <v>2050</v>
      </c>
      <c r="E375" s="2920">
        <v>2020</v>
      </c>
      <c r="F375" s="2920">
        <v>520</v>
      </c>
      <c r="G375" s="2933">
        <v>1240</v>
      </c>
    </row>
    <row r="376" spans="1:7" s="2755" customFormat="1">
      <c r="A376" s="2920" t="s">
        <v>3149</v>
      </c>
      <c r="B376" s="2920" t="s">
        <v>277</v>
      </c>
      <c r="C376" s="2920">
        <v>2010</v>
      </c>
      <c r="D376" s="2920">
        <v>1980</v>
      </c>
      <c r="E376" s="2920">
        <v>1940</v>
      </c>
      <c r="F376" s="2920">
        <v>540</v>
      </c>
      <c r="G376" s="2933">
        <v>1190</v>
      </c>
    </row>
    <row r="377" spans="1:7" s="2755" customFormat="1" ht="12" thickBot="1">
      <c r="A377" s="2928" t="s">
        <v>3149</v>
      </c>
      <c r="B377" s="2931" t="s">
        <v>2911</v>
      </c>
      <c r="C377" s="2931">
        <v>1930</v>
      </c>
      <c r="D377" s="2931">
        <v>1890</v>
      </c>
      <c r="E377" s="2931">
        <v>1860</v>
      </c>
      <c r="F377" s="2931">
        <v>530</v>
      </c>
      <c r="G377" s="2936">
        <v>1150</v>
      </c>
    </row>
    <row r="378" spans="1:7" s="2755" customFormat="1">
      <c r="A378" s="2937" t="s">
        <v>3159</v>
      </c>
      <c r="B378" s="2916" t="s">
        <v>3160</v>
      </c>
      <c r="C378" s="2916">
        <v>1520</v>
      </c>
      <c r="D378" s="2916">
        <v>1490</v>
      </c>
      <c r="E378" s="2916">
        <v>1460</v>
      </c>
      <c r="F378" s="2916">
        <v>460</v>
      </c>
      <c r="G378" s="2932">
        <v>940</v>
      </c>
    </row>
    <row r="379" spans="1:7" s="2755" customFormat="1">
      <c r="A379" s="2938" t="s">
        <v>3159</v>
      </c>
      <c r="B379" s="2920" t="s">
        <v>3161</v>
      </c>
      <c r="C379" s="2920">
        <v>1500</v>
      </c>
      <c r="D379" s="2920">
        <v>1470</v>
      </c>
      <c r="E379" s="2920">
        <v>1430</v>
      </c>
      <c r="F379" s="2920">
        <v>460</v>
      </c>
      <c r="G379" s="2933">
        <v>920</v>
      </c>
    </row>
    <row r="380" spans="1:7" s="2755" customFormat="1">
      <c r="A380" s="2938" t="s">
        <v>3159</v>
      </c>
      <c r="B380" s="2920" t="s">
        <v>3162</v>
      </c>
      <c r="C380" s="2920">
        <v>1620</v>
      </c>
      <c r="D380" s="2920">
        <v>1590</v>
      </c>
      <c r="E380" s="2920">
        <v>1560</v>
      </c>
      <c r="F380" s="2920">
        <v>480</v>
      </c>
      <c r="G380" s="2933">
        <v>1000</v>
      </c>
    </row>
    <row r="381" spans="1:7" s="2755" customFormat="1">
      <c r="A381" s="2938" t="s">
        <v>3159</v>
      </c>
      <c r="B381" s="2920" t="s">
        <v>3163</v>
      </c>
      <c r="C381" s="2920">
        <v>1460</v>
      </c>
      <c r="D381" s="2920">
        <v>1430</v>
      </c>
      <c r="E381" s="2920">
        <v>1390</v>
      </c>
      <c r="F381" s="2920">
        <v>450</v>
      </c>
      <c r="G381" s="2933">
        <v>900</v>
      </c>
    </row>
    <row r="382" spans="1:7" s="2755" customFormat="1">
      <c r="A382" s="2938" t="s">
        <v>3159</v>
      </c>
      <c r="B382" s="2920" t="s">
        <v>3164</v>
      </c>
      <c r="C382" s="2920">
        <v>1310</v>
      </c>
      <c r="D382" s="2920">
        <v>1280</v>
      </c>
      <c r="E382" s="2920">
        <v>1250</v>
      </c>
      <c r="F382" s="2920">
        <v>440</v>
      </c>
      <c r="G382" s="2933">
        <v>800</v>
      </c>
    </row>
    <row r="383" spans="1:7" s="2755" customFormat="1">
      <c r="A383" s="2938" t="s">
        <v>3159</v>
      </c>
      <c r="B383" s="2920" t="s">
        <v>3165</v>
      </c>
      <c r="C383" s="2920">
        <v>1260</v>
      </c>
      <c r="D383" s="2920">
        <v>1230</v>
      </c>
      <c r="E383" s="2920">
        <v>1200</v>
      </c>
      <c r="F383" s="2920">
        <v>420</v>
      </c>
      <c r="G383" s="2933">
        <v>770</v>
      </c>
    </row>
    <row r="384" spans="1:7" s="2755" customFormat="1" ht="12" thickBot="1">
      <c r="A384" s="2939" t="s">
        <v>3159</v>
      </c>
      <c r="B384" s="2927" t="s">
        <v>3166</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81" t="s">
        <v>3167</v>
      </c>
      <c r="B1" s="3481"/>
    </row>
    <row r="2" spans="1:7" ht="14.25" thickBot="1">
      <c r="A2" s="2941"/>
      <c r="B2" s="2941"/>
    </row>
    <row r="3" spans="1:7" ht="14.25" thickBot="1">
      <c r="A3" s="2941"/>
      <c r="B3" s="2941"/>
      <c r="C3" s="2942" t="s">
        <v>2797</v>
      </c>
      <c r="D3" s="2942" t="s">
        <v>2853</v>
      </c>
      <c r="E3" s="2942" t="s">
        <v>2799</v>
      </c>
      <c r="F3" s="2942" t="s">
        <v>2854</v>
      </c>
      <c r="G3" s="2942" t="s">
        <v>2617</v>
      </c>
    </row>
    <row r="4" spans="1:7" ht="14.25" thickBot="1">
      <c r="A4" s="2943" t="s">
        <v>2852</v>
      </c>
      <c r="B4" s="2944" t="s">
        <v>2858</v>
      </c>
      <c r="C4" s="2942"/>
      <c r="D4" s="2942"/>
      <c r="E4" s="2942"/>
      <c r="F4" s="2942"/>
      <c r="G4" s="2942"/>
    </row>
    <row r="5" spans="1:7">
      <c r="A5" s="2945" t="s">
        <v>2826</v>
      </c>
      <c r="B5" s="2946" t="s">
        <v>2840</v>
      </c>
      <c r="C5" s="2947">
        <v>9.8000000000000004E-2</v>
      </c>
      <c r="D5" s="2947">
        <v>8.6999999999999994E-2</v>
      </c>
      <c r="E5" s="2947">
        <v>8.6999999999999994E-2</v>
      </c>
      <c r="F5" s="2947">
        <v>9.8000000000000004E-2</v>
      </c>
      <c r="G5" s="2948">
        <v>9.5000000000000001E-2</v>
      </c>
    </row>
    <row r="6" spans="1:7">
      <c r="A6" s="2949" t="s">
        <v>144</v>
      </c>
      <c r="B6" s="2950" t="s">
        <v>2855</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2841</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2891</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2909</v>
      </c>
      <c r="C29" s="2959"/>
      <c r="D29" s="2955">
        <v>5.1999999999999998E-2</v>
      </c>
      <c r="E29" s="2955">
        <v>7.0000000000000007E-2</v>
      </c>
      <c r="F29" s="2959"/>
      <c r="G29" s="2957">
        <v>7.0999999999999994E-2</v>
      </c>
    </row>
    <row r="30" spans="1:7">
      <c r="A30" s="2960" t="s">
        <v>296</v>
      </c>
      <c r="B30" s="2946" t="s">
        <v>2842</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2828</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2912</v>
      </c>
      <c r="C50" s="2951">
        <v>9.8000000000000004E-2</v>
      </c>
      <c r="D50" s="2951">
        <v>7.2999999999999995E-2</v>
      </c>
      <c r="E50" s="2951">
        <v>7.0999999999999994E-2</v>
      </c>
      <c r="F50" s="2962"/>
      <c r="G50" s="2952">
        <v>7.2999999999999995E-2</v>
      </c>
    </row>
    <row r="51" spans="1:7">
      <c r="A51" s="2961" t="s">
        <v>296</v>
      </c>
      <c r="B51" s="2950" t="s">
        <v>2914</v>
      </c>
      <c r="C51" s="2951">
        <v>9.9000000000000005E-2</v>
      </c>
      <c r="D51" s="2951">
        <v>8.5000000000000006E-2</v>
      </c>
      <c r="E51" s="2951">
        <v>6.3E-2</v>
      </c>
      <c r="F51" s="2962"/>
      <c r="G51" s="2952">
        <v>9.6000000000000002E-2</v>
      </c>
    </row>
    <row r="52" spans="1:7">
      <c r="A52" s="2961" t="s">
        <v>296</v>
      </c>
      <c r="B52" s="2950" t="s">
        <v>2918</v>
      </c>
      <c r="C52" s="2951">
        <v>7.3999999999999996E-2</v>
      </c>
      <c r="D52" s="2951">
        <v>9.6000000000000002E-2</v>
      </c>
      <c r="E52" s="2951">
        <v>0.05</v>
      </c>
      <c r="F52" s="2962"/>
      <c r="G52" s="2952">
        <v>9.8000000000000004E-2</v>
      </c>
    </row>
    <row r="53" spans="1:7">
      <c r="A53" s="2961" t="s">
        <v>296</v>
      </c>
      <c r="B53" s="2950" t="s">
        <v>2923</v>
      </c>
      <c r="C53" s="2951">
        <v>8.5999999999999993E-2</v>
      </c>
      <c r="D53" s="2962"/>
      <c r="E53" s="2951">
        <v>9.1999999999999998E-2</v>
      </c>
      <c r="F53" s="2962"/>
      <c r="G53" s="2963"/>
    </row>
    <row r="54" spans="1:7" ht="14.25" thickBot="1">
      <c r="A54" s="2964" t="s">
        <v>296</v>
      </c>
      <c r="B54" s="2954" t="s">
        <v>2926</v>
      </c>
      <c r="C54" s="2955">
        <v>9.6000000000000002E-2</v>
      </c>
      <c r="D54" s="2956"/>
      <c r="E54" s="2965"/>
      <c r="F54" s="2956"/>
      <c r="G54" s="2966"/>
    </row>
    <row r="55" spans="1:7">
      <c r="A55" s="2960" t="s">
        <v>110</v>
      </c>
      <c r="B55" s="2946" t="s">
        <v>2843</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2924</v>
      </c>
      <c r="C78" s="2951">
        <v>0.1</v>
      </c>
      <c r="D78" s="2951">
        <v>8.5000000000000006E-2</v>
      </c>
      <c r="E78" s="2951">
        <v>9.6000000000000002E-2</v>
      </c>
      <c r="F78" s="2962"/>
      <c r="G78" s="2952">
        <v>9.6000000000000002E-2</v>
      </c>
    </row>
    <row r="79" spans="1:7">
      <c r="A79" s="2961" t="s">
        <v>110</v>
      </c>
      <c r="B79" s="2950" t="s">
        <v>2927</v>
      </c>
      <c r="C79" s="2951">
        <v>0.05</v>
      </c>
      <c r="D79" s="2951">
        <v>9.6000000000000002E-2</v>
      </c>
      <c r="E79" s="2951">
        <v>9.5000000000000001E-2</v>
      </c>
      <c r="F79" s="2962"/>
      <c r="G79" s="2952">
        <v>9.8000000000000004E-2</v>
      </c>
    </row>
    <row r="80" spans="1:7">
      <c r="A80" s="2961" t="s">
        <v>110</v>
      </c>
      <c r="B80" s="2950" t="s">
        <v>2931</v>
      </c>
      <c r="C80" s="2951">
        <v>8.5999999999999993E-2</v>
      </c>
      <c r="D80" s="2967"/>
      <c r="E80" s="2951">
        <v>0.1</v>
      </c>
      <c r="F80" s="2962"/>
      <c r="G80" s="2963"/>
    </row>
    <row r="81" spans="1:7">
      <c r="A81" s="2961" t="s">
        <v>110</v>
      </c>
      <c r="B81" s="2950" t="s">
        <v>2936</v>
      </c>
      <c r="C81" s="2951">
        <v>9.6000000000000002E-2</v>
      </c>
      <c r="D81" s="2962"/>
      <c r="E81" s="2951">
        <v>9.8000000000000004E-2</v>
      </c>
      <c r="F81" s="2962"/>
      <c r="G81" s="2963"/>
    </row>
    <row r="82" spans="1:7">
      <c r="A82" s="2961" t="s">
        <v>110</v>
      </c>
      <c r="B82" s="2950" t="s">
        <v>2943</v>
      </c>
      <c r="C82" s="2967"/>
      <c r="D82" s="2962"/>
      <c r="E82" s="2951">
        <v>7.6999999999999999E-2</v>
      </c>
      <c r="F82" s="2962"/>
      <c r="G82" s="2963"/>
    </row>
    <row r="83" spans="1:7">
      <c r="A83" s="2961" t="s">
        <v>110</v>
      </c>
      <c r="B83" s="2950" t="s">
        <v>2949</v>
      </c>
      <c r="C83" s="2962"/>
      <c r="D83" s="2962"/>
      <c r="E83" s="2962"/>
      <c r="F83" s="2951">
        <v>0.1</v>
      </c>
      <c r="G83" s="2968"/>
    </row>
    <row r="84" spans="1:7">
      <c r="A84" s="2961" t="s">
        <v>110</v>
      </c>
      <c r="B84" s="2950" t="s">
        <v>2956</v>
      </c>
      <c r="C84" s="2962"/>
      <c r="D84" s="2962"/>
      <c r="E84" s="2962"/>
      <c r="F84" s="2951">
        <v>0.1</v>
      </c>
      <c r="G84" s="2968"/>
    </row>
    <row r="85" spans="1:7">
      <c r="A85" s="2961" t="s">
        <v>110</v>
      </c>
      <c r="B85" s="2950" t="s">
        <v>2963</v>
      </c>
      <c r="C85" s="2962"/>
      <c r="D85" s="2962"/>
      <c r="E85" s="2962"/>
      <c r="F85" s="2951">
        <v>0.1</v>
      </c>
      <c r="G85" s="2968"/>
    </row>
    <row r="86" spans="1:7" ht="14.25" thickBot="1">
      <c r="A86" s="2964" t="s">
        <v>110</v>
      </c>
      <c r="B86" s="2954" t="s">
        <v>2968</v>
      </c>
      <c r="C86" s="2955">
        <v>9.8000000000000004E-2</v>
      </c>
      <c r="D86" s="2955">
        <v>9.8000000000000004E-2</v>
      </c>
      <c r="E86" s="2955">
        <v>9.6000000000000002E-2</v>
      </c>
      <c r="F86" s="2965"/>
      <c r="G86" s="2957">
        <v>0.1</v>
      </c>
    </row>
    <row r="87" spans="1:7">
      <c r="A87" s="2960" t="s">
        <v>303</v>
      </c>
      <c r="B87" s="2946" t="s">
        <v>2844</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2937</v>
      </c>
      <c r="C113" s="2951">
        <v>0.1</v>
      </c>
      <c r="D113" s="2951">
        <v>0.1</v>
      </c>
      <c r="E113" s="2962"/>
      <c r="F113" s="2962"/>
      <c r="G113" s="2952">
        <v>0.1</v>
      </c>
    </row>
    <row r="114" spans="1:7">
      <c r="A114" s="2961" t="s">
        <v>303</v>
      </c>
      <c r="B114" s="2950" t="s">
        <v>2944</v>
      </c>
      <c r="C114" s="2951">
        <v>9.7000000000000003E-2</v>
      </c>
      <c r="D114" s="2951">
        <v>9.7000000000000003E-2</v>
      </c>
      <c r="E114" s="2962"/>
      <c r="F114" s="2962"/>
      <c r="G114" s="2952">
        <v>9.9000000000000005E-2</v>
      </c>
    </row>
    <row r="115" spans="1:7">
      <c r="A115" s="2961" t="s">
        <v>303</v>
      </c>
      <c r="B115" s="2950" t="s">
        <v>2950</v>
      </c>
      <c r="C115" s="2951">
        <v>0.1</v>
      </c>
      <c r="D115" s="2951">
        <v>0.1</v>
      </c>
      <c r="E115" s="2962"/>
      <c r="F115" s="2962"/>
      <c r="G115" s="2952">
        <v>0.1</v>
      </c>
    </row>
    <row r="116" spans="1:7">
      <c r="A116" s="2961" t="s">
        <v>303</v>
      </c>
      <c r="B116" s="2950" t="s">
        <v>2957</v>
      </c>
      <c r="C116" s="2951">
        <v>0.1</v>
      </c>
      <c r="D116" s="2951">
        <v>0.1</v>
      </c>
      <c r="E116" s="2962"/>
      <c r="F116" s="2962"/>
      <c r="G116" s="2952">
        <v>0.1</v>
      </c>
    </row>
    <row r="117" spans="1:7">
      <c r="A117" s="2961" t="s">
        <v>303</v>
      </c>
      <c r="B117" s="2950" t="s">
        <v>2964</v>
      </c>
      <c r="C117" s="2951">
        <v>9.7000000000000003E-2</v>
      </c>
      <c r="D117" s="2951">
        <v>9.7000000000000003E-2</v>
      </c>
      <c r="E117" s="2962"/>
      <c r="F117" s="2962"/>
      <c r="G117" s="2952">
        <v>9.7000000000000003E-2</v>
      </c>
    </row>
    <row r="118" spans="1:7">
      <c r="A118" s="2961" t="s">
        <v>303</v>
      </c>
      <c r="B118" s="2950" t="s">
        <v>2969</v>
      </c>
      <c r="C118" s="2951">
        <v>0.1</v>
      </c>
      <c r="D118" s="2951">
        <v>0.1</v>
      </c>
      <c r="E118" s="2962"/>
      <c r="F118" s="2962"/>
      <c r="G118" s="2952">
        <v>0.1</v>
      </c>
    </row>
    <row r="119" spans="1:7">
      <c r="A119" s="2961" t="s">
        <v>303</v>
      </c>
      <c r="B119" s="2950" t="s">
        <v>2973</v>
      </c>
      <c r="C119" s="2951">
        <v>5.0999999999999997E-2</v>
      </c>
      <c r="D119" s="2951">
        <v>5.1999999999999998E-2</v>
      </c>
      <c r="E119" s="2962"/>
      <c r="F119" s="2967"/>
      <c r="G119" s="2952">
        <v>0.06</v>
      </c>
    </row>
    <row r="120" spans="1:7">
      <c r="A120" s="2961" t="s">
        <v>303</v>
      </c>
      <c r="B120" s="2950" t="s">
        <v>2977</v>
      </c>
      <c r="C120" s="2962"/>
      <c r="D120" s="2962"/>
      <c r="E120" s="2962"/>
      <c r="F120" s="2951">
        <v>0.1</v>
      </c>
      <c r="G120" s="2968"/>
    </row>
    <row r="121" spans="1:7">
      <c r="A121" s="2961" t="s">
        <v>303</v>
      </c>
      <c r="B121" s="2950" t="s">
        <v>2982</v>
      </c>
      <c r="C121" s="2962"/>
      <c r="D121" s="2962"/>
      <c r="E121" s="2962"/>
      <c r="F121" s="2951">
        <v>0.1</v>
      </c>
      <c r="G121" s="2968"/>
    </row>
    <row r="122" spans="1:7">
      <c r="A122" s="2961" t="s">
        <v>303</v>
      </c>
      <c r="B122" s="2950" t="s">
        <v>2987</v>
      </c>
      <c r="C122" s="2951">
        <v>0.1</v>
      </c>
      <c r="D122" s="2951">
        <v>0.1</v>
      </c>
      <c r="E122" s="2951">
        <v>9.8000000000000004E-2</v>
      </c>
      <c r="F122" s="2951">
        <v>0.1</v>
      </c>
      <c r="G122" s="2952">
        <v>0.1</v>
      </c>
    </row>
    <row r="123" spans="1:7">
      <c r="A123" s="2961" t="s">
        <v>303</v>
      </c>
      <c r="B123" s="2950" t="s">
        <v>2992</v>
      </c>
      <c r="C123" s="2951">
        <v>0.1</v>
      </c>
      <c r="D123" s="2951">
        <v>0.1</v>
      </c>
      <c r="E123" s="2951">
        <v>9.8000000000000004E-2</v>
      </c>
      <c r="F123" s="2951">
        <v>0.1</v>
      </c>
      <c r="G123" s="2952">
        <v>0.1</v>
      </c>
    </row>
    <row r="124" spans="1:7">
      <c r="A124" s="2961" t="s">
        <v>303</v>
      </c>
      <c r="B124" s="2950" t="s">
        <v>2997</v>
      </c>
      <c r="C124" s="2951">
        <v>0.1</v>
      </c>
      <c r="D124" s="2951">
        <v>0.1</v>
      </c>
      <c r="E124" s="2951">
        <v>9.8000000000000004E-2</v>
      </c>
      <c r="F124" s="2967"/>
      <c r="G124" s="2952">
        <v>0.1</v>
      </c>
    </row>
    <row r="125" spans="1:7">
      <c r="A125" s="2961" t="s">
        <v>303</v>
      </c>
      <c r="B125" s="2950" t="s">
        <v>3002</v>
      </c>
      <c r="C125" s="2951">
        <v>9.8000000000000004E-2</v>
      </c>
      <c r="D125" s="2951">
        <v>9.8000000000000004E-2</v>
      </c>
      <c r="E125" s="2951">
        <v>9.6000000000000002E-2</v>
      </c>
      <c r="F125" s="2967"/>
      <c r="G125" s="2952">
        <v>0.1</v>
      </c>
    </row>
    <row r="126" spans="1:7" ht="14.25" thickBot="1">
      <c r="A126" s="2964" t="s">
        <v>303</v>
      </c>
      <c r="B126" s="2954" t="s">
        <v>3168</v>
      </c>
      <c r="C126" s="2955">
        <v>0.1</v>
      </c>
      <c r="D126" s="2955">
        <v>0.1</v>
      </c>
      <c r="E126" s="2955">
        <v>9.8000000000000004E-2</v>
      </c>
      <c r="F126" s="2955">
        <v>0.1</v>
      </c>
      <c r="G126" s="2957">
        <v>0.1</v>
      </c>
    </row>
    <row r="127" spans="1:7">
      <c r="A127" s="2960" t="s">
        <v>29</v>
      </c>
      <c r="B127" s="2946" t="s">
        <v>2845</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2915</v>
      </c>
      <c r="C148" s="2951">
        <v>0.13</v>
      </c>
      <c r="D148" s="2951">
        <v>0.13</v>
      </c>
      <c r="E148" s="2951">
        <v>0.13</v>
      </c>
      <c r="F148" s="2962"/>
      <c r="G148" s="2952">
        <v>0.13</v>
      </c>
    </row>
    <row r="149" spans="1:7">
      <c r="A149" s="2961" t="s">
        <v>29</v>
      </c>
      <c r="B149" s="2950" t="s">
        <v>2919</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2938</v>
      </c>
      <c r="C153" s="2951">
        <v>0.13</v>
      </c>
      <c r="D153" s="2951">
        <v>0.13</v>
      </c>
      <c r="E153" s="2951">
        <v>0.13</v>
      </c>
      <c r="F153" s="2951">
        <v>0.13</v>
      </c>
      <c r="G153" s="2952">
        <v>0.13</v>
      </c>
    </row>
    <row r="154" spans="1:7">
      <c r="A154" s="2961" t="s">
        <v>29</v>
      </c>
      <c r="B154" s="2950" t="s">
        <v>2945</v>
      </c>
      <c r="C154" s="2951">
        <v>0.121</v>
      </c>
      <c r="D154" s="2951">
        <v>0.121</v>
      </c>
      <c r="E154" s="2951">
        <v>0.105</v>
      </c>
      <c r="F154" s="2951">
        <v>0.121</v>
      </c>
      <c r="G154" s="2952">
        <v>0.123</v>
      </c>
    </row>
    <row r="155" spans="1:7">
      <c r="A155" s="2961" t="s">
        <v>29</v>
      </c>
      <c r="B155" s="2950" t="s">
        <v>2951</v>
      </c>
      <c r="C155" s="2951">
        <v>0.1</v>
      </c>
      <c r="D155" s="2951">
        <v>0.1</v>
      </c>
      <c r="E155" s="2951">
        <v>0.1</v>
      </c>
      <c r="F155" s="2951">
        <v>0.1</v>
      </c>
      <c r="G155" s="2952">
        <v>0.1</v>
      </c>
    </row>
    <row r="156" spans="1:7">
      <c r="A156" s="2961" t="s">
        <v>29</v>
      </c>
      <c r="B156" s="2950" t="s">
        <v>2958</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2978</v>
      </c>
      <c r="C160" s="2951">
        <v>0.13</v>
      </c>
      <c r="D160" s="2951">
        <v>0.13</v>
      </c>
      <c r="E160" s="2951">
        <v>0.124</v>
      </c>
      <c r="F160" s="2951">
        <v>0.126</v>
      </c>
      <c r="G160" s="2952">
        <v>0.13</v>
      </c>
    </row>
    <row r="161" spans="1:7">
      <c r="A161" s="2961" t="s">
        <v>29</v>
      </c>
      <c r="B161" s="2950" t="s">
        <v>2983</v>
      </c>
      <c r="C161" s="2951">
        <v>0.13</v>
      </c>
      <c r="D161" s="2951">
        <v>0.13</v>
      </c>
      <c r="E161" s="2951">
        <v>0.124</v>
      </c>
      <c r="F161" s="2951">
        <v>0.127</v>
      </c>
      <c r="G161" s="2952">
        <v>0.13</v>
      </c>
    </row>
    <row r="162" spans="1:7">
      <c r="A162" s="2961" t="s">
        <v>29</v>
      </c>
      <c r="B162" s="2950" t="s">
        <v>2988</v>
      </c>
      <c r="C162" s="2951">
        <v>0.1</v>
      </c>
      <c r="D162" s="2951">
        <v>0.1</v>
      </c>
      <c r="E162" s="2951">
        <v>0.1</v>
      </c>
      <c r="F162" s="2951">
        <v>0.121</v>
      </c>
      <c r="G162" s="2952">
        <v>0.105</v>
      </c>
    </row>
    <row r="163" spans="1:7">
      <c r="A163" s="2961" t="s">
        <v>29</v>
      </c>
      <c r="B163" s="2950" t="s">
        <v>2993</v>
      </c>
      <c r="C163" s="2951">
        <v>0.1</v>
      </c>
      <c r="D163" s="2951">
        <v>0.1</v>
      </c>
      <c r="E163" s="2951">
        <v>0.1</v>
      </c>
      <c r="F163" s="2951">
        <v>0.1</v>
      </c>
      <c r="G163" s="2952">
        <v>0.1</v>
      </c>
    </row>
    <row r="164" spans="1:7">
      <c r="A164" s="2961" t="s">
        <v>29</v>
      </c>
      <c r="B164" s="2950" t="s">
        <v>2998</v>
      </c>
      <c r="C164" s="2967"/>
      <c r="D164" s="2967"/>
      <c r="E164" s="2967"/>
      <c r="F164" s="2951">
        <v>0.1</v>
      </c>
      <c r="G164" s="2963"/>
    </row>
    <row r="165" spans="1:7">
      <c r="A165" s="2961" t="s">
        <v>29</v>
      </c>
      <c r="B165" s="2950" t="s">
        <v>3169</v>
      </c>
      <c r="C165" s="2951">
        <v>0.126</v>
      </c>
      <c r="D165" s="2951">
        <v>0.126</v>
      </c>
      <c r="E165" s="2951">
        <v>0.11899999999999999</v>
      </c>
      <c r="F165" s="2951">
        <v>0.13</v>
      </c>
      <c r="G165" s="2952">
        <v>0.128</v>
      </c>
    </row>
    <row r="166" spans="1:7">
      <c r="A166" s="2961" t="s">
        <v>29</v>
      </c>
      <c r="B166" s="2950" t="s">
        <v>3008</v>
      </c>
      <c r="C166" s="2951">
        <v>0.129</v>
      </c>
      <c r="D166" s="2951">
        <v>0.129</v>
      </c>
      <c r="E166" s="2951">
        <v>0.123</v>
      </c>
      <c r="F166" s="2951">
        <v>0.128</v>
      </c>
      <c r="G166" s="2952">
        <v>0.13</v>
      </c>
    </row>
    <row r="167" spans="1:7">
      <c r="A167" s="2961" t="s">
        <v>29</v>
      </c>
      <c r="B167" s="2950" t="s">
        <v>3012</v>
      </c>
      <c r="C167" s="2951">
        <v>0.125</v>
      </c>
      <c r="D167" s="2951">
        <v>0.125</v>
      </c>
      <c r="E167" s="2951">
        <v>0.11700000000000001</v>
      </c>
      <c r="F167" s="2951">
        <v>0.13</v>
      </c>
      <c r="G167" s="2952">
        <v>0.126</v>
      </c>
    </row>
    <row r="168" spans="1:7">
      <c r="A168" s="2961" t="s">
        <v>29</v>
      </c>
      <c r="B168" s="2950" t="s">
        <v>3017</v>
      </c>
      <c r="C168" s="2951">
        <v>0.128</v>
      </c>
      <c r="D168" s="2951">
        <v>0.128</v>
      </c>
      <c r="E168" s="2951">
        <v>0.123</v>
      </c>
      <c r="F168" s="2962"/>
      <c r="G168" s="2952">
        <v>0.13</v>
      </c>
    </row>
    <row r="169" spans="1:7">
      <c r="A169" s="2961" t="s">
        <v>29</v>
      </c>
      <c r="B169" s="2950" t="s">
        <v>3170</v>
      </c>
      <c r="C169" s="2967"/>
      <c r="D169" s="2967"/>
      <c r="E169" s="2967"/>
      <c r="F169" s="2951">
        <v>0.05</v>
      </c>
      <c r="G169" s="2963"/>
    </row>
    <row r="170" spans="1:7">
      <c r="A170" s="2961" t="s">
        <v>29</v>
      </c>
      <c r="B170" s="2950" t="s">
        <v>3171</v>
      </c>
      <c r="C170" s="2967"/>
      <c r="D170" s="2967"/>
      <c r="E170" s="2967"/>
      <c r="F170" s="2951">
        <v>0.05</v>
      </c>
      <c r="G170" s="2963"/>
    </row>
    <row r="171" spans="1:7">
      <c r="A171" s="2961" t="s">
        <v>29</v>
      </c>
      <c r="B171" s="2950" t="s">
        <v>3172</v>
      </c>
      <c r="C171" s="2967"/>
      <c r="D171" s="2967"/>
      <c r="E171" s="2967"/>
      <c r="F171" s="2951">
        <v>0.05</v>
      </c>
      <c r="G171" s="2968"/>
    </row>
    <row r="172" spans="1:7">
      <c r="A172" s="2961" t="s">
        <v>29</v>
      </c>
      <c r="B172" s="2950" t="s">
        <v>3173</v>
      </c>
      <c r="C172" s="2967"/>
      <c r="D172" s="2967"/>
      <c r="E172" s="2967"/>
      <c r="F172" s="2951">
        <v>0.05</v>
      </c>
      <c r="G172" s="2968"/>
    </row>
    <row r="173" spans="1:7">
      <c r="A173" s="2961" t="s">
        <v>29</v>
      </c>
      <c r="B173" s="2950" t="s">
        <v>3174</v>
      </c>
      <c r="C173" s="2967"/>
      <c r="D173" s="2967"/>
      <c r="E173" s="2967"/>
      <c r="F173" s="2951">
        <v>0.05</v>
      </c>
      <c r="G173" s="2963"/>
    </row>
    <row r="174" spans="1:7">
      <c r="A174" s="2961" t="s">
        <v>29</v>
      </c>
      <c r="B174" s="2950" t="s">
        <v>3175</v>
      </c>
      <c r="C174" s="2967"/>
      <c r="D174" s="2967"/>
      <c r="E174" s="2967"/>
      <c r="F174" s="2951">
        <v>0.05</v>
      </c>
      <c r="G174" s="2963"/>
    </row>
    <row r="175" spans="1:7">
      <c r="A175" s="2961" t="s">
        <v>29</v>
      </c>
      <c r="B175" s="2950" t="s">
        <v>3176</v>
      </c>
      <c r="C175" s="2967"/>
      <c r="D175" s="2967"/>
      <c r="E175" s="2967"/>
      <c r="F175" s="2951">
        <v>0.05</v>
      </c>
      <c r="G175" s="2963"/>
    </row>
    <row r="176" spans="1:7">
      <c r="A176" s="2961" t="s">
        <v>29</v>
      </c>
      <c r="B176" s="2950" t="s">
        <v>3177</v>
      </c>
      <c r="C176" s="2967"/>
      <c r="D176" s="2967"/>
      <c r="E176" s="2967"/>
      <c r="F176" s="2951">
        <v>0.05</v>
      </c>
      <c r="G176" s="2963"/>
    </row>
    <row r="177" spans="1:7">
      <c r="A177" s="2961" t="s">
        <v>29</v>
      </c>
      <c r="B177" s="2950" t="s">
        <v>3178</v>
      </c>
      <c r="C177" s="2962"/>
      <c r="D177" s="2962"/>
      <c r="E177" s="2962"/>
      <c r="F177" s="2951">
        <v>0.05</v>
      </c>
      <c r="G177" s="2968"/>
    </row>
    <row r="178" spans="1:7">
      <c r="A178" s="2961" t="s">
        <v>29</v>
      </c>
      <c r="B178" s="2950" t="s">
        <v>3179</v>
      </c>
      <c r="C178" s="2962"/>
      <c r="D178" s="2962"/>
      <c r="E178" s="2962"/>
      <c r="F178" s="2951">
        <v>0.05</v>
      </c>
      <c r="G178" s="2968"/>
    </row>
    <row r="179" spans="1:7">
      <c r="A179" s="2961" t="s">
        <v>29</v>
      </c>
      <c r="B179" s="2950" t="s">
        <v>3180</v>
      </c>
      <c r="C179" s="2962"/>
      <c r="D179" s="2962"/>
      <c r="E179" s="2962"/>
      <c r="F179" s="2951">
        <v>0.05</v>
      </c>
      <c r="G179" s="2968"/>
    </row>
    <row r="180" spans="1:7">
      <c r="A180" s="2961" t="s">
        <v>29</v>
      </c>
      <c r="B180" s="2950" t="s">
        <v>3181</v>
      </c>
      <c r="C180" s="2962"/>
      <c r="D180" s="2962"/>
      <c r="E180" s="2962"/>
      <c r="F180" s="2951">
        <v>0.05</v>
      </c>
      <c r="G180" s="2968"/>
    </row>
    <row r="181" spans="1:7">
      <c r="A181" s="2961" t="s">
        <v>29</v>
      </c>
      <c r="B181" s="2950" t="s">
        <v>3182</v>
      </c>
      <c r="C181" s="2962"/>
      <c r="D181" s="2962"/>
      <c r="E181" s="2962"/>
      <c r="F181" s="2951">
        <v>0.05</v>
      </c>
      <c r="G181" s="2968"/>
    </row>
    <row r="182" spans="1:7">
      <c r="A182" s="2961" t="s">
        <v>29</v>
      </c>
      <c r="B182" s="2950" t="s">
        <v>3183</v>
      </c>
      <c r="C182" s="2962"/>
      <c r="D182" s="2962"/>
      <c r="E182" s="2962"/>
      <c r="F182" s="2951">
        <v>0.05</v>
      </c>
      <c r="G182" s="2968"/>
    </row>
    <row r="183" spans="1:7">
      <c r="A183" s="2961" t="s">
        <v>29</v>
      </c>
      <c r="B183" s="2950" t="s">
        <v>3184</v>
      </c>
      <c r="C183" s="2962"/>
      <c r="D183" s="2962"/>
      <c r="E183" s="2962"/>
      <c r="F183" s="2951">
        <v>0.05</v>
      </c>
      <c r="G183" s="2968"/>
    </row>
    <row r="184" spans="1:7">
      <c r="A184" s="2961" t="s">
        <v>29</v>
      </c>
      <c r="B184" s="2950" t="s">
        <v>3185</v>
      </c>
      <c r="C184" s="2962"/>
      <c r="D184" s="2962"/>
      <c r="E184" s="2962"/>
      <c r="F184" s="2951">
        <v>0.05</v>
      </c>
      <c r="G184" s="2968"/>
    </row>
    <row r="185" spans="1:7">
      <c r="A185" s="2961" t="s">
        <v>29</v>
      </c>
      <c r="B185" s="2950" t="s">
        <v>3186</v>
      </c>
      <c r="C185" s="2962"/>
      <c r="D185" s="2962"/>
      <c r="E185" s="2962"/>
      <c r="F185" s="2951">
        <v>0.05</v>
      </c>
      <c r="G185" s="2968"/>
    </row>
    <row r="186" spans="1:7">
      <c r="A186" s="2961" t="s">
        <v>29</v>
      </c>
      <c r="B186" s="2950" t="s">
        <v>3187</v>
      </c>
      <c r="C186" s="2962"/>
      <c r="D186" s="2962"/>
      <c r="E186" s="2962"/>
      <c r="F186" s="2951">
        <v>0.05</v>
      </c>
      <c r="G186" s="2968"/>
    </row>
    <row r="187" spans="1:7">
      <c r="A187" s="2961" t="s">
        <v>29</v>
      </c>
      <c r="B187" s="2950" t="s">
        <v>3188</v>
      </c>
      <c r="C187" s="2962"/>
      <c r="D187" s="2962"/>
      <c r="E187" s="2962"/>
      <c r="F187" s="2951">
        <v>0.05</v>
      </c>
      <c r="G187" s="2968"/>
    </row>
    <row r="188" spans="1:7">
      <c r="A188" s="2961" t="s">
        <v>29</v>
      </c>
      <c r="B188" s="2950" t="s">
        <v>3189</v>
      </c>
      <c r="C188" s="2962"/>
      <c r="D188" s="2962"/>
      <c r="E188" s="2962"/>
      <c r="F188" s="2951">
        <v>0.05</v>
      </c>
      <c r="G188" s="2968"/>
    </row>
    <row r="189" spans="1:7" ht="14.25" thickBot="1">
      <c r="A189" s="2964" t="s">
        <v>29</v>
      </c>
      <c r="B189" s="2954" t="s">
        <v>3190</v>
      </c>
      <c r="C189" s="2956"/>
      <c r="D189" s="2956"/>
      <c r="E189" s="2956"/>
      <c r="F189" s="2955">
        <v>0.05</v>
      </c>
      <c r="G189" s="2969"/>
    </row>
    <row r="190" spans="1:7">
      <c r="A190" s="2960" t="s">
        <v>304</v>
      </c>
      <c r="B190" s="2946" t="s">
        <v>2846</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2882</v>
      </c>
      <c r="C199" s="2951">
        <v>0.13</v>
      </c>
      <c r="D199" s="2951">
        <v>0.13</v>
      </c>
      <c r="E199" s="2951">
        <v>0.13</v>
      </c>
      <c r="F199" s="2951">
        <v>0.13</v>
      </c>
      <c r="G199" s="2952">
        <v>0.13</v>
      </c>
    </row>
    <row r="200" spans="1:7">
      <c r="A200" s="2961" t="s">
        <v>304</v>
      </c>
      <c r="B200" s="2950" t="s">
        <v>2885</v>
      </c>
      <c r="C200" s="2967"/>
      <c r="D200" s="2967"/>
      <c r="E200" s="2967"/>
      <c r="F200" s="2951">
        <v>0.13</v>
      </c>
      <c r="G200" s="2963"/>
    </row>
    <row r="201" spans="1:7">
      <c r="A201" s="2961" t="s">
        <v>304</v>
      </c>
      <c r="B201" s="2950" t="s">
        <v>2890</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2893</v>
      </c>
      <c r="C203" s="2951">
        <v>0.129</v>
      </c>
      <c r="D203" s="2951">
        <v>0.129</v>
      </c>
      <c r="E203" s="2951">
        <v>0.13</v>
      </c>
      <c r="F203" s="2951">
        <v>0.13</v>
      </c>
      <c r="G203" s="2952">
        <v>0.13</v>
      </c>
    </row>
    <row r="204" spans="1:7">
      <c r="A204" s="2961" t="s">
        <v>304</v>
      </c>
      <c r="B204" s="2950" t="s">
        <v>2896</v>
      </c>
      <c r="C204" s="2951">
        <v>0.129</v>
      </c>
      <c r="D204" s="2951">
        <v>0.129</v>
      </c>
      <c r="E204" s="2951">
        <v>0.123</v>
      </c>
      <c r="F204" s="2951">
        <v>0.13</v>
      </c>
      <c r="G204" s="2952">
        <v>0.13</v>
      </c>
    </row>
    <row r="205" spans="1:7">
      <c r="A205" s="2961" t="s">
        <v>304</v>
      </c>
      <c r="B205" s="2950" t="s">
        <v>2898</v>
      </c>
      <c r="C205" s="2951">
        <v>0.13</v>
      </c>
      <c r="D205" s="2951">
        <v>0.13</v>
      </c>
      <c r="E205" s="2951">
        <v>0.13</v>
      </c>
      <c r="F205" s="2951">
        <v>0.13</v>
      </c>
      <c r="G205" s="2952">
        <v>0.13</v>
      </c>
    </row>
    <row r="206" spans="1:7">
      <c r="A206" s="2961" t="s">
        <v>304</v>
      </c>
      <c r="B206" s="2950" t="s">
        <v>2901</v>
      </c>
      <c r="C206" s="2951">
        <v>0.13</v>
      </c>
      <c r="D206" s="2951">
        <v>0.13</v>
      </c>
      <c r="E206" s="2951">
        <v>0.13</v>
      </c>
      <c r="F206" s="2951">
        <v>0.128</v>
      </c>
      <c r="G206" s="2952">
        <v>0.13</v>
      </c>
    </row>
    <row r="207" spans="1:7">
      <c r="A207" s="2961" t="s">
        <v>304</v>
      </c>
      <c r="B207" s="2950" t="s">
        <v>2903</v>
      </c>
      <c r="C207" s="2951">
        <v>0.13</v>
      </c>
      <c r="D207" s="2951">
        <v>0.13</v>
      </c>
      <c r="E207" s="2951">
        <v>0.13</v>
      </c>
      <c r="F207" s="2951">
        <v>0.13</v>
      </c>
      <c r="G207" s="2952">
        <v>0.13</v>
      </c>
    </row>
    <row r="208" spans="1:7">
      <c r="A208" s="2961" t="s">
        <v>304</v>
      </c>
      <c r="B208" s="2950" t="s">
        <v>2906</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2913</v>
      </c>
      <c r="C210" s="2951">
        <v>0.121</v>
      </c>
      <c r="D210" s="2951">
        <v>0.121</v>
      </c>
      <c r="E210" s="2951">
        <v>0.125</v>
      </c>
      <c r="F210" s="2951">
        <v>0.13</v>
      </c>
      <c r="G210" s="2952">
        <v>0.123</v>
      </c>
    </row>
    <row r="211" spans="1:7">
      <c r="A211" s="2961" t="s">
        <v>304</v>
      </c>
      <c r="B211" s="2950" t="s">
        <v>2916</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2928</v>
      </c>
      <c r="C214" s="2951">
        <v>0.128</v>
      </c>
      <c r="D214" s="2951">
        <v>0.128</v>
      </c>
      <c r="E214" s="2951">
        <v>0.13</v>
      </c>
      <c r="F214" s="2951">
        <v>0.13</v>
      </c>
      <c r="G214" s="2952">
        <v>0.13</v>
      </c>
    </row>
    <row r="215" spans="1:7">
      <c r="A215" s="2961" t="s">
        <v>304</v>
      </c>
      <c r="B215" s="2950" t="s">
        <v>2932</v>
      </c>
      <c r="C215" s="2951">
        <v>0.13</v>
      </c>
      <c r="D215" s="2951">
        <v>0.13</v>
      </c>
      <c r="E215" s="2951">
        <v>0.13</v>
      </c>
      <c r="F215" s="2951">
        <v>0.129</v>
      </c>
      <c r="G215" s="2952">
        <v>0.13</v>
      </c>
    </row>
    <row r="216" spans="1:7">
      <c r="A216" s="2961" t="s">
        <v>304</v>
      </c>
      <c r="B216" s="2950" t="s">
        <v>2939</v>
      </c>
      <c r="C216" s="2951">
        <v>0.13</v>
      </c>
      <c r="D216" s="2951">
        <v>0.13</v>
      </c>
      <c r="E216" s="2951">
        <v>0.13</v>
      </c>
      <c r="F216" s="2951">
        <v>0.13</v>
      </c>
      <c r="G216" s="2952">
        <v>0.13</v>
      </c>
    </row>
    <row r="217" spans="1:7">
      <c r="A217" s="2961" t="s">
        <v>304</v>
      </c>
      <c r="B217" s="2950" t="s">
        <v>2946</v>
      </c>
      <c r="C217" s="2951">
        <v>0.129</v>
      </c>
      <c r="D217" s="2951">
        <v>0.129</v>
      </c>
      <c r="E217" s="2951">
        <v>0.13</v>
      </c>
      <c r="F217" s="2951">
        <v>0.13</v>
      </c>
      <c r="G217" s="2952">
        <v>0.13</v>
      </c>
    </row>
    <row r="218" spans="1:7">
      <c r="A218" s="2961" t="s">
        <v>304</v>
      </c>
      <c r="B218" s="2950" t="s">
        <v>2952</v>
      </c>
      <c r="C218" s="2962"/>
      <c r="D218" s="2962"/>
      <c r="E218" s="2962"/>
      <c r="F218" s="2951">
        <v>0.05</v>
      </c>
      <c r="G218" s="2968"/>
    </row>
    <row r="219" spans="1:7">
      <c r="A219" s="2961" t="s">
        <v>304</v>
      </c>
      <c r="B219" s="2950" t="s">
        <v>2959</v>
      </c>
      <c r="C219" s="2962"/>
      <c r="D219" s="2962"/>
      <c r="E219" s="2962"/>
      <c r="F219" s="2951">
        <v>0.05</v>
      </c>
      <c r="G219" s="2968"/>
    </row>
    <row r="220" spans="1:7">
      <c r="A220" s="2961" t="s">
        <v>304</v>
      </c>
      <c r="B220" s="2950" t="s">
        <v>2965</v>
      </c>
      <c r="C220" s="2962"/>
      <c r="D220" s="2962"/>
      <c r="E220" s="2962"/>
      <c r="F220" s="2951">
        <v>0.05</v>
      </c>
      <c r="G220" s="2968"/>
    </row>
    <row r="221" spans="1:7">
      <c r="A221" s="2961" t="s">
        <v>304</v>
      </c>
      <c r="B221" s="2950" t="s">
        <v>2970</v>
      </c>
      <c r="C221" s="2962"/>
      <c r="D221" s="2962"/>
      <c r="E221" s="2962"/>
      <c r="F221" s="2951">
        <v>0.05</v>
      </c>
      <c r="G221" s="2968"/>
    </row>
    <row r="222" spans="1:7">
      <c r="A222" s="2961" t="s">
        <v>304</v>
      </c>
      <c r="B222" s="2950" t="s">
        <v>2974</v>
      </c>
      <c r="C222" s="2962"/>
      <c r="D222" s="2962"/>
      <c r="E222" s="2962"/>
      <c r="F222" s="2951">
        <v>0.05</v>
      </c>
      <c r="G222" s="2968"/>
    </row>
    <row r="223" spans="1:7">
      <c r="A223" s="2961" t="s">
        <v>304</v>
      </c>
      <c r="B223" s="2950" t="s">
        <v>2979</v>
      </c>
      <c r="C223" s="2962"/>
      <c r="D223" s="2962"/>
      <c r="E223" s="2962"/>
      <c r="F223" s="2951">
        <v>0.05</v>
      </c>
      <c r="G223" s="2968"/>
    </row>
    <row r="224" spans="1:7">
      <c r="A224" s="2961" t="s">
        <v>304</v>
      </c>
      <c r="B224" s="2950" t="s">
        <v>2984</v>
      </c>
      <c r="C224" s="2962"/>
      <c r="D224" s="2962"/>
      <c r="E224" s="2962"/>
      <c r="F224" s="2951">
        <v>0.05</v>
      </c>
      <c r="G224" s="2968"/>
    </row>
    <row r="225" spans="1:7">
      <c r="A225" s="2961" t="s">
        <v>304</v>
      </c>
      <c r="B225" s="2950" t="s">
        <v>2989</v>
      </c>
      <c r="C225" s="2962"/>
      <c r="D225" s="2962"/>
      <c r="E225" s="2962"/>
      <c r="F225" s="2951">
        <v>0.05</v>
      </c>
      <c r="G225" s="2968"/>
    </row>
    <row r="226" spans="1:7">
      <c r="A226" s="2961" t="s">
        <v>304</v>
      </c>
      <c r="B226" s="2950" t="s">
        <v>3191</v>
      </c>
      <c r="C226" s="2962"/>
      <c r="D226" s="2962"/>
      <c r="E226" s="2962"/>
      <c r="F226" s="2951">
        <v>0.05</v>
      </c>
      <c r="G226" s="2968"/>
    </row>
    <row r="227" spans="1:7">
      <c r="A227" s="2961" t="s">
        <v>304</v>
      </c>
      <c r="B227" s="2950" t="s">
        <v>3192</v>
      </c>
      <c r="C227" s="2962"/>
      <c r="D227" s="2962"/>
      <c r="E227" s="2962"/>
      <c r="F227" s="2951">
        <v>0.05</v>
      </c>
      <c r="G227" s="2968"/>
    </row>
    <row r="228" spans="1:7">
      <c r="A228" s="2961" t="s">
        <v>304</v>
      </c>
      <c r="B228" s="2950" t="s">
        <v>3193</v>
      </c>
      <c r="C228" s="2962"/>
      <c r="D228" s="2962"/>
      <c r="E228" s="2962"/>
      <c r="F228" s="2951">
        <v>0.05</v>
      </c>
      <c r="G228" s="2968"/>
    </row>
    <row r="229" spans="1:7">
      <c r="A229" s="2961" t="s">
        <v>304</v>
      </c>
      <c r="B229" s="2950" t="s">
        <v>3194</v>
      </c>
      <c r="C229" s="2962"/>
      <c r="D229" s="2962"/>
      <c r="E229" s="2962"/>
      <c r="F229" s="2951">
        <v>0.05</v>
      </c>
      <c r="G229" s="2968"/>
    </row>
    <row r="230" spans="1:7">
      <c r="A230" s="2961" t="s">
        <v>304</v>
      </c>
      <c r="B230" s="2950" t="s">
        <v>3195</v>
      </c>
      <c r="C230" s="2962"/>
      <c r="D230" s="2962"/>
      <c r="E230" s="2962"/>
      <c r="F230" s="2951">
        <v>0.05</v>
      </c>
      <c r="G230" s="2968"/>
    </row>
    <row r="231" spans="1:7">
      <c r="A231" s="2961" t="s">
        <v>304</v>
      </c>
      <c r="B231" s="2950" t="s">
        <v>3196</v>
      </c>
      <c r="C231" s="2962"/>
      <c r="D231" s="2962"/>
      <c r="E231" s="2962"/>
      <c r="F231" s="2951">
        <v>0.05</v>
      </c>
      <c r="G231" s="2968"/>
    </row>
    <row r="232" spans="1:7">
      <c r="A232" s="2961" t="s">
        <v>304</v>
      </c>
      <c r="B232" s="2950" t="s">
        <v>3197</v>
      </c>
      <c r="C232" s="2962"/>
      <c r="D232" s="2962"/>
      <c r="E232" s="2962"/>
      <c r="F232" s="2951">
        <v>0.05</v>
      </c>
      <c r="G232" s="2968"/>
    </row>
    <row r="233" spans="1:7" ht="14.25" thickBot="1">
      <c r="A233" s="2964" t="s">
        <v>304</v>
      </c>
      <c r="B233" s="2954" t="s">
        <v>3198</v>
      </c>
      <c r="C233" s="2956"/>
      <c r="D233" s="2956"/>
      <c r="E233" s="2956"/>
      <c r="F233" s="2955">
        <v>0.05</v>
      </c>
      <c r="G233" s="2969"/>
    </row>
    <row r="234" spans="1:7">
      <c r="A234" s="2960" t="s">
        <v>305</v>
      </c>
      <c r="B234" s="2946" t="s">
        <v>2847</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2867</v>
      </c>
      <c r="C238" s="2951">
        <v>0.14899999999999999</v>
      </c>
      <c r="D238" s="2951">
        <v>0.14899999999999999</v>
      </c>
      <c r="E238" s="2951">
        <v>0.15</v>
      </c>
      <c r="F238" s="2951">
        <v>0.15</v>
      </c>
      <c r="G238" s="2952">
        <v>0.15</v>
      </c>
    </row>
    <row r="239" spans="1:7">
      <c r="A239" s="2961" t="s">
        <v>305</v>
      </c>
      <c r="B239" s="2950" t="s">
        <v>2871</v>
      </c>
      <c r="C239" s="2951">
        <v>0.15</v>
      </c>
      <c r="D239" s="2951">
        <v>0.15</v>
      </c>
      <c r="E239" s="2951">
        <v>0.15</v>
      </c>
      <c r="F239" s="2951">
        <v>0.15</v>
      </c>
      <c r="G239" s="2952">
        <v>0.15</v>
      </c>
    </row>
    <row r="240" spans="1:7">
      <c r="A240" s="2961" t="s">
        <v>305</v>
      </c>
      <c r="B240" s="2950" t="s">
        <v>2876</v>
      </c>
      <c r="C240" s="2951">
        <v>0.15</v>
      </c>
      <c r="D240" s="2951">
        <v>0.15</v>
      </c>
      <c r="E240" s="2951">
        <v>0.15</v>
      </c>
      <c r="F240" s="2951">
        <v>0.15</v>
      </c>
      <c r="G240" s="2952">
        <v>0.15</v>
      </c>
    </row>
    <row r="241" spans="1:7">
      <c r="A241" s="2961" t="s">
        <v>305</v>
      </c>
      <c r="B241" s="2950" t="s">
        <v>2880</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2886</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2894</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2899</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2907</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2920</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2929</v>
      </c>
      <c r="C258" s="2951">
        <v>0.14299999999999999</v>
      </c>
      <c r="D258" s="2951">
        <v>0.14299999999999999</v>
      </c>
      <c r="E258" s="2951">
        <v>0.15</v>
      </c>
      <c r="F258" s="2951">
        <v>0.14799999999999999</v>
      </c>
      <c r="G258" s="2952">
        <v>0.14599999999999999</v>
      </c>
    </row>
    <row r="259" spans="1:7">
      <c r="A259" s="2961" t="s">
        <v>305</v>
      </c>
      <c r="B259" s="2950" t="s">
        <v>2933</v>
      </c>
      <c r="C259" s="2951">
        <v>0.14399999999999999</v>
      </c>
      <c r="D259" s="2951">
        <v>0.14399999999999999</v>
      </c>
      <c r="E259" s="2951">
        <v>0.14899999999999999</v>
      </c>
      <c r="F259" s="2951">
        <v>0.14699999999999999</v>
      </c>
      <c r="G259" s="2952">
        <v>0.14599999999999999</v>
      </c>
    </row>
    <row r="260" spans="1:7">
      <c r="A260" s="2961" t="s">
        <v>305</v>
      </c>
      <c r="B260" s="2950" t="s">
        <v>2940</v>
      </c>
      <c r="C260" s="2951">
        <v>0.109</v>
      </c>
      <c r="D260" s="2951">
        <v>0.111</v>
      </c>
      <c r="E260" s="2951">
        <v>0.13100000000000001</v>
      </c>
      <c r="F260" s="2951">
        <v>0.126</v>
      </c>
      <c r="G260" s="2952">
        <v>0.11899999999999999</v>
      </c>
    </row>
    <row r="261" spans="1:7">
      <c r="A261" s="2961" t="s">
        <v>305</v>
      </c>
      <c r="B261" s="2950" t="s">
        <v>2947</v>
      </c>
      <c r="C261" s="2951">
        <v>0.1</v>
      </c>
      <c r="D261" s="2951">
        <v>0.1</v>
      </c>
      <c r="E261" s="2951">
        <v>0.11799999999999999</v>
      </c>
      <c r="F261" s="2951">
        <v>0.108</v>
      </c>
      <c r="G261" s="2952">
        <v>0.107</v>
      </c>
    </row>
    <row r="262" spans="1:7">
      <c r="A262" s="2961" t="s">
        <v>305</v>
      </c>
      <c r="B262" s="2950" t="s">
        <v>2953</v>
      </c>
      <c r="C262" s="2951">
        <v>0.1</v>
      </c>
      <c r="D262" s="2951">
        <v>0.1</v>
      </c>
      <c r="E262" s="2951">
        <v>0.1</v>
      </c>
      <c r="F262" s="2951">
        <v>0.14099999999999999</v>
      </c>
      <c r="G262" s="2952">
        <v>0.1</v>
      </c>
    </row>
    <row r="263" spans="1:7">
      <c r="A263" s="2961" t="s">
        <v>305</v>
      </c>
      <c r="B263" s="2950" t="s">
        <v>2960</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2971</v>
      </c>
      <c r="C265" s="2962"/>
      <c r="D265" s="2962"/>
      <c r="E265" s="2962"/>
      <c r="F265" s="2951">
        <v>0.05</v>
      </c>
      <c r="G265" s="2968"/>
    </row>
    <row r="266" spans="1:7">
      <c r="A266" s="2961" t="s">
        <v>305</v>
      </c>
      <c r="B266" s="2950" t="s">
        <v>2975</v>
      </c>
      <c r="C266" s="2962"/>
      <c r="D266" s="2962"/>
      <c r="E266" s="2962"/>
      <c r="F266" s="2951">
        <v>0.05</v>
      </c>
      <c r="G266" s="2968"/>
    </row>
    <row r="267" spans="1:7">
      <c r="A267" s="2961" t="s">
        <v>305</v>
      </c>
      <c r="B267" s="2950" t="s">
        <v>2980</v>
      </c>
      <c r="C267" s="2962"/>
      <c r="D267" s="2962"/>
      <c r="E267" s="2962"/>
      <c r="F267" s="2951">
        <v>0.05</v>
      </c>
      <c r="G267" s="2968"/>
    </row>
    <row r="268" spans="1:7">
      <c r="A268" s="2961" t="s">
        <v>305</v>
      </c>
      <c r="B268" s="2950" t="s">
        <v>2985</v>
      </c>
      <c r="C268" s="2962"/>
      <c r="D268" s="2962"/>
      <c r="E268" s="2962"/>
      <c r="F268" s="2951">
        <v>0.05</v>
      </c>
      <c r="G268" s="2968"/>
    </row>
    <row r="269" spans="1:7">
      <c r="A269" s="2961" t="s">
        <v>305</v>
      </c>
      <c r="B269" s="2950" t="s">
        <v>2990</v>
      </c>
      <c r="C269" s="2962"/>
      <c r="D269" s="2962"/>
      <c r="E269" s="2962"/>
      <c r="F269" s="2951">
        <v>0.05</v>
      </c>
      <c r="G269" s="2968"/>
    </row>
    <row r="270" spans="1:7">
      <c r="A270" s="2961" t="s">
        <v>305</v>
      </c>
      <c r="B270" s="2950" t="s">
        <v>2995</v>
      </c>
      <c r="C270" s="2962"/>
      <c r="D270" s="2962"/>
      <c r="E270" s="2962"/>
      <c r="F270" s="2951">
        <v>0.05</v>
      </c>
      <c r="G270" s="2968"/>
    </row>
    <row r="271" spans="1:7">
      <c r="A271" s="2961" t="s">
        <v>305</v>
      </c>
      <c r="B271" s="2950" t="s">
        <v>3199</v>
      </c>
      <c r="C271" s="2962"/>
      <c r="D271" s="2962"/>
      <c r="E271" s="2962"/>
      <c r="F271" s="2951">
        <v>0.05</v>
      </c>
      <c r="G271" s="2968"/>
    </row>
    <row r="272" spans="1:7">
      <c r="A272" s="2961" t="s">
        <v>305</v>
      </c>
      <c r="B272" s="2950" t="s">
        <v>3200</v>
      </c>
      <c r="C272" s="2962"/>
      <c r="D272" s="2962"/>
      <c r="E272" s="2962"/>
      <c r="F272" s="2951">
        <v>0.05</v>
      </c>
      <c r="G272" s="2968"/>
    </row>
    <row r="273" spans="1:7">
      <c r="A273" s="2961" t="s">
        <v>305</v>
      </c>
      <c r="B273" s="2950" t="s">
        <v>3201</v>
      </c>
      <c r="C273" s="2962"/>
      <c r="D273" s="2962"/>
      <c r="E273" s="2962"/>
      <c r="F273" s="2951">
        <v>0.05</v>
      </c>
      <c r="G273" s="2968"/>
    </row>
    <row r="274" spans="1:7">
      <c r="A274" s="2961" t="s">
        <v>305</v>
      </c>
      <c r="B274" s="2950" t="s">
        <v>3202</v>
      </c>
      <c r="C274" s="2962"/>
      <c r="D274" s="2962"/>
      <c r="E274" s="2962"/>
      <c r="F274" s="2951">
        <v>0.05</v>
      </c>
      <c r="G274" s="2968"/>
    </row>
    <row r="275" spans="1:7">
      <c r="A275" s="2961" t="s">
        <v>305</v>
      </c>
      <c r="B275" s="2950" t="s">
        <v>3203</v>
      </c>
      <c r="C275" s="2962"/>
      <c r="D275" s="2962"/>
      <c r="E275" s="2962"/>
      <c r="F275" s="2951">
        <v>0.05</v>
      </c>
      <c r="G275" s="2968"/>
    </row>
    <row r="276" spans="1:7" ht="14.25" thickBot="1">
      <c r="A276" s="2964" t="s">
        <v>305</v>
      </c>
      <c r="B276" s="2954" t="s">
        <v>3204</v>
      </c>
      <c r="C276" s="2956"/>
      <c r="D276" s="2956"/>
      <c r="E276" s="2956"/>
      <c r="F276" s="2955">
        <v>0.05</v>
      </c>
      <c r="G276" s="2969"/>
    </row>
    <row r="277" spans="1:7">
      <c r="A277" s="2960" t="s">
        <v>306</v>
      </c>
      <c r="B277" s="2946" t="s">
        <v>2848</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2860</v>
      </c>
      <c r="C279" s="2951">
        <v>0.15</v>
      </c>
      <c r="D279" s="2951">
        <v>0.15</v>
      </c>
      <c r="E279" s="2951">
        <v>0.15</v>
      </c>
      <c r="F279" s="2951">
        <v>0.15</v>
      </c>
      <c r="G279" s="2952">
        <v>0.15</v>
      </c>
    </row>
    <row r="280" spans="1:7">
      <c r="A280" s="2961" t="s">
        <v>306</v>
      </c>
      <c r="B280" s="2950" t="s">
        <v>2864</v>
      </c>
      <c r="C280" s="2951">
        <v>0.15</v>
      </c>
      <c r="D280" s="2951">
        <v>0.15</v>
      </c>
      <c r="E280" s="2951">
        <v>0.15</v>
      </c>
      <c r="F280" s="2951">
        <v>0.15</v>
      </c>
      <c r="G280" s="2952">
        <v>0.15</v>
      </c>
    </row>
    <row r="281" spans="1:7">
      <c r="A281" s="2961" t="s">
        <v>306</v>
      </c>
      <c r="B281" s="2950" t="s">
        <v>2868</v>
      </c>
      <c r="C281" s="2951">
        <v>0.15</v>
      </c>
      <c r="D281" s="2951">
        <v>0.15</v>
      </c>
      <c r="E281" s="2951">
        <v>0.15</v>
      </c>
      <c r="F281" s="2951">
        <v>0.15</v>
      </c>
      <c r="G281" s="2952">
        <v>0.15</v>
      </c>
    </row>
    <row r="282" spans="1:7">
      <c r="A282" s="2961" t="s">
        <v>306</v>
      </c>
      <c r="B282" s="2950" t="s">
        <v>2872</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2887</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2892</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2902</v>
      </c>
      <c r="C293" s="2951">
        <v>0.15</v>
      </c>
      <c r="D293" s="2951">
        <v>0.15</v>
      </c>
      <c r="E293" s="2951">
        <v>0.15</v>
      </c>
      <c r="F293" s="2951">
        <v>0.14499999999999999</v>
      </c>
      <c r="G293" s="2952">
        <v>0.15</v>
      </c>
    </row>
    <row r="294" spans="1:7">
      <c r="A294" s="2961" t="s">
        <v>306</v>
      </c>
      <c r="B294" s="2950" t="s">
        <v>2904</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2921</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2934</v>
      </c>
      <c r="C302" s="2951">
        <v>0.15</v>
      </c>
      <c r="D302" s="2951">
        <v>0.15</v>
      </c>
      <c r="E302" s="2951">
        <v>0.15</v>
      </c>
      <c r="F302" s="2951">
        <v>0.14699999999999999</v>
      </c>
      <c r="G302" s="2952">
        <v>0.15</v>
      </c>
    </row>
    <row r="303" spans="1:7">
      <c r="A303" s="2961" t="s">
        <v>306</v>
      </c>
      <c r="B303" s="2950" t="s">
        <v>2941</v>
      </c>
      <c r="C303" s="2951">
        <v>0.15</v>
      </c>
      <c r="D303" s="2951">
        <v>0.15</v>
      </c>
      <c r="E303" s="2951">
        <v>0.15</v>
      </c>
      <c r="F303" s="2951">
        <v>0.14199999999999999</v>
      </c>
      <c r="G303" s="2952">
        <v>0.15</v>
      </c>
    </row>
    <row r="304" spans="1:7">
      <c r="A304" s="2961" t="s">
        <v>306</v>
      </c>
      <c r="B304" s="2950" t="s">
        <v>2948</v>
      </c>
      <c r="C304" s="2951">
        <v>0.15</v>
      </c>
      <c r="D304" s="2951">
        <v>0.15</v>
      </c>
      <c r="E304" s="2951">
        <v>0.15</v>
      </c>
      <c r="F304" s="2951">
        <v>0.14499999999999999</v>
      </c>
      <c r="G304" s="2952">
        <v>0.15</v>
      </c>
    </row>
    <row r="305" spans="1:7">
      <c r="A305" s="2961" t="s">
        <v>306</v>
      </c>
      <c r="B305" s="2950" t="s">
        <v>2954</v>
      </c>
      <c r="C305" s="2951">
        <v>0.15</v>
      </c>
      <c r="D305" s="2951">
        <v>0.15</v>
      </c>
      <c r="E305" s="2951">
        <v>0.15</v>
      </c>
      <c r="F305" s="2951">
        <v>0.111</v>
      </c>
      <c r="G305" s="2952">
        <v>0.15</v>
      </c>
    </row>
    <row r="306" spans="1:7">
      <c r="A306" s="2961" t="s">
        <v>306</v>
      </c>
      <c r="B306" s="2950" t="s">
        <v>2961</v>
      </c>
      <c r="C306" s="2951">
        <v>0.15</v>
      </c>
      <c r="D306" s="2951">
        <v>0.15</v>
      </c>
      <c r="E306" s="2951">
        <v>0.15</v>
      </c>
      <c r="F306" s="2951">
        <v>0.126</v>
      </c>
      <c r="G306" s="2952">
        <v>0.15</v>
      </c>
    </row>
    <row r="307" spans="1:7">
      <c r="A307" s="2961" t="s">
        <v>306</v>
      </c>
      <c r="B307" s="2950" t="s">
        <v>2966</v>
      </c>
      <c r="C307" s="2951">
        <v>0.15</v>
      </c>
      <c r="D307" s="2951">
        <v>0.15</v>
      </c>
      <c r="E307" s="2951">
        <v>0.15</v>
      </c>
      <c r="F307" s="2951">
        <v>0.12</v>
      </c>
      <c r="G307" s="2952">
        <v>0.15</v>
      </c>
    </row>
    <row r="308" spans="1:7">
      <c r="A308" s="2961" t="s">
        <v>306</v>
      </c>
      <c r="B308" s="2950" t="s">
        <v>2972</v>
      </c>
      <c r="C308" s="2951">
        <v>0.15</v>
      </c>
      <c r="D308" s="2951">
        <v>0.15</v>
      </c>
      <c r="E308" s="2951">
        <v>0.15</v>
      </c>
      <c r="F308" s="2951">
        <v>0.13</v>
      </c>
      <c r="G308" s="2952">
        <v>0.15</v>
      </c>
    </row>
    <row r="309" spans="1:7">
      <c r="A309" s="2961" t="s">
        <v>306</v>
      </c>
      <c r="B309" s="2950" t="s">
        <v>2976</v>
      </c>
      <c r="C309" s="2951">
        <v>0.15</v>
      </c>
      <c r="D309" s="2951">
        <v>0.15</v>
      </c>
      <c r="E309" s="2951">
        <v>0.15</v>
      </c>
      <c r="F309" s="2951">
        <v>0.14099999999999999</v>
      </c>
      <c r="G309" s="2952">
        <v>0.15</v>
      </c>
    </row>
    <row r="310" spans="1:7">
      <c r="A310" s="2961" t="s">
        <v>306</v>
      </c>
      <c r="B310" s="2950" t="s">
        <v>2981</v>
      </c>
      <c r="C310" s="2951">
        <v>0.15</v>
      </c>
      <c r="D310" s="2951">
        <v>0.15</v>
      </c>
      <c r="E310" s="2951">
        <v>0.15</v>
      </c>
      <c r="F310" s="2951">
        <v>0.15</v>
      </c>
      <c r="G310" s="2952">
        <v>0.15</v>
      </c>
    </row>
    <row r="311" spans="1:7">
      <c r="A311" s="2961" t="s">
        <v>306</v>
      </c>
      <c r="B311" s="2950" t="s">
        <v>2986</v>
      </c>
      <c r="C311" s="2951">
        <v>0.13200000000000001</v>
      </c>
      <c r="D311" s="2951">
        <v>0.13300000000000001</v>
      </c>
      <c r="E311" s="2951">
        <v>0.14499999999999999</v>
      </c>
      <c r="F311" s="2951">
        <v>0.14199999999999999</v>
      </c>
      <c r="G311" s="2952">
        <v>0.14000000000000001</v>
      </c>
    </row>
    <row r="312" spans="1:7">
      <c r="A312" s="2961" t="s">
        <v>306</v>
      </c>
      <c r="B312" s="2950" t="s">
        <v>2991</v>
      </c>
      <c r="C312" s="2951">
        <v>0.13800000000000001</v>
      </c>
      <c r="D312" s="2951">
        <v>0.14000000000000001</v>
      </c>
      <c r="E312" s="2951">
        <v>0.14599999999999999</v>
      </c>
      <c r="F312" s="2951">
        <v>0.14899999999999999</v>
      </c>
      <c r="G312" s="2952">
        <v>0.14199999999999999</v>
      </c>
    </row>
    <row r="313" spans="1:7">
      <c r="A313" s="2961" t="s">
        <v>306</v>
      </c>
      <c r="B313" s="2950" t="s">
        <v>2996</v>
      </c>
      <c r="C313" s="2951">
        <v>0.125</v>
      </c>
      <c r="D313" s="2951">
        <v>0.127</v>
      </c>
      <c r="E313" s="2951">
        <v>0.14399999999999999</v>
      </c>
      <c r="F313" s="2951">
        <v>0.115</v>
      </c>
      <c r="G313" s="2952">
        <v>0.13600000000000001</v>
      </c>
    </row>
    <row r="314" spans="1:7">
      <c r="A314" s="2961" t="s">
        <v>306</v>
      </c>
      <c r="B314" s="2950" t="s">
        <v>3205</v>
      </c>
      <c r="C314" s="2967"/>
      <c r="D314" s="2967"/>
      <c r="E314" s="2967"/>
      <c r="F314" s="2951">
        <v>0.05</v>
      </c>
      <c r="G314" s="2968"/>
    </row>
    <row r="315" spans="1:7">
      <c r="A315" s="2961" t="s">
        <v>306</v>
      </c>
      <c r="B315" s="2950" t="s">
        <v>3206</v>
      </c>
      <c r="C315" s="2967"/>
      <c r="D315" s="2967"/>
      <c r="E315" s="2967"/>
      <c r="F315" s="2951">
        <v>0.05</v>
      </c>
      <c r="G315" s="2968"/>
    </row>
    <row r="316" spans="1:7">
      <c r="A316" s="2961" t="s">
        <v>306</v>
      </c>
      <c r="B316" s="2950" t="s">
        <v>3207</v>
      </c>
      <c r="C316" s="2962"/>
      <c r="D316" s="2962"/>
      <c r="E316" s="2962"/>
      <c r="F316" s="2951">
        <v>0.05</v>
      </c>
      <c r="G316" s="2968"/>
    </row>
    <row r="317" spans="1:7">
      <c r="A317" s="2961" t="s">
        <v>306</v>
      </c>
      <c r="B317" s="2950" t="s">
        <v>3208</v>
      </c>
      <c r="C317" s="2962"/>
      <c r="D317" s="2962"/>
      <c r="E317" s="2962"/>
      <c r="F317" s="2951">
        <v>0.05</v>
      </c>
      <c r="G317" s="2968"/>
    </row>
    <row r="318" spans="1:7">
      <c r="A318" s="2961" t="s">
        <v>306</v>
      </c>
      <c r="B318" s="2950" t="s">
        <v>3209</v>
      </c>
      <c r="C318" s="2962"/>
      <c r="D318" s="2962"/>
      <c r="E318" s="2962"/>
      <c r="F318" s="2951">
        <v>0.05</v>
      </c>
      <c r="G318" s="2968"/>
    </row>
    <row r="319" spans="1:7">
      <c r="A319" s="2961" t="s">
        <v>306</v>
      </c>
      <c r="B319" s="2950" t="s">
        <v>3210</v>
      </c>
      <c r="C319" s="2962"/>
      <c r="D319" s="2962"/>
      <c r="E319" s="2962"/>
      <c r="F319" s="2951">
        <v>0.05</v>
      </c>
      <c r="G319" s="2968"/>
    </row>
    <row r="320" spans="1:7">
      <c r="A320" s="2961" t="s">
        <v>306</v>
      </c>
      <c r="B320" s="2950" t="s">
        <v>3211</v>
      </c>
      <c r="C320" s="2962"/>
      <c r="D320" s="2962"/>
      <c r="E320" s="2962"/>
      <c r="F320" s="2951">
        <v>0.05</v>
      </c>
      <c r="G320" s="2968"/>
    </row>
    <row r="321" spans="1:7">
      <c r="A321" s="2961" t="s">
        <v>306</v>
      </c>
      <c r="B321" s="2950" t="s">
        <v>3212</v>
      </c>
      <c r="C321" s="2962"/>
      <c r="D321" s="2962"/>
      <c r="E321" s="2962"/>
      <c r="F321" s="2951">
        <v>0.05</v>
      </c>
      <c r="G321" s="2968"/>
    </row>
    <row r="322" spans="1:7">
      <c r="A322" s="2961" t="s">
        <v>306</v>
      </c>
      <c r="B322" s="2950" t="s">
        <v>3213</v>
      </c>
      <c r="C322" s="2962"/>
      <c r="D322" s="2962"/>
      <c r="E322" s="2962"/>
      <c r="F322" s="2951">
        <v>0.05</v>
      </c>
      <c r="G322" s="2968"/>
    </row>
    <row r="323" spans="1:7">
      <c r="A323" s="2961" t="s">
        <v>306</v>
      </c>
      <c r="B323" s="2950" t="s">
        <v>3214</v>
      </c>
      <c r="C323" s="2962"/>
      <c r="D323" s="2962"/>
      <c r="E323" s="2962"/>
      <c r="F323" s="2951">
        <v>0.05</v>
      </c>
      <c r="G323" s="2968"/>
    </row>
    <row r="324" spans="1:7">
      <c r="A324" s="2961" t="s">
        <v>306</v>
      </c>
      <c r="B324" s="2950" t="s">
        <v>3215</v>
      </c>
      <c r="C324" s="2962"/>
      <c r="D324" s="2962"/>
      <c r="E324" s="2962"/>
      <c r="F324" s="2951">
        <v>0.05</v>
      </c>
      <c r="G324" s="2968"/>
    </row>
    <row r="325" spans="1:7">
      <c r="A325" s="2961" t="s">
        <v>306</v>
      </c>
      <c r="B325" s="2950" t="s">
        <v>3216</v>
      </c>
      <c r="C325" s="2962"/>
      <c r="D325" s="2962"/>
      <c r="E325" s="2962"/>
      <c r="F325" s="2951">
        <v>0.05</v>
      </c>
      <c r="G325" s="2968"/>
    </row>
    <row r="326" spans="1:7" ht="14.25" thickBot="1">
      <c r="A326" s="2964" t="s">
        <v>306</v>
      </c>
      <c r="B326" s="2954" t="s">
        <v>3217</v>
      </c>
      <c r="C326" s="2956"/>
      <c r="D326" s="2956"/>
      <c r="E326" s="2956"/>
      <c r="F326" s="2955">
        <v>0.05</v>
      </c>
      <c r="G326" s="2969"/>
    </row>
    <row r="327" spans="1:7">
      <c r="A327" s="2960" t="s">
        <v>307</v>
      </c>
      <c r="B327" s="2946" t="s">
        <v>2849</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2861</v>
      </c>
      <c r="C329" s="2951">
        <v>0.15</v>
      </c>
      <c r="D329" s="2951">
        <v>0.15</v>
      </c>
      <c r="E329" s="2951">
        <v>0.15</v>
      </c>
      <c r="F329" s="2951">
        <v>0.15</v>
      </c>
      <c r="G329" s="2952">
        <v>0.15</v>
      </c>
    </row>
    <row r="330" spans="1:7">
      <c r="A330" s="2961" t="s">
        <v>307</v>
      </c>
      <c r="B330" s="2950" t="s">
        <v>2865</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2873</v>
      </c>
      <c r="C332" s="2951">
        <v>0.15</v>
      </c>
      <c r="D332" s="2951">
        <v>0.15</v>
      </c>
      <c r="E332" s="2951">
        <v>0.15</v>
      </c>
      <c r="F332" s="2951">
        <v>0.15</v>
      </c>
      <c r="G332" s="2952">
        <v>0.15</v>
      </c>
    </row>
    <row r="333" spans="1:7">
      <c r="A333" s="2961" t="s">
        <v>307</v>
      </c>
      <c r="B333" s="2950" t="s">
        <v>2877</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2883</v>
      </c>
      <c r="C336" s="2951">
        <v>0.15</v>
      </c>
      <c r="D336" s="2951">
        <v>0.15</v>
      </c>
      <c r="E336" s="2951">
        <v>0.15</v>
      </c>
      <c r="F336" s="2951">
        <v>0.14199999999999999</v>
      </c>
      <c r="G336" s="2952">
        <v>0.15</v>
      </c>
    </row>
    <row r="337" spans="1:7">
      <c r="A337" s="2961" t="s">
        <v>307</v>
      </c>
      <c r="B337" s="2950" t="s">
        <v>2888</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2895</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2900</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2908</v>
      </c>
      <c r="C345" s="2951">
        <v>0.15</v>
      </c>
      <c r="D345" s="2951">
        <v>0.15</v>
      </c>
      <c r="E345" s="2951">
        <v>0.15</v>
      </c>
      <c r="F345" s="2951">
        <v>0.13800000000000001</v>
      </c>
      <c r="G345" s="2952">
        <v>0.15</v>
      </c>
    </row>
    <row r="346" spans="1:7">
      <c r="A346" s="2961" t="s">
        <v>307</v>
      </c>
      <c r="B346" s="2950" t="s">
        <v>2910</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2917</v>
      </c>
      <c r="C348" s="2951">
        <v>0.15</v>
      </c>
      <c r="D348" s="2951">
        <v>0.15</v>
      </c>
      <c r="E348" s="2951">
        <v>0.15</v>
      </c>
      <c r="F348" s="2951">
        <v>0.14399999999999999</v>
      </c>
      <c r="G348" s="2952">
        <v>0.15</v>
      </c>
    </row>
    <row r="349" spans="1:7">
      <c r="A349" s="2961" t="s">
        <v>307</v>
      </c>
      <c r="B349" s="2950" t="s">
        <v>2922</v>
      </c>
      <c r="C349" s="2951">
        <v>0.15</v>
      </c>
      <c r="D349" s="2951">
        <v>0.15</v>
      </c>
      <c r="E349" s="2951">
        <v>0.15</v>
      </c>
      <c r="F349" s="2951">
        <v>0.15</v>
      </c>
      <c r="G349" s="2952">
        <v>0.15</v>
      </c>
    </row>
    <row r="350" spans="1:7">
      <c r="A350" s="2961" t="s">
        <v>307</v>
      </c>
      <c r="B350" s="2950" t="s">
        <v>2925</v>
      </c>
      <c r="C350" s="2951">
        <v>0.15</v>
      </c>
      <c r="D350" s="2951">
        <v>0.15</v>
      </c>
      <c r="E350" s="2951">
        <v>0.15</v>
      </c>
      <c r="F350" s="2951">
        <v>0.14699999999999999</v>
      </c>
      <c r="G350" s="2952">
        <v>0.15</v>
      </c>
    </row>
    <row r="351" spans="1:7">
      <c r="A351" s="2961" t="s">
        <v>307</v>
      </c>
      <c r="B351" s="2950" t="s">
        <v>2930</v>
      </c>
      <c r="C351" s="2951">
        <v>0.15</v>
      </c>
      <c r="D351" s="2951">
        <v>0.15</v>
      </c>
      <c r="E351" s="2951">
        <v>0.15</v>
      </c>
      <c r="F351" s="2951">
        <v>0.13</v>
      </c>
      <c r="G351" s="2952">
        <v>0.15</v>
      </c>
    </row>
    <row r="352" spans="1:7">
      <c r="A352" s="2961" t="s">
        <v>307</v>
      </c>
      <c r="B352" s="2950" t="s">
        <v>2935</v>
      </c>
      <c r="C352" s="2951">
        <v>0.15</v>
      </c>
      <c r="D352" s="2951">
        <v>0.15</v>
      </c>
      <c r="E352" s="2951">
        <v>0.15</v>
      </c>
      <c r="F352" s="2951">
        <v>0.14599999999999999</v>
      </c>
      <c r="G352" s="2952">
        <v>0.15</v>
      </c>
    </row>
    <row r="353" spans="1:7">
      <c r="A353" s="2961" t="s">
        <v>307</v>
      </c>
      <c r="B353" s="2950" t="s">
        <v>2942</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2955</v>
      </c>
      <c r="C355" s="2951">
        <v>0.15</v>
      </c>
      <c r="D355" s="2951">
        <v>0.15</v>
      </c>
      <c r="E355" s="2951">
        <v>0.15</v>
      </c>
      <c r="F355" s="2951">
        <v>0.15</v>
      </c>
      <c r="G355" s="2952">
        <v>0.15</v>
      </c>
    </row>
    <row r="356" spans="1:7">
      <c r="A356" s="2961" t="s">
        <v>307</v>
      </c>
      <c r="B356" s="2950" t="s">
        <v>2962</v>
      </c>
      <c r="C356" s="2951">
        <v>0.15</v>
      </c>
      <c r="D356" s="2951">
        <v>0.15</v>
      </c>
      <c r="E356" s="2951">
        <v>0.15</v>
      </c>
      <c r="F356" s="2951">
        <v>0.15</v>
      </c>
      <c r="G356" s="2952">
        <v>0.15</v>
      </c>
    </row>
    <row r="357" spans="1:7" ht="14.25" thickBot="1">
      <c r="A357" s="2964" t="s">
        <v>307</v>
      </c>
      <c r="B357" s="2954" t="s">
        <v>2967</v>
      </c>
      <c r="C357" s="2955">
        <v>0.126</v>
      </c>
      <c r="D357" s="2955">
        <v>0.127</v>
      </c>
      <c r="E357" s="2955">
        <v>0.14299999999999999</v>
      </c>
      <c r="F357" s="2955">
        <v>0.125</v>
      </c>
      <c r="G357" s="2957">
        <v>0.129</v>
      </c>
    </row>
    <row r="358" spans="1:7">
      <c r="A358" s="2960" t="s">
        <v>2836</v>
      </c>
      <c r="B358" s="2946" t="s">
        <v>2850</v>
      </c>
      <c r="C358" s="2947">
        <v>0.15</v>
      </c>
      <c r="D358" s="2947">
        <v>0.15</v>
      </c>
      <c r="E358" s="2947">
        <v>0.15</v>
      </c>
      <c r="F358" s="2947">
        <v>0.15</v>
      </c>
      <c r="G358" s="2948">
        <v>0.15</v>
      </c>
    </row>
    <row r="359" spans="1:7">
      <c r="A359" s="2961" t="s">
        <v>2836</v>
      </c>
      <c r="B359" s="2950" t="s">
        <v>2856</v>
      </c>
      <c r="C359" s="2951">
        <v>0.1</v>
      </c>
      <c r="D359" s="2951">
        <v>0.1</v>
      </c>
      <c r="E359" s="2951">
        <v>0.1</v>
      </c>
      <c r="F359" s="2951">
        <v>0.1</v>
      </c>
      <c r="G359" s="2952">
        <v>0.1</v>
      </c>
    </row>
    <row r="360" spans="1:7">
      <c r="A360" s="2961" t="s">
        <v>2836</v>
      </c>
      <c r="B360" s="2950" t="s">
        <v>2862</v>
      </c>
      <c r="C360" s="2951">
        <v>0.15</v>
      </c>
      <c r="D360" s="2951">
        <v>0.15</v>
      </c>
      <c r="E360" s="2951">
        <v>0.15</v>
      </c>
      <c r="F360" s="2951">
        <v>0.14899999999999999</v>
      </c>
      <c r="G360" s="2952">
        <v>0.15</v>
      </c>
    </row>
    <row r="361" spans="1:7">
      <c r="A361" s="2961" t="s">
        <v>2836</v>
      </c>
      <c r="B361" s="2950" t="s">
        <v>153</v>
      </c>
      <c r="C361" s="2951">
        <v>0.15</v>
      </c>
      <c r="D361" s="2951">
        <v>0.15</v>
      </c>
      <c r="E361" s="2951">
        <v>0.15</v>
      </c>
      <c r="F361" s="2951">
        <v>0.115</v>
      </c>
      <c r="G361" s="2952">
        <v>0.15</v>
      </c>
    </row>
    <row r="362" spans="1:7">
      <c r="A362" s="2961" t="s">
        <v>2836</v>
      </c>
      <c r="B362" s="2950" t="s">
        <v>2869</v>
      </c>
      <c r="C362" s="2951">
        <v>0.15</v>
      </c>
      <c r="D362" s="2951">
        <v>0.15</v>
      </c>
      <c r="E362" s="2951">
        <v>0.15</v>
      </c>
      <c r="F362" s="2951">
        <v>0.106</v>
      </c>
      <c r="G362" s="2952">
        <v>0.15</v>
      </c>
    </row>
    <row r="363" spans="1:7">
      <c r="A363" s="2961" t="s">
        <v>2836</v>
      </c>
      <c r="B363" s="2950" t="s">
        <v>2874</v>
      </c>
      <c r="C363" s="2951">
        <v>0.15</v>
      </c>
      <c r="D363" s="2951">
        <v>0.15</v>
      </c>
      <c r="E363" s="2951">
        <v>0.15</v>
      </c>
      <c r="F363" s="2951">
        <v>0.14699999999999999</v>
      </c>
      <c r="G363" s="2952">
        <v>0.15</v>
      </c>
    </row>
    <row r="364" spans="1:7">
      <c r="A364" s="2961" t="s">
        <v>2836</v>
      </c>
      <c r="B364" s="2950" t="s">
        <v>2878</v>
      </c>
      <c r="C364" s="2951">
        <v>0.15</v>
      </c>
      <c r="D364" s="2951">
        <v>0.15</v>
      </c>
      <c r="E364" s="2951">
        <v>0.15</v>
      </c>
      <c r="F364" s="2951">
        <v>0.14799999999999999</v>
      </c>
      <c r="G364" s="2952">
        <v>0.15</v>
      </c>
    </row>
    <row r="365" spans="1:7">
      <c r="A365" s="2961" t="s">
        <v>2836</v>
      </c>
      <c r="B365" s="2950" t="s">
        <v>200</v>
      </c>
      <c r="C365" s="2951">
        <v>0.15</v>
      </c>
      <c r="D365" s="2951">
        <v>0.15</v>
      </c>
      <c r="E365" s="2951">
        <v>0.15</v>
      </c>
      <c r="F365" s="2951">
        <v>0.15</v>
      </c>
      <c r="G365" s="2952">
        <v>0.15</v>
      </c>
    </row>
    <row r="366" spans="1:7">
      <c r="A366" s="2961" t="s">
        <v>2836</v>
      </c>
      <c r="B366" s="2950" t="s">
        <v>2881</v>
      </c>
      <c r="C366" s="2951">
        <v>0.15</v>
      </c>
      <c r="D366" s="2951">
        <v>0.15</v>
      </c>
      <c r="E366" s="2951">
        <v>0.15</v>
      </c>
      <c r="F366" s="2951">
        <v>0.15</v>
      </c>
      <c r="G366" s="2952">
        <v>0.15</v>
      </c>
    </row>
    <row r="367" spans="1:7">
      <c r="A367" s="2961" t="s">
        <v>2836</v>
      </c>
      <c r="B367" s="2950" t="s">
        <v>2884</v>
      </c>
      <c r="C367" s="2951">
        <v>0.15</v>
      </c>
      <c r="D367" s="2951">
        <v>0.15</v>
      </c>
      <c r="E367" s="2951">
        <v>0.15</v>
      </c>
      <c r="F367" s="2951">
        <v>0.14699999999999999</v>
      </c>
      <c r="G367" s="2952">
        <v>0.15</v>
      </c>
    </row>
    <row r="368" spans="1:7">
      <c r="A368" s="2961" t="s">
        <v>2836</v>
      </c>
      <c r="B368" s="2950" t="s">
        <v>2889</v>
      </c>
      <c r="C368" s="2951">
        <v>0.15</v>
      </c>
      <c r="D368" s="2951">
        <v>0.15</v>
      </c>
      <c r="E368" s="2951">
        <v>0.15</v>
      </c>
      <c r="F368" s="2951">
        <v>0.13600000000000001</v>
      </c>
      <c r="G368" s="2952">
        <v>0.15</v>
      </c>
    </row>
    <row r="369" spans="1:7">
      <c r="A369" s="2961" t="s">
        <v>2836</v>
      </c>
      <c r="B369" s="2950" t="s">
        <v>214</v>
      </c>
      <c r="C369" s="2951">
        <v>0.15</v>
      </c>
      <c r="D369" s="2951">
        <v>0.15</v>
      </c>
      <c r="E369" s="2951">
        <v>0.15</v>
      </c>
      <c r="F369" s="2951">
        <v>0.14399999999999999</v>
      </c>
      <c r="G369" s="2952">
        <v>0.15</v>
      </c>
    </row>
    <row r="370" spans="1:7">
      <c r="A370" s="2961" t="s">
        <v>2836</v>
      </c>
      <c r="B370" s="2950" t="s">
        <v>221</v>
      </c>
      <c r="C370" s="2951">
        <v>0.15</v>
      </c>
      <c r="D370" s="2951">
        <v>0.15</v>
      </c>
      <c r="E370" s="2951">
        <v>0.15</v>
      </c>
      <c r="F370" s="2951">
        <v>0.14599999999999999</v>
      </c>
      <c r="G370" s="2952">
        <v>0.15</v>
      </c>
    </row>
    <row r="371" spans="1:7">
      <c r="A371" s="2961" t="s">
        <v>2836</v>
      </c>
      <c r="B371" s="2950" t="s">
        <v>229</v>
      </c>
      <c r="C371" s="2951">
        <v>0.15</v>
      </c>
      <c r="D371" s="2951">
        <v>0.15</v>
      </c>
      <c r="E371" s="2951">
        <v>0.15</v>
      </c>
      <c r="F371" s="2951">
        <v>0.12</v>
      </c>
      <c r="G371" s="2952">
        <v>0.15</v>
      </c>
    </row>
    <row r="372" spans="1:7">
      <c r="A372" s="2961" t="s">
        <v>2836</v>
      </c>
      <c r="B372" s="2950" t="s">
        <v>2897</v>
      </c>
      <c r="C372" s="2951">
        <v>0.15</v>
      </c>
      <c r="D372" s="2951">
        <v>0.15</v>
      </c>
      <c r="E372" s="2951">
        <v>0.15</v>
      </c>
      <c r="F372" s="2951">
        <v>0.14299999999999999</v>
      </c>
      <c r="G372" s="2952">
        <v>0.15</v>
      </c>
    </row>
    <row r="373" spans="1:7">
      <c r="A373" s="2961" t="s">
        <v>2836</v>
      </c>
      <c r="B373" s="2950" t="s">
        <v>258</v>
      </c>
      <c r="C373" s="2951">
        <v>0.15</v>
      </c>
      <c r="D373" s="2951">
        <v>0.15</v>
      </c>
      <c r="E373" s="2951">
        <v>0.15</v>
      </c>
      <c r="F373" s="2951">
        <v>0.14599999999999999</v>
      </c>
      <c r="G373" s="2952">
        <v>0.15</v>
      </c>
    </row>
    <row r="374" spans="1:7">
      <c r="A374" s="2961" t="s">
        <v>2836</v>
      </c>
      <c r="B374" s="2950" t="s">
        <v>266</v>
      </c>
      <c r="C374" s="2951">
        <v>0.15</v>
      </c>
      <c r="D374" s="2951">
        <v>0.15</v>
      </c>
      <c r="E374" s="2951">
        <v>0.15</v>
      </c>
      <c r="F374" s="2951">
        <v>0.14399999999999999</v>
      </c>
      <c r="G374" s="2952">
        <v>0.15</v>
      </c>
    </row>
    <row r="375" spans="1:7">
      <c r="A375" s="2961" t="s">
        <v>2836</v>
      </c>
      <c r="B375" s="2950" t="s">
        <v>2905</v>
      </c>
      <c r="C375" s="2951">
        <v>0.15</v>
      </c>
      <c r="D375" s="2951">
        <v>0.15</v>
      </c>
      <c r="E375" s="2951">
        <v>0.15</v>
      </c>
      <c r="F375" s="2951">
        <v>0.13</v>
      </c>
      <c r="G375" s="2952">
        <v>0.15</v>
      </c>
    </row>
    <row r="376" spans="1:7">
      <c r="A376" s="2961" t="s">
        <v>2836</v>
      </c>
      <c r="B376" s="2950" t="s">
        <v>277</v>
      </c>
      <c r="C376" s="2951">
        <v>0.15</v>
      </c>
      <c r="D376" s="2951">
        <v>0.15</v>
      </c>
      <c r="E376" s="2951">
        <v>0.15</v>
      </c>
      <c r="F376" s="2951">
        <v>0.14199999999999999</v>
      </c>
      <c r="G376" s="2952">
        <v>0.15</v>
      </c>
    </row>
    <row r="377" spans="1:7" ht="14.25" thickBot="1">
      <c r="A377" s="2964" t="s">
        <v>2836</v>
      </c>
      <c r="B377" s="2954" t="s">
        <v>2911</v>
      </c>
      <c r="C377" s="2955">
        <v>0.15</v>
      </c>
      <c r="D377" s="2955">
        <v>0.15</v>
      </c>
      <c r="E377" s="2955">
        <v>0.15</v>
      </c>
      <c r="F377" s="2955">
        <v>0.14000000000000001</v>
      </c>
      <c r="G377" s="2957">
        <v>0.15</v>
      </c>
    </row>
    <row r="378" spans="1:7">
      <c r="A378" s="2960" t="s">
        <v>2837</v>
      </c>
      <c r="B378" s="2946" t="s">
        <v>2851</v>
      </c>
      <c r="C378" s="2947">
        <v>0.15</v>
      </c>
      <c r="D378" s="2947">
        <v>0.15</v>
      </c>
      <c r="E378" s="2947">
        <v>0.15</v>
      </c>
      <c r="F378" s="2947">
        <v>0.107</v>
      </c>
      <c r="G378" s="2948">
        <v>0.15</v>
      </c>
    </row>
    <row r="379" spans="1:7">
      <c r="A379" s="2961" t="s">
        <v>2837</v>
      </c>
      <c r="B379" s="2950" t="s">
        <v>2857</v>
      </c>
      <c r="C379" s="2951">
        <v>0.15</v>
      </c>
      <c r="D379" s="2951">
        <v>0.15</v>
      </c>
      <c r="E379" s="2951">
        <v>0.15</v>
      </c>
      <c r="F379" s="2951">
        <v>0.115</v>
      </c>
      <c r="G379" s="2952">
        <v>0.14899999999999999</v>
      </c>
    </row>
    <row r="380" spans="1:7">
      <c r="A380" s="2961" t="s">
        <v>2837</v>
      </c>
      <c r="B380" s="2950" t="s">
        <v>2863</v>
      </c>
      <c r="C380" s="2951">
        <v>0.15</v>
      </c>
      <c r="D380" s="2951">
        <v>0.15</v>
      </c>
      <c r="E380" s="2951">
        <v>0.15</v>
      </c>
      <c r="F380" s="2951">
        <v>0.1</v>
      </c>
      <c r="G380" s="2952">
        <v>0.14799999999999999</v>
      </c>
    </row>
    <row r="381" spans="1:7">
      <c r="A381" s="2961" t="s">
        <v>2837</v>
      </c>
      <c r="B381" s="2950" t="s">
        <v>2866</v>
      </c>
      <c r="C381" s="2951">
        <v>0.15</v>
      </c>
      <c r="D381" s="2951">
        <v>0.15</v>
      </c>
      <c r="E381" s="2951">
        <v>0.15</v>
      </c>
      <c r="F381" s="2951">
        <v>0.126</v>
      </c>
      <c r="G381" s="2952">
        <v>0.15</v>
      </c>
    </row>
    <row r="382" spans="1:7">
      <c r="A382" s="2961" t="s">
        <v>2837</v>
      </c>
      <c r="B382" s="2950" t="s">
        <v>2870</v>
      </c>
      <c r="C382" s="2951">
        <v>0.15</v>
      </c>
      <c r="D382" s="2951">
        <v>0.15</v>
      </c>
      <c r="E382" s="2951">
        <v>0.15</v>
      </c>
      <c r="F382" s="2951">
        <v>0.15</v>
      </c>
      <c r="G382" s="2952">
        <v>0.15</v>
      </c>
    </row>
    <row r="383" spans="1:7">
      <c r="A383" s="2961" t="s">
        <v>2837</v>
      </c>
      <c r="B383" s="2950" t="s">
        <v>2875</v>
      </c>
      <c r="C383" s="2951">
        <v>0.15</v>
      </c>
      <c r="D383" s="2951">
        <v>0.15</v>
      </c>
      <c r="E383" s="2951">
        <v>0.15</v>
      </c>
      <c r="F383" s="2951">
        <v>0.14699999999999999</v>
      </c>
      <c r="G383" s="2952">
        <v>0.15</v>
      </c>
    </row>
    <row r="384" spans="1:7" ht="14.25" thickBot="1">
      <c r="A384" s="2971" t="s">
        <v>2837</v>
      </c>
      <c r="B384" s="2972" t="s">
        <v>2879</v>
      </c>
      <c r="C384" s="2973">
        <v>0.15</v>
      </c>
      <c r="D384" s="2973">
        <v>0.15</v>
      </c>
      <c r="E384" s="2973">
        <v>0.15</v>
      </c>
      <c r="F384" s="2973">
        <v>0.15</v>
      </c>
      <c r="G384" s="2974">
        <v>0.15</v>
      </c>
    </row>
  </sheetData>
  <sheetProtection password="CEE9" sheet="1" objects="1" scenarios="1"/>
  <mergeCells count="1">
    <mergeCell ref="A1:B1"/>
  </mergeCells>
  <phoneticPr fontId="9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925</v>
      </c>
      <c r="B2" s="3173" t="s">
        <v>926</v>
      </c>
      <c r="C2" s="3173" t="s">
        <v>927</v>
      </c>
      <c r="D2" s="3173" t="str">
        <f>'结果表-商业'!D116</f>
        <v>出让国有建设用地使用权价值</v>
      </c>
      <c r="E2" s="3173"/>
      <c r="F2" s="3173" t="str">
        <f>'结果表-商业'!F116</f>
        <v>在建建筑物价值</v>
      </c>
      <c r="G2" s="3173"/>
      <c r="H2" s="3173" t="str">
        <f>IF(项目基本情况!B9="房地产市场价值","房地产市场价值","房地产价值")</f>
        <v>房地产价值</v>
      </c>
      <c r="I2" s="3173"/>
    </row>
    <row r="3" spans="1:9" ht="15">
      <c r="A3" s="3168"/>
      <c r="B3" s="3168"/>
      <c r="C3" s="3168"/>
      <c r="D3" s="783" t="s">
        <v>922</v>
      </c>
      <c r="E3" s="783" t="s">
        <v>928</v>
      </c>
      <c r="F3" s="783" t="s">
        <v>922</v>
      </c>
      <c r="G3" s="783" t="s">
        <v>923</v>
      </c>
      <c r="H3" s="783" t="s">
        <v>922</v>
      </c>
      <c r="I3" s="783" t="s">
        <v>923</v>
      </c>
    </row>
    <row r="4" spans="1:9" ht="15">
      <c r="A4" s="1381" t="str">
        <f>项目基本情况!S2</f>
        <v>房地产</v>
      </c>
      <c r="B4" s="783">
        <f>项目基本情况!C17</f>
        <v>3532.0600000000004</v>
      </c>
      <c r="C4" s="783">
        <f>项目基本情况!C18</f>
        <v>0</v>
      </c>
      <c r="D4" s="783" t="e">
        <f ca="1">'结果表-商业'!D118</f>
        <v>#REF!</v>
      </c>
      <c r="E4" s="783" t="e">
        <f ca="1">'结果表-商业'!E118</f>
        <v>#REF!</v>
      </c>
      <c r="F4" s="783" t="e">
        <f ca="1">'结果表-商业'!F118</f>
        <v>#REF!</v>
      </c>
      <c r="G4" s="783" t="e">
        <f ca="1">'结果表-商业'!G118</f>
        <v>#REF!</v>
      </c>
      <c r="H4" s="783" t="e">
        <f ca="1">'结果表-商业'!H118</f>
        <v>#REF!</v>
      </c>
      <c r="I4" s="783" t="e">
        <f ca="1">'结果表-商业'!I118</f>
        <v>#REF!</v>
      </c>
    </row>
    <row r="5" spans="1:9" ht="30" customHeight="1">
      <c r="A5" s="3168" t="s">
        <v>924</v>
      </c>
      <c r="B5" s="3168"/>
      <c r="C5" s="3168"/>
      <c r="D5" s="3168" t="e">
        <f ca="1">'结果表-商业'!D119</f>
        <v>#REF!</v>
      </c>
      <c r="E5" s="3168"/>
      <c r="F5" s="3168" t="e">
        <f ca="1">'结果表-商业'!F119</f>
        <v>#REF!</v>
      </c>
      <c r="G5" s="3168"/>
      <c r="H5" s="3168" t="e">
        <f ca="1">'结果表-商业'!H119</f>
        <v>#REF!</v>
      </c>
      <c r="I5" s="3168"/>
    </row>
    <row r="6" spans="1:9" ht="15.75">
      <c r="A6" s="3167" t="str">
        <f>'结果表-商业'!A120</f>
        <v>估价师知悉的法定优先受偿款</v>
      </c>
      <c r="B6" s="3167"/>
      <c r="C6" s="3167"/>
      <c r="D6" s="3167">
        <f>'结果表-商业'!D120</f>
        <v>0</v>
      </c>
      <c r="E6" s="3167"/>
      <c r="F6" s="3167"/>
      <c r="G6" s="3167"/>
      <c r="H6" s="3167"/>
      <c r="I6" s="3167"/>
    </row>
    <row r="7" spans="1:9" ht="15">
      <c r="A7" s="3168" t="s">
        <v>924</v>
      </c>
      <c r="B7" s="3168"/>
      <c r="C7" s="3168"/>
      <c r="D7" s="3169" t="str">
        <f>'结果表-商业'!D121</f>
        <v>零元整</v>
      </c>
      <c r="E7" s="3170"/>
      <c r="F7" s="3170"/>
      <c r="G7" s="3170"/>
      <c r="H7" s="3170"/>
      <c r="I7" s="3171"/>
    </row>
    <row r="8" spans="1:9" ht="15.75">
      <c r="A8" s="3167" t="str">
        <f>'结果表-商业'!A122</f>
        <v>房地产抵押价值</v>
      </c>
      <c r="B8" s="3167"/>
      <c r="C8" s="3167"/>
      <c r="D8" s="3167" t="e">
        <f ca="1">'结果表-商业'!D122</f>
        <v>#REF!</v>
      </c>
      <c r="E8" s="3167"/>
      <c r="F8" s="3167"/>
      <c r="G8" s="3167"/>
      <c r="H8" s="3167"/>
      <c r="I8" s="3167"/>
    </row>
    <row r="9" spans="1:9" ht="15">
      <c r="A9" s="3168" t="s">
        <v>924</v>
      </c>
      <c r="B9" s="3168"/>
      <c r="C9" s="3168"/>
      <c r="D9" s="3168" t="e">
        <f ca="1">'结果表-商业'!D123</f>
        <v>#REF!</v>
      </c>
      <c r="E9" s="3168"/>
      <c r="F9" s="3168"/>
      <c r="G9" s="3168"/>
      <c r="H9" s="3168"/>
      <c r="I9" s="3168"/>
    </row>
    <row r="10" spans="1:9" ht="15.75">
      <c r="A10" s="3167" t="str">
        <f>'结果表-商业'!A124</f>
        <v/>
      </c>
      <c r="B10" s="3167"/>
      <c r="C10" s="3167"/>
      <c r="D10" s="3167" t="str">
        <f>'结果表-商业'!D124</f>
        <v>——</v>
      </c>
      <c r="E10" s="3167"/>
      <c r="F10" s="3167"/>
      <c r="G10" s="3167"/>
      <c r="H10" s="3167"/>
      <c r="I10" s="3167"/>
    </row>
    <row r="11" spans="1:9" ht="15">
      <c r="A11" s="3168" t="s">
        <v>924</v>
      </c>
      <c r="B11" s="3168"/>
      <c r="C11" s="3168"/>
      <c r="D11" s="3168" t="e">
        <f>'结果表-商业'!D125</f>
        <v>#VALUE!</v>
      </c>
      <c r="E11" s="3168"/>
      <c r="F11" s="3168"/>
      <c r="G11" s="3168"/>
      <c r="H11" s="3168"/>
      <c r="I11" s="3168"/>
    </row>
    <row r="12" spans="1:9" ht="15.75">
      <c r="A12" s="3167" t="str">
        <f>'结果表-商业'!A126</f>
        <v/>
      </c>
      <c r="B12" s="3167"/>
      <c r="C12" s="3167"/>
      <c r="D12" s="3167" t="str">
        <f>'结果表-商业'!D126</f>
        <v>——</v>
      </c>
      <c r="E12" s="3167"/>
      <c r="F12" s="3167"/>
      <c r="G12" s="3167"/>
      <c r="H12" s="3167"/>
      <c r="I12" s="3167"/>
    </row>
    <row r="13" spans="1:9" ht="15.75" thickBot="1">
      <c r="A13" s="3165" t="s">
        <v>924</v>
      </c>
      <c r="B13" s="3165"/>
      <c r="C13" s="3165"/>
      <c r="D13" s="3165" t="e">
        <f>'结果表-商业'!D127</f>
        <v>#VALUE!</v>
      </c>
      <c r="E13" s="3165"/>
      <c r="F13" s="3165"/>
      <c r="G13" s="3165"/>
      <c r="H13" s="3165"/>
      <c r="I13" s="3165"/>
    </row>
    <row r="14" spans="1:9" ht="15" thickTop="1">
      <c r="A14" s="3166" t="s">
        <v>929</v>
      </c>
      <c r="B14" s="3166"/>
      <c r="C14" s="3166"/>
      <c r="D14" s="3166"/>
      <c r="E14" s="3166"/>
      <c r="F14" s="3166"/>
      <c r="G14" s="3166"/>
      <c r="H14" s="3166"/>
      <c r="I14" s="3166"/>
    </row>
    <row r="16" spans="1:9" ht="18.75">
      <c r="A16" s="1382"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86"/>
  </cols>
  <sheetData>
    <row r="1" spans="1:6">
      <c r="A1" s="3482" t="s">
        <v>3218</v>
      </c>
      <c r="B1" s="3482"/>
      <c r="C1" s="3482"/>
      <c r="D1" s="3482"/>
      <c r="E1" s="3482"/>
      <c r="F1" s="3483"/>
    </row>
    <row r="2" spans="1:6">
      <c r="A2" s="2975" t="s">
        <v>3219</v>
      </c>
    </row>
    <row r="3" spans="1:6">
      <c r="A3" s="2975" t="s">
        <v>3220</v>
      </c>
      <c r="F3" s="2976" t="s">
        <v>3221</v>
      </c>
    </row>
    <row r="4" spans="1:6">
      <c r="A4" s="2977" t="s">
        <v>669</v>
      </c>
      <c r="B4" s="2977" t="s">
        <v>670</v>
      </c>
      <c r="C4" s="2977" t="s">
        <v>21</v>
      </c>
      <c r="D4" s="2977" t="s">
        <v>671</v>
      </c>
      <c r="E4" s="2977" t="s">
        <v>3</v>
      </c>
      <c r="F4" s="2977" t="s">
        <v>3222</v>
      </c>
    </row>
    <row r="5" spans="1:6">
      <c r="A5" s="2978" t="s">
        <v>672</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30">
      <c r="A1" s="2910">
        <f>基准地价修正!G23</f>
        <v>45727</v>
      </c>
      <c r="B1" s="2902" t="s">
        <v>3365</v>
      </c>
      <c r="C1" s="2903"/>
      <c r="D1" s="2903"/>
      <c r="E1" s="2903"/>
      <c r="F1" s="2903"/>
      <c r="G1" s="2903"/>
      <c r="H1" s="2903"/>
      <c r="I1" s="2903"/>
      <c r="J1" s="2869"/>
      <c r="K1" s="2903" t="s">
        <v>454</v>
      </c>
      <c r="L1" s="2903"/>
      <c r="M1" s="2903"/>
      <c r="N1" s="2903"/>
      <c r="O1" s="2903"/>
      <c r="P1" s="2903"/>
      <c r="Q1" s="2869"/>
      <c r="R1" s="3484" t="s">
        <v>456</v>
      </c>
      <c r="S1" s="3485"/>
      <c r="T1" s="3485"/>
      <c r="U1" s="3485"/>
      <c r="V1" s="3485"/>
      <c r="W1" s="3485"/>
      <c r="X1" s="2869"/>
      <c r="Y1" s="3484" t="s">
        <v>457</v>
      </c>
      <c r="Z1" s="3485"/>
      <c r="AA1" s="3485"/>
      <c r="AB1" s="3485"/>
      <c r="AC1" s="3485"/>
      <c r="AD1" s="3485"/>
    </row>
    <row r="2" spans="1:30" s="1987" customFormat="1" ht="14.25" thickBot="1">
      <c r="B2" s="2854"/>
      <c r="C2" s="2855"/>
      <c r="D2" s="1988" t="s">
        <v>2796</v>
      </c>
      <c r="E2" s="1989" t="s">
        <v>2797</v>
      </c>
      <c r="F2" s="1989" t="s">
        <v>2798</v>
      </c>
      <c r="G2" s="1989" t="s">
        <v>2799</v>
      </c>
      <c r="H2" s="1989" t="s">
        <v>2800</v>
      </c>
      <c r="I2" s="1989" t="s">
        <v>2617</v>
      </c>
      <c r="J2" s="2856"/>
      <c r="K2" s="1988" t="s">
        <v>2796</v>
      </c>
      <c r="L2" s="1989" t="s">
        <v>2797</v>
      </c>
      <c r="M2" s="1989" t="s">
        <v>2798</v>
      </c>
      <c r="N2" s="1989" t="s">
        <v>2799</v>
      </c>
      <c r="O2" s="1989" t="s">
        <v>2801</v>
      </c>
      <c r="P2" s="1989" t="s">
        <v>2617</v>
      </c>
      <c r="Q2" s="2856"/>
      <c r="R2" s="1988" t="s">
        <v>2796</v>
      </c>
      <c r="S2" s="1989" t="s">
        <v>2797</v>
      </c>
      <c r="T2" s="1989" t="s">
        <v>2798</v>
      </c>
      <c r="U2" s="1989" t="s">
        <v>2802</v>
      </c>
      <c r="V2" s="1989" t="s">
        <v>2803</v>
      </c>
      <c r="W2" s="1989" t="s">
        <v>2617</v>
      </c>
      <c r="X2" s="2856"/>
      <c r="Y2" s="1988" t="s">
        <v>2796</v>
      </c>
      <c r="Z2" s="1989" t="s">
        <v>2797</v>
      </c>
      <c r="AA2" s="1989" t="s">
        <v>2798</v>
      </c>
      <c r="AB2" s="1989" t="s">
        <v>2804</v>
      </c>
      <c r="AC2" s="1989" t="s">
        <v>2803</v>
      </c>
      <c r="AD2" s="1989" t="s">
        <v>2617</v>
      </c>
    </row>
    <row r="3" spans="1:30" s="2859" customFormat="1" ht="12.75">
      <c r="A3" s="2857" t="s">
        <v>2805</v>
      </c>
      <c r="B3" s="2858"/>
      <c r="D3" s="2859">
        <f>ROUND(AVERAGEIF(D4:D21,"&lt;&gt;0"),2)</f>
        <v>0.38</v>
      </c>
      <c r="E3" s="2859">
        <f t="shared" ref="E3:H3" si="0">ROUND(AVERAGEIF(E4:E21,"&lt;&gt;0"),2)</f>
        <v>0.26</v>
      </c>
      <c r="F3" s="2859">
        <f t="shared" si="0"/>
        <v>-0.01</v>
      </c>
      <c r="G3" s="2859">
        <f t="shared" si="0"/>
        <v>0.41</v>
      </c>
      <c r="H3" s="2859">
        <f t="shared" si="0"/>
        <v>0.52</v>
      </c>
      <c r="I3" s="2859">
        <f>F3</f>
        <v>-0.01</v>
      </c>
      <c r="J3" s="2860"/>
      <c r="K3" s="2861">
        <f>ROUND(AVERAGEIF(K4:K21,"&lt;&gt;0"),4)</f>
        <v>3.8E-3</v>
      </c>
      <c r="L3" s="2862">
        <f t="shared" ref="L3:O3" si="1">ROUND(AVERAGEIF(L4:L21,"&lt;&gt;0"),4)</f>
        <v>2.5999999999999999E-3</v>
      </c>
      <c r="M3" s="2862">
        <f t="shared" si="1"/>
        <v>-1E-4</v>
      </c>
      <c r="N3" s="2862">
        <f t="shared" si="1"/>
        <v>4.1000000000000003E-3</v>
      </c>
      <c r="O3" s="2862">
        <f t="shared" si="1"/>
        <v>5.1999999999999998E-3</v>
      </c>
      <c r="P3" s="2862">
        <f>M3</f>
        <v>-1E-4</v>
      </c>
      <c r="Q3" s="2860"/>
      <c r="R3" s="2863">
        <f>ROUND(SUMPRODUCT(PRODUCT(1+K4:K21)),4)</f>
        <v>1.0613999999999999</v>
      </c>
      <c r="S3" s="2864">
        <f t="shared" ref="S3:V3" si="2">ROUND(SUMPRODUCT(PRODUCT(1+L4:L21)),4)</f>
        <v>1.0415000000000001</v>
      </c>
      <c r="T3" s="2864">
        <f t="shared" si="2"/>
        <v>0.99780000000000002</v>
      </c>
      <c r="U3" s="2864">
        <f t="shared" si="2"/>
        <v>1.0678000000000001</v>
      </c>
      <c r="V3" s="2864">
        <f t="shared" si="2"/>
        <v>1.0866</v>
      </c>
      <c r="W3" s="2863">
        <f>T3</f>
        <v>0.99780000000000002</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3361</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1.0511999999999999</v>
      </c>
      <c r="S5" s="2004">
        <f>ROUND(IF(项目基本情况!$B$8="出让",SUMPRODUCT(PRODUCT(1+L5:$L$21)),SUMPRODUCT(PRODUCT(1+L5:$L$20))),4)</f>
        <v>1.0398000000000001</v>
      </c>
      <c r="T5" s="2004">
        <f>ROUND(IF(项目基本情况!$B$8="出让",SUMPRODUCT(PRODUCT(1+M5:$M$21)),SUMPRODUCT(PRODUCT(1+M5:$M$20))),4)</f>
        <v>1.0003</v>
      </c>
      <c r="U5" s="2004">
        <f>ROUND(IF(项目基本情况!$B$8="出让",SUMPRODUCT(PRODUCT(1+N5:$N$21)),SUMPRODUCT(PRODUCT(1+N5:$N$20))),4)</f>
        <v>1.0561</v>
      </c>
      <c r="V5" s="2004">
        <f>ROUND(IF(项目基本情况!$B$8="出让",SUMPRODUCT(PRODUCT(1+O5:$O$21)),SUMPRODUCT(PRODUCT(1+O5:$O$20))),4)</f>
        <v>1.0827</v>
      </c>
      <c r="W5" s="2004">
        <f>T5</f>
        <v>1.0003</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3370</v>
      </c>
      <c r="B6" s="2881">
        <v>2024</v>
      </c>
      <c r="C6" s="2882">
        <v>4</v>
      </c>
      <c r="D6" s="2883">
        <v>-1.02</v>
      </c>
      <c r="E6" s="2883">
        <v>-0.48</v>
      </c>
      <c r="F6" s="2883">
        <v>-0.75</v>
      </c>
      <c r="G6" s="2883">
        <v>-1.05</v>
      </c>
      <c r="H6" s="2884">
        <v>0.08</v>
      </c>
      <c r="I6" s="2885">
        <f t="shared" ref="I6" si="15">F6</f>
        <v>-0.75</v>
      </c>
      <c r="J6" s="2886"/>
      <c r="K6" s="2887">
        <f t="shared" ref="K6" si="16">D6/100</f>
        <v>-1.0200000000000001E-2</v>
      </c>
      <c r="L6" s="2888">
        <f t="shared" ref="L6" si="17">E6/100</f>
        <v>-4.7999999999999996E-3</v>
      </c>
      <c r="M6" s="2888">
        <f t="shared" ref="M6" si="18">F6/100</f>
        <v>-7.4999999999999997E-3</v>
      </c>
      <c r="N6" s="2888">
        <f t="shared" ref="N6" si="19">G6/100</f>
        <v>-1.0500000000000001E-2</v>
      </c>
      <c r="O6" s="2888">
        <f t="shared" ref="O6" si="20">H6/100</f>
        <v>8.0000000000000004E-4</v>
      </c>
      <c r="P6" s="2888">
        <f>M6</f>
        <v>-7.4999999999999997E-3</v>
      </c>
      <c r="Q6" s="2886"/>
      <c r="R6" s="2886">
        <f>ROUND(IF(项目基本情况!$B$8="出让",SUMPRODUCT(PRODUCT(1+K6:$K$21)),SUMPRODUCT(PRODUCT(1+K6:$K$20))),4)</f>
        <v>1.0511999999999999</v>
      </c>
      <c r="S6" s="2886">
        <f>ROUND(IF(项目基本情况!$B$8="出让",SUMPRODUCT(PRODUCT(1+L6:$L$21)),SUMPRODUCT(PRODUCT(1+L6:$L$20))),4)</f>
        <v>1.0398000000000001</v>
      </c>
      <c r="T6" s="2886">
        <f>ROUND(IF(项目基本情况!$B$8="出让",SUMPRODUCT(PRODUCT(1+M6:$M$21)),SUMPRODUCT(PRODUCT(1+M6:$M$20))),4)</f>
        <v>1.0003</v>
      </c>
      <c r="U6" s="2886">
        <f>ROUND(IF(项目基本情况!$B$8="出让",SUMPRODUCT(PRODUCT(1+N6:$N$21)),SUMPRODUCT(PRODUCT(1+N6:$N$20))),4)</f>
        <v>1.0561</v>
      </c>
      <c r="V6" s="2886">
        <f>ROUND(IF(项目基本情况!$B$8="出让",SUMPRODUCT(PRODUCT(1+O6:$O$21)),SUMPRODUCT(PRODUCT(1+O6:$O$20))),4)</f>
        <v>1.0827</v>
      </c>
      <c r="W6" s="2886">
        <f>T6</f>
        <v>1.0003</v>
      </c>
      <c r="X6" s="2886"/>
      <c r="Y6" s="2888">
        <f>IF(D6=0,0,ROUND(AVERAGE(D6:D19)/100,4))</f>
        <v>2.8999999999999998E-3</v>
      </c>
      <c r="Z6" s="2888">
        <f t="shared" ref="Z6" si="21">IF(E6=0,0,ROUND(AVERAGE(E6:E19)/100,4))</f>
        <v>2.3E-3</v>
      </c>
      <c r="AA6" s="2888">
        <f t="shared" ref="AA6" si="22">IF(F6=0,0,ROUND(AVERAGE(F6:F19)/100,4))</f>
        <v>-2.9999999999999997E-4</v>
      </c>
      <c r="AB6" s="2888">
        <f t="shared" ref="AB6" si="23">IF(G6=0,0,ROUND(AVERAGE(G6:G19)/100,4))</f>
        <v>3.3E-3</v>
      </c>
      <c r="AC6" s="2888">
        <f t="shared" ref="AC6" si="24">IF(H6=0,0,ROUND(AVERAGE(H6:H19)/100,4))</f>
        <v>5.0000000000000001E-3</v>
      </c>
      <c r="AD6" s="2888">
        <f t="shared" ref="AD6" si="25">AA6</f>
        <v>-2.9999999999999997E-4</v>
      </c>
    </row>
    <row r="7" spans="1:30" s="2022" customFormat="1" ht="12.75">
      <c r="A7" s="2017" t="s">
        <v>3369</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3362</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3360</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3356</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3355</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3353</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3352</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3351</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3349</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3340</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2806</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2807</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2808</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2809</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2810</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3368</v>
      </c>
    </row>
    <row r="24" spans="1:30">
      <c r="I24" s="1383" t="s">
        <v>2811</v>
      </c>
    </row>
    <row r="26" spans="1:30" s="1986" customFormat="1" ht="12.75">
      <c r="B26" s="2902" t="s">
        <v>3366</v>
      </c>
      <c r="C26" s="2903"/>
      <c r="D26" s="2903"/>
      <c r="E26" s="2903"/>
      <c r="F26" s="2903"/>
      <c r="G26" s="2903"/>
      <c r="H26" s="2903"/>
      <c r="I26" s="2903"/>
      <c r="J26" s="2869"/>
      <c r="K26" s="2903" t="s">
        <v>2812</v>
      </c>
      <c r="L26" s="2903"/>
      <c r="M26" s="2903"/>
      <c r="N26" s="2903"/>
      <c r="O26" s="2903"/>
      <c r="P26" s="2903"/>
      <c r="Q26" s="2869"/>
      <c r="R26" s="3484" t="s">
        <v>2813</v>
      </c>
      <c r="S26" s="3485"/>
      <c r="T26" s="3485"/>
      <c r="U26" s="3485"/>
      <c r="V26" s="3485"/>
      <c r="W26" s="3485"/>
      <c r="X26" s="2869"/>
      <c r="Y26" s="3484" t="s">
        <v>2814</v>
      </c>
      <c r="Z26" s="3485"/>
      <c r="AA26" s="3485"/>
      <c r="AB26" s="3485"/>
      <c r="AC26" s="3485"/>
      <c r="AD26" s="3485"/>
    </row>
    <row r="27" spans="1:30" s="1987" customFormat="1" ht="14.25" thickBot="1">
      <c r="B27" s="2854"/>
      <c r="C27" s="2855"/>
      <c r="D27" s="1988" t="s">
        <v>2815</v>
      </c>
      <c r="E27" s="1989" t="s">
        <v>2816</v>
      </c>
      <c r="F27" s="1989" t="s">
        <v>2817</v>
      </c>
      <c r="G27" s="1989" t="s">
        <v>2818</v>
      </c>
      <c r="H27" s="1989"/>
      <c r="I27" s="1989" t="s">
        <v>2819</v>
      </c>
      <c r="J27" s="2856"/>
      <c r="K27" s="1988" t="s">
        <v>2815</v>
      </c>
      <c r="L27" s="1989" t="s">
        <v>2816</v>
      </c>
      <c r="M27" s="1989" t="s">
        <v>2817</v>
      </c>
      <c r="N27" s="1989" t="s">
        <v>2818</v>
      </c>
      <c r="O27" s="1989"/>
      <c r="P27" s="1989" t="s">
        <v>2819</v>
      </c>
      <c r="Q27" s="2856"/>
      <c r="R27" s="1988" t="s">
        <v>2815</v>
      </c>
      <c r="S27" s="1989" t="s">
        <v>2816</v>
      </c>
      <c r="T27" s="1989" t="s">
        <v>2817</v>
      </c>
      <c r="U27" s="1989" t="s">
        <v>2818</v>
      </c>
      <c r="V27" s="1989"/>
      <c r="W27" s="1989" t="s">
        <v>2819</v>
      </c>
      <c r="X27" s="2856"/>
      <c r="Y27" s="1988" t="s">
        <v>2815</v>
      </c>
      <c r="Z27" s="1989" t="s">
        <v>2816</v>
      </c>
      <c r="AA27" s="1989" t="s">
        <v>2817</v>
      </c>
      <c r="AB27" s="1989" t="s">
        <v>2818</v>
      </c>
      <c r="AC27" s="1989"/>
      <c r="AD27" s="1989" t="s">
        <v>2819</v>
      </c>
    </row>
    <row r="28" spans="1:30" s="2859" customFormat="1" ht="12.75">
      <c r="A28" s="2857" t="s">
        <v>2820</v>
      </c>
      <c r="B28" s="2858"/>
      <c r="E28" s="2859">
        <f t="shared" ref="E28:G28" si="65">ROUND(AVERAGEIF(E29:E46,"&lt;&gt;0"),2)</f>
        <v>0.21</v>
      </c>
      <c r="F28" s="2859">
        <f t="shared" si="65"/>
        <v>0.14000000000000001</v>
      </c>
      <c r="G28" s="2859">
        <f t="shared" si="65"/>
        <v>0.3</v>
      </c>
      <c r="I28" s="2859">
        <f>F28</f>
        <v>0.14000000000000001</v>
      </c>
      <c r="J28" s="2860"/>
      <c r="K28" s="2861"/>
      <c r="L28" s="2862">
        <f t="shared" ref="L28:N28" si="66">ROUND(AVERAGEIF(L29:L46,"&lt;&gt;0"),4)</f>
        <v>2.0999999999999999E-3</v>
      </c>
      <c r="M28" s="2862">
        <f t="shared" si="66"/>
        <v>1.4E-3</v>
      </c>
      <c r="N28" s="2862">
        <f t="shared" si="66"/>
        <v>3.0000000000000001E-3</v>
      </c>
      <c r="O28" s="2862"/>
      <c r="P28" s="2862">
        <f>M28</f>
        <v>1.4E-3</v>
      </c>
      <c r="Q28" s="2860"/>
      <c r="R28" s="2863"/>
      <c r="S28" s="2864">
        <f>ROUND(SUMPRODUCT(PRODUCT(1+L29:L46)),4)</f>
        <v>1.0337000000000001</v>
      </c>
      <c r="T28" s="2864">
        <f t="shared" ref="T28:U28" si="67">ROUND(SUMPRODUCT(PRODUCT(1+M29:M46)),4)</f>
        <v>1.022</v>
      </c>
      <c r="U28" s="2864">
        <f t="shared" si="67"/>
        <v>1.0489999999999999</v>
      </c>
      <c r="V28" s="2864"/>
      <c r="W28" s="2863">
        <f>T28</f>
        <v>1.022</v>
      </c>
      <c r="X28" s="2860"/>
      <c r="Y28" s="2865"/>
      <c r="Z28" s="2866">
        <f t="shared" ref="Z28:AB28" si="68">ROUND(AVERAGEIF(Z29:Z46,"&lt;&gt;0"),4)</f>
        <v>3.8E-3</v>
      </c>
      <c r="AA28" s="2867">
        <f t="shared" si="68"/>
        <v>3.0000000000000001E-3</v>
      </c>
      <c r="AB28" s="2865">
        <f t="shared" si="68"/>
        <v>7.4999999999999997E-3</v>
      </c>
      <c r="AC28" s="2868"/>
      <c r="AD28" s="2865">
        <f>AA28</f>
        <v>3.0000000000000001E-3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3361</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1.0301</v>
      </c>
      <c r="T30" s="2004">
        <f>ROUND(IF(项目基本情况!$B$8="出让",SUMPRODUCT(PRODUCT(1+M30:M$46)),SUMPRODUCT(PRODUCT(1+M30:M$45))),4)</f>
        <v>1.0170999999999999</v>
      </c>
      <c r="U30" s="2004">
        <f>ROUND(IF(项目基本情况!$B$8="出让",SUMPRODUCT(PRODUCT(1+N30:N$46)),SUMPRODUCT(PRODUCT(1+N30:N$45))),4)</f>
        <v>1.0387999999999999</v>
      </c>
      <c r="V30" s="2004"/>
      <c r="W30" s="2004">
        <f>T30</f>
        <v>1.0170999999999999</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3363</v>
      </c>
      <c r="B31" s="2881">
        <v>2024</v>
      </c>
      <c r="C31" s="2882">
        <v>4</v>
      </c>
      <c r="D31" s="2883"/>
      <c r="E31" s="2883">
        <v>-0.61</v>
      </c>
      <c r="F31" s="2883">
        <v>-0.71</v>
      </c>
      <c r="G31" s="2883">
        <v>-0.88</v>
      </c>
      <c r="H31" s="2884"/>
      <c r="I31" s="2885">
        <f t="shared" ref="I31" si="76">F31</f>
        <v>-0.71</v>
      </c>
      <c r="J31" s="2886"/>
      <c r="K31" s="2887"/>
      <c r="L31" s="2888">
        <f t="shared" ref="L31" si="77">E31/100</f>
        <v>-6.0999999999999995E-3</v>
      </c>
      <c r="M31" s="2888">
        <f t="shared" ref="M31" si="78">F31/100</f>
        <v>-7.0999999999999995E-3</v>
      </c>
      <c r="N31" s="2888">
        <f t="shared" ref="N31" si="79">G31/100</f>
        <v>-8.8000000000000005E-3</v>
      </c>
      <c r="O31" s="2888"/>
      <c r="P31" s="2888">
        <f>M31</f>
        <v>-7.0999999999999995E-3</v>
      </c>
      <c r="Q31" s="2886"/>
      <c r="R31" s="2886"/>
      <c r="S31" s="2886">
        <f>ROUND(IF(项目基本情况!$B$8="出让",SUMPRODUCT(PRODUCT(1+L31:L$46)),SUMPRODUCT(PRODUCT(1+L31:L$45))),4)</f>
        <v>1.0301</v>
      </c>
      <c r="T31" s="2886">
        <f>ROUND(IF(项目基本情况!$B$8="出让",SUMPRODUCT(PRODUCT(1+M31:M$46)),SUMPRODUCT(PRODUCT(1+M31:M$45))),4)</f>
        <v>1.0170999999999999</v>
      </c>
      <c r="U31" s="2886">
        <f>ROUND(IF(项目基本情况!$B$8="出让",SUMPRODUCT(PRODUCT(1+N31:N$46)),SUMPRODUCT(PRODUCT(1+N31:N$45))),4)</f>
        <v>1.0387999999999999</v>
      </c>
      <c r="V31" s="2886"/>
      <c r="W31" s="2886">
        <f>T31</f>
        <v>1.0170999999999999</v>
      </c>
      <c r="X31" s="2886"/>
      <c r="Y31" s="2888"/>
      <c r="Z31" s="2904">
        <f t="shared" ref="Z31" si="80">IF(E31=0,0,ROUND(AVERAGE(E31:E44)/100,4))</f>
        <v>1.6999999999999999E-3</v>
      </c>
      <c r="AA31" s="2905">
        <f t="shared" ref="AA31" si="81">IF(F31=0,0,ROUND(AVERAGE(F31:F44)/100,4))</f>
        <v>8.9999999999999998E-4</v>
      </c>
      <c r="AB31" s="2888">
        <f t="shared" ref="AB31" si="82">IF(G31=0,0,ROUND(AVERAGE(G31:G44)/100,4))</f>
        <v>2E-3</v>
      </c>
      <c r="AC31" s="2906"/>
      <c r="AD31" s="2888">
        <f>IF(I31=0,0,ROUND(AVERAGE(I31:I44)/100,4))</f>
        <v>8.9999999999999998E-4</v>
      </c>
    </row>
    <row r="32" spans="1:30" s="2022" customFormat="1" ht="12.75">
      <c r="A32" s="2017" t="s">
        <v>3358</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3364</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3359</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3357</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3355</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3354</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3352</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3351</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3350</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3340</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2821</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2822</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2823</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2824</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2810</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3367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20" sqref="H20"/>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1987" customFormat="1" ht="14.25" thickBot="1">
      <c r="B2" s="1988" t="s">
        <v>458</v>
      </c>
      <c r="C2" s="1988" t="s">
        <v>459</v>
      </c>
      <c r="D2" s="1989" t="s">
        <v>460</v>
      </c>
      <c r="E2" s="1989" t="s">
        <v>461</v>
      </c>
      <c r="F2" s="1988" t="s">
        <v>462</v>
      </c>
      <c r="G2" s="1990"/>
      <c r="I2" s="1988" t="s">
        <v>458</v>
      </c>
      <c r="J2" s="1989" t="s">
        <v>673</v>
      </c>
      <c r="K2" s="1989" t="s">
        <v>308</v>
      </c>
      <c r="L2" s="1988" t="s">
        <v>462</v>
      </c>
      <c r="N2" s="1988" t="s">
        <v>458</v>
      </c>
      <c r="O2" s="1989" t="s">
        <v>673</v>
      </c>
      <c r="P2" s="1989" t="s">
        <v>308</v>
      </c>
      <c r="Q2" s="1988" t="s">
        <v>462</v>
      </c>
      <c r="S2" s="1988" t="s">
        <v>458</v>
      </c>
      <c r="T2" s="1989" t="s">
        <v>673</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2111</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3348</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3345</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2112</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3346</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3347</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2422</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2299</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2298</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2297</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2294</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2293</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2127</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2125</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2124</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2123</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2121</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2120</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2122</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87">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2118</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87"/>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2117</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87"/>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2110</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94"/>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2108</v>
      </c>
      <c r="B25" s="2026">
        <v>439</v>
      </c>
      <c r="C25" s="2026">
        <v>327</v>
      </c>
      <c r="D25" s="2026">
        <f>C25</f>
        <v>327</v>
      </c>
      <c r="E25" s="2026">
        <v>627</v>
      </c>
      <c r="F25" s="2027">
        <v>283</v>
      </c>
      <c r="G25" s="3490">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2109</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87"/>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674</v>
      </c>
      <c r="B27" s="2018">
        <f t="shared" si="232"/>
        <v>419.31181600000002</v>
      </c>
      <c r="C27" s="2018">
        <f t="shared" si="233"/>
        <v>313.95436800000004</v>
      </c>
      <c r="D27" s="2018">
        <f t="shared" si="234"/>
        <v>313.95436800000004</v>
      </c>
      <c r="E27" s="2018">
        <f t="shared" si="235"/>
        <v>596.63028431999999</v>
      </c>
      <c r="F27" s="2018">
        <f t="shared" si="236"/>
        <v>274.74220703999998</v>
      </c>
      <c r="G27" s="3487"/>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94"/>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90">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87"/>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87"/>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88"/>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86">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87"/>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87"/>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88"/>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86">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87"/>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87"/>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88"/>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91">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92"/>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92"/>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93"/>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86">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87"/>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87"/>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88"/>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86">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87">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87">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88">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86">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87">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87">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88">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86">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87">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87">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88">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86">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87">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87">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88">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86">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87">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87">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88">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86">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87">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87">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88">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86">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87">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87">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88">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86">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87">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87">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88">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86">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87">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87">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88">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86">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87">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87">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88">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20" sqref="H20"/>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45727</v>
      </c>
      <c r="D1" s="1195" t="s">
        <v>603</v>
      </c>
      <c r="E1" s="1190">
        <f>'数据-取费表'!B22</f>
        <v>2</v>
      </c>
      <c r="F1" s="1195" t="s">
        <v>604</v>
      </c>
      <c r="G1" s="1191">
        <f ca="1">INDIRECT("d"&amp;$K$1)/100</f>
        <v>3.1E-2</v>
      </c>
      <c r="H1" s="1195" t="s">
        <v>634</v>
      </c>
      <c r="I1" s="1191">
        <f ca="1">F4/100</f>
        <v>1.4999999999999999E-2</v>
      </c>
      <c r="J1" s="1196">
        <f>IF(C1&gt;C13,0,MATCH(C1,C$13:C$114,-1))+IF(SUMIF(C13:C114,C1,D13:D114)=0,13,12)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2295</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80" t="s">
        <v>946</v>
      </c>
      <c r="B1" s="3180"/>
      <c r="C1" s="3180"/>
      <c r="D1" s="3180"/>
    </row>
    <row r="2" spans="1:4" ht="18">
      <c r="A2" s="3181" t="s">
        <v>930</v>
      </c>
      <c r="B2" s="3181"/>
      <c r="C2" s="3181"/>
      <c r="D2" s="3181"/>
    </row>
    <row r="3" spans="1:4" ht="18.75">
      <c r="A3" s="1385" t="s">
        <v>931</v>
      </c>
      <c r="B3" s="1385" t="s">
        <v>932</v>
      </c>
      <c r="C3" s="1385" t="s">
        <v>933</v>
      </c>
      <c r="D3" s="1385" t="s">
        <v>934</v>
      </c>
    </row>
    <row r="4" spans="1:4" ht="56.25" customHeight="1">
      <c r="A4" s="1386">
        <f>项目基本情况!B4</f>
        <v>0</v>
      </c>
      <c r="B4" s="1387">
        <f>项目基本情况!C4</f>
        <v>0</v>
      </c>
      <c r="C4" s="1388"/>
      <c r="D4" s="1389" t="s">
        <v>935</v>
      </c>
    </row>
    <row r="5" spans="1:4" ht="56.25" customHeight="1">
      <c r="A5" s="1386">
        <f>项目基本情况!D4</f>
        <v>0</v>
      </c>
      <c r="B5" s="1387">
        <f>项目基本情况!E4</f>
        <v>0</v>
      </c>
      <c r="C5" s="1390"/>
      <c r="D5" s="1389" t="s">
        <v>935</v>
      </c>
    </row>
    <row r="6" spans="1:4" ht="18">
      <c r="A6" s="3181" t="s">
        <v>936</v>
      </c>
      <c r="B6" s="3181"/>
      <c r="C6" s="3181"/>
      <c r="D6" s="3181"/>
    </row>
    <row r="7" spans="1:4" ht="18.75">
      <c r="A7" s="1385" t="s">
        <v>931</v>
      </c>
      <c r="B7" s="1387" t="s">
        <v>937</v>
      </c>
      <c r="C7" s="1385" t="s">
        <v>933</v>
      </c>
      <c r="D7" s="1385" t="s">
        <v>934</v>
      </c>
    </row>
    <row r="8" spans="1:4" ht="56.25" customHeight="1">
      <c r="A8" s="1391" t="s">
        <v>390</v>
      </c>
      <c r="B8" s="1391" t="s">
        <v>0</v>
      </c>
      <c r="C8" s="1388"/>
      <c r="D8" s="1389" t="s">
        <v>935</v>
      </c>
    </row>
    <row r="10" spans="1:4" ht="18.75">
      <c r="A10" s="1392" t="s">
        <v>938</v>
      </c>
    </row>
    <row r="11" spans="1:4" ht="30" customHeight="1">
      <c r="A11" s="3182" t="s">
        <v>939</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940</v>
      </c>
      <c r="B16" s="3176"/>
      <c r="C16" s="3176"/>
      <c r="D16" s="3176"/>
    </row>
    <row r="17" spans="1:4" ht="144" customHeight="1">
      <c r="A17" s="3176" t="s">
        <v>941</v>
      </c>
      <c r="B17" s="3176"/>
      <c r="C17" s="3176"/>
      <c r="D17" s="3176"/>
    </row>
    <row r="18" spans="1:4" ht="15.75" customHeight="1">
      <c r="A18" s="3174" t="str">
        <f>IF(项目基本情况!B8="抵押",'结果表-商业'!K120,"——")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942</v>
      </c>
      <c r="B22" s="3178"/>
      <c r="C22" s="3178"/>
      <c r="D22" s="3178"/>
    </row>
    <row r="23" spans="1:4">
      <c r="A23" s="1393"/>
      <c r="B23" s="452"/>
      <c r="C23" s="452"/>
      <c r="D23" s="452"/>
    </row>
    <row r="24" spans="1:4">
      <c r="A24" s="1393"/>
      <c r="B24" s="452"/>
      <c r="C24" s="452"/>
      <c r="D24" s="452"/>
    </row>
    <row r="25" spans="1:4" ht="18.75">
      <c r="A25" s="1394" t="s">
        <v>943</v>
      </c>
    </row>
    <row r="26" spans="1:4" ht="18">
      <c r="A26" s="1365"/>
    </row>
    <row r="27" spans="1:4" ht="18.75">
      <c r="A27" s="1365" t="s">
        <v>944</v>
      </c>
    </row>
    <row r="30" spans="1:4" ht="18.75">
      <c r="D30" s="1394" t="s">
        <v>945</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28" sqref="C28"/>
      <selection pane="bottomLeft" activeCell="C28" sqref="C28"/>
    </sheetView>
  </sheetViews>
  <sheetFormatPr defaultColWidth="14.5" defaultRowHeight="14.25"/>
  <cols>
    <col min="1" max="1" width="14.5" style="1400" customWidth="1"/>
    <col min="2" max="16384" width="14.5" style="1383"/>
  </cols>
  <sheetData>
    <row r="1" spans="1:7" s="1397" customFormat="1" ht="18.75">
      <c r="A1" s="1396" t="s">
        <v>947</v>
      </c>
    </row>
    <row r="3" spans="1:7">
      <c r="A3" s="1398" t="s">
        <v>55</v>
      </c>
      <c r="B3" s="1383" t="s">
        <v>948</v>
      </c>
      <c r="G3" s="1399"/>
    </row>
    <row r="4" spans="1:7">
      <c r="G4" s="1399"/>
    </row>
    <row r="5" spans="1:7">
      <c r="A5" s="1401" t="s">
        <v>46</v>
      </c>
      <c r="B5" s="1383" t="s">
        <v>949</v>
      </c>
      <c r="G5" s="1399"/>
    </row>
    <row r="6" spans="1:7">
      <c r="G6" s="1399"/>
    </row>
    <row r="7" spans="1:7">
      <c r="A7" s="1402" t="s">
        <v>108</v>
      </c>
      <c r="B7" s="1383" t="s">
        <v>950</v>
      </c>
      <c r="G7" s="1399"/>
    </row>
    <row r="8" spans="1:7">
      <c r="G8" s="1399"/>
    </row>
    <row r="9" spans="1:7">
      <c r="A9" s="1403" t="s">
        <v>47</v>
      </c>
      <c r="B9" s="1383" t="s">
        <v>951</v>
      </c>
    </row>
    <row r="11" spans="1:7">
      <c r="A11" s="1404" t="s">
        <v>48</v>
      </c>
      <c r="B11" s="1405" t="s">
        <v>45</v>
      </c>
    </row>
    <row r="13" spans="1:7">
      <c r="A13" s="1406" t="s">
        <v>952</v>
      </c>
    </row>
    <row r="15" spans="1:7" ht="13.5">
      <c r="A15" s="3188" t="s">
        <v>953</v>
      </c>
      <c r="B15" s="3183" t="s">
        <v>109</v>
      </c>
      <c r="C15" s="3184"/>
    </row>
    <row r="16" spans="1:7" ht="13.5">
      <c r="A16" s="3189"/>
      <c r="B16" s="3183" t="s">
        <v>42</v>
      </c>
      <c r="C16" s="3184"/>
    </row>
    <row r="17" spans="1:3" ht="13.5">
      <c r="A17" s="3189"/>
      <c r="B17" s="3186" t="s">
        <v>954</v>
      </c>
      <c r="C17" s="1407" t="s">
        <v>953</v>
      </c>
    </row>
    <row r="18" spans="1:3" ht="13.5">
      <c r="A18" s="3189"/>
      <c r="B18" s="3186"/>
      <c r="C18" s="1407" t="s">
        <v>955</v>
      </c>
    </row>
    <row r="19" spans="1:3" ht="13.5">
      <c r="A19" s="3189"/>
      <c r="B19" s="3186"/>
      <c r="C19" s="1407" t="s">
        <v>956</v>
      </c>
    </row>
    <row r="20" spans="1:3" ht="13.5">
      <c r="A20" s="3190"/>
      <c r="B20" s="3185" t="s">
        <v>957</v>
      </c>
      <c r="C20" s="3184"/>
    </row>
    <row r="21" spans="1:3" ht="13.5">
      <c r="A21" s="1408" t="s">
        <v>958</v>
      </c>
      <c r="B21" s="1409"/>
      <c r="C21" s="1410"/>
    </row>
    <row r="22" spans="1:3" ht="13.5">
      <c r="A22" s="3187" t="s">
        <v>959</v>
      </c>
      <c r="B22" s="3185" t="s">
        <v>960</v>
      </c>
      <c r="C22" s="3184"/>
    </row>
    <row r="23" spans="1:3" ht="13.5">
      <c r="A23" s="3187"/>
      <c r="B23" s="3185" t="s">
        <v>961</v>
      </c>
      <c r="C23" s="3184"/>
    </row>
    <row r="24" spans="1:3" ht="13.5">
      <c r="A24" s="3187"/>
      <c r="B24" s="3185" t="s">
        <v>962</v>
      </c>
      <c r="C24" s="3184"/>
    </row>
    <row r="25" spans="1:3" ht="13.5">
      <c r="A25" s="3187"/>
      <c r="B25" s="3186" t="s">
        <v>963</v>
      </c>
      <c r="C25" s="1407" t="s">
        <v>964</v>
      </c>
    </row>
    <row r="26" spans="1:3" ht="13.5">
      <c r="A26" s="3187"/>
      <c r="B26" s="3186"/>
      <c r="C26" s="1407" t="s">
        <v>965</v>
      </c>
    </row>
    <row r="27" spans="1:3" ht="13.5">
      <c r="A27" s="3187"/>
      <c r="B27" s="3186"/>
      <c r="C27" s="1407" t="s">
        <v>966</v>
      </c>
    </row>
    <row r="28" spans="1:3" ht="13.5">
      <c r="A28" s="3187"/>
      <c r="B28" s="3186"/>
      <c r="C28" s="1407" t="s">
        <v>967</v>
      </c>
    </row>
    <row r="29" spans="1:3" ht="13.5">
      <c r="A29" s="3187"/>
      <c r="B29" s="3186"/>
      <c r="C29" s="1407" t="s">
        <v>968</v>
      </c>
    </row>
    <row r="30" spans="1:3" ht="13.5">
      <c r="A30" s="3187"/>
      <c r="B30" s="3186"/>
      <c r="C30" s="1407" t="s">
        <v>969</v>
      </c>
    </row>
    <row r="31" spans="1:3" ht="13.5">
      <c r="A31" s="3187"/>
      <c r="B31" s="3186"/>
      <c r="C31" s="1407" t="s">
        <v>970</v>
      </c>
    </row>
    <row r="32" spans="1:3" ht="13.5">
      <c r="A32" s="3187"/>
      <c r="B32" s="3186"/>
      <c r="C32" s="1407" t="s">
        <v>971</v>
      </c>
    </row>
    <row r="33" spans="1:3" ht="13.5">
      <c r="A33" s="3187"/>
      <c r="B33" s="3186"/>
      <c r="C33" s="1407" t="s">
        <v>972</v>
      </c>
    </row>
    <row r="34" spans="1:3">
      <c r="A34" s="1411" t="s">
        <v>49</v>
      </c>
    </row>
    <row r="37" spans="1:3">
      <c r="A37" s="1411" t="s">
        <v>973</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2136</v>
      </c>
      <c r="B2" s="2134">
        <f ca="1">TODAY()</f>
        <v>45728</v>
      </c>
      <c r="C2" s="2135" t="s">
        <v>2137</v>
      </c>
      <c r="D2" s="2135"/>
      <c r="E2" s="2135"/>
      <c r="F2" s="2131"/>
      <c r="G2" s="2131"/>
      <c r="H2" s="2131"/>
    </row>
    <row r="3" spans="1:8" ht="24" customHeight="1">
      <c r="A3" s="2136" t="s">
        <v>2138</v>
      </c>
      <c r="B3" s="1197" t="s">
        <v>2139</v>
      </c>
      <c r="C3" s="1197" t="s">
        <v>2140</v>
      </c>
      <c r="D3" s="2137" t="s">
        <v>2141</v>
      </c>
      <c r="E3" s="2138" t="s">
        <v>2142</v>
      </c>
      <c r="F3" s="1197" t="s">
        <v>2143</v>
      </c>
      <c r="G3" s="1197" t="s">
        <v>2140</v>
      </c>
      <c r="H3" s="2137" t="s">
        <v>2144</v>
      </c>
    </row>
    <row r="4" spans="1:8" ht="24" customHeight="1">
      <c r="A4" s="1197" t="s">
        <v>2145</v>
      </c>
      <c r="B4" s="1197">
        <f ca="1">IF(C4&lt;B2,"已过期",1119970066)</f>
        <v>1119970066</v>
      </c>
      <c r="C4" s="2139">
        <v>45937</v>
      </c>
      <c r="D4" s="2140" t="str">
        <f ca="1">A4&amp;"（注册号："&amp;B4&amp;"）"</f>
        <v>梁津（注册号：1119970066）</v>
      </c>
      <c r="E4" s="2141" t="s">
        <v>2145</v>
      </c>
      <c r="F4" s="1197">
        <f ca="1">IF(G4&lt;B2,"已过期",96010014)</f>
        <v>96010014</v>
      </c>
      <c r="G4" s="2142">
        <v>47118</v>
      </c>
      <c r="H4" s="2143" t="str">
        <f ca="1">E4&amp;"（注册号："&amp;F4&amp;"）"</f>
        <v>梁津（注册号：96010014）</v>
      </c>
    </row>
    <row r="5" spans="1:8" ht="24" customHeight="1">
      <c r="A5" s="1197" t="s">
        <v>2146</v>
      </c>
      <c r="B5" s="1197">
        <f ca="1">IF(C5&lt;B2,"已过期",1119970111)</f>
        <v>1119970111</v>
      </c>
      <c r="C5" s="2139">
        <v>45937</v>
      </c>
      <c r="D5" s="2140" t="str">
        <f t="shared" ref="D5:D15" ca="1" si="0">A5&amp;"（注册号："&amp;B5&amp;"）"</f>
        <v>叶凌（注册号：1119970111）</v>
      </c>
      <c r="E5" s="2141" t="s">
        <v>2146</v>
      </c>
      <c r="F5" s="1197">
        <f ca="1">IF(G5&lt;B2,"已过期",94010078)</f>
        <v>94010078</v>
      </c>
      <c r="G5" s="2142">
        <v>46387</v>
      </c>
      <c r="H5" s="2143" t="str">
        <f t="shared" ref="H5:H16" ca="1" si="1">E5&amp;"（注册号："&amp;F5&amp;"）"</f>
        <v>叶凌（注册号：94010078）</v>
      </c>
    </row>
    <row r="6" spans="1:8" ht="24" customHeight="1">
      <c r="A6" s="1197" t="s">
        <v>2147</v>
      </c>
      <c r="B6" s="1197" t="str">
        <f ca="1">IF(C6&lt;B2,"已过期",1120050019)</f>
        <v>已过期</v>
      </c>
      <c r="C6" s="2139">
        <v>45410</v>
      </c>
      <c r="D6" s="2140" t="str">
        <f t="shared" ca="1" si="0"/>
        <v>王鹏（注册号：已过期）</v>
      </c>
      <c r="E6" s="2141" t="s">
        <v>2147</v>
      </c>
      <c r="F6" s="1197">
        <f ca="1">IF(G6&lt;B2,"已过期",2002110030)</f>
        <v>2002110030</v>
      </c>
      <c r="G6" s="2142">
        <v>46387</v>
      </c>
      <c r="H6" s="2143" t="str">
        <f t="shared" ca="1" si="1"/>
        <v>王鹏（注册号：2002110030）</v>
      </c>
    </row>
    <row r="7" spans="1:8" ht="24" customHeight="1">
      <c r="A7" s="1197" t="s">
        <v>2148</v>
      </c>
      <c r="B7" s="1197">
        <f ca="1">IF(C7&lt;B2,"已过期",1120000080)</f>
        <v>1120000080</v>
      </c>
      <c r="C7" s="2139">
        <v>45937</v>
      </c>
      <c r="D7" s="2140" t="str">
        <f t="shared" ca="1" si="0"/>
        <v>欧红伟（注册号：1120000080）</v>
      </c>
      <c r="E7" s="2141" t="s">
        <v>2148</v>
      </c>
      <c r="F7" s="1197">
        <f ca="1">IF(G7&lt;B2,"已过期",2000110082)</f>
        <v>2000110082</v>
      </c>
      <c r="G7" s="2142">
        <v>46387</v>
      </c>
      <c r="H7" s="2143" t="str">
        <f t="shared" ca="1" si="1"/>
        <v>欧红伟（注册号：2000110082）</v>
      </c>
    </row>
    <row r="8" spans="1:8" ht="24" customHeight="1">
      <c r="A8" s="1197" t="s">
        <v>2149</v>
      </c>
      <c r="B8" s="1197">
        <f ca="1">IF(C8&lt;B2,"已过期",1419970001)</f>
        <v>1419970001</v>
      </c>
      <c r="C8" s="2139">
        <v>45937</v>
      </c>
      <c r="D8" s="2140" t="str">
        <f t="shared" ca="1" si="0"/>
        <v>吴薇（注册号：1419970001）</v>
      </c>
      <c r="E8" s="2141" t="s">
        <v>2149</v>
      </c>
      <c r="F8" s="1197">
        <f ca="1">IF(G8&lt;B2,"已过期",2002110125)</f>
        <v>2002110125</v>
      </c>
      <c r="G8" s="2142">
        <v>47118</v>
      </c>
      <c r="H8" s="2143" t="str">
        <f t="shared" ca="1" si="1"/>
        <v>吴薇（注册号：2002110125）</v>
      </c>
    </row>
    <row r="9" spans="1:8" ht="24" customHeight="1">
      <c r="A9" s="1197" t="s">
        <v>2150</v>
      </c>
      <c r="B9" s="1197" t="str">
        <f ca="1">IF(C9&lt;B2,"已过期",1120060040)</f>
        <v>已过期</v>
      </c>
      <c r="C9" s="2144">
        <v>45592</v>
      </c>
      <c r="D9" s="2140" t="str">
        <f t="shared" ca="1" si="0"/>
        <v>陈颖（注册号：已过期）</v>
      </c>
      <c r="E9" s="2141" t="s">
        <v>2150</v>
      </c>
      <c r="F9" s="1197">
        <f ca="1">IF(G9&lt;B2,"已过期",2004110096)</f>
        <v>2004110096</v>
      </c>
      <c r="G9" s="2142">
        <v>47118</v>
      </c>
      <c r="H9" s="2143" t="str">
        <f t="shared" ca="1" si="1"/>
        <v>陈颖（注册号：2004110096）</v>
      </c>
    </row>
    <row r="10" spans="1:8" ht="24" customHeight="1">
      <c r="A10" s="1197" t="s">
        <v>2151</v>
      </c>
      <c r="B10" s="1197">
        <f ca="1">IF(C10&lt;B2,"已过期",1120100036)</f>
        <v>1120100036</v>
      </c>
      <c r="C10" s="2144">
        <v>45752</v>
      </c>
      <c r="D10" s="2140" t="str">
        <f t="shared" ca="1" si="0"/>
        <v>崔锴（注册号：1120100036）</v>
      </c>
      <c r="E10" s="2141" t="s">
        <v>2151</v>
      </c>
      <c r="F10" s="1197">
        <f ca="1">IF(G10&lt;B2,"已过期",2010110070)</f>
        <v>2010110070</v>
      </c>
      <c r="G10" s="2142">
        <v>47907</v>
      </c>
      <c r="H10" s="2143" t="str">
        <f t="shared" ca="1" si="1"/>
        <v>崔锴（注册号：2010110070）</v>
      </c>
    </row>
    <row r="11" spans="1:8" ht="24" customHeight="1">
      <c r="A11" s="1197" t="s">
        <v>2152</v>
      </c>
      <c r="B11" s="1197">
        <f ca="1">IF(C11&lt;B2,"已过期",1120070131)</f>
        <v>1120070131</v>
      </c>
      <c r="C11" s="2139">
        <v>45937</v>
      </c>
      <c r="D11" s="2140" t="str">
        <f t="shared" ca="1" si="0"/>
        <v>郑燚（注册号：1120070131）</v>
      </c>
      <c r="E11" s="2141" t="s">
        <v>2152</v>
      </c>
      <c r="F11" s="1197">
        <f ca="1">IF(G11&lt;B2,"已过期",2014110011)</f>
        <v>2014110011</v>
      </c>
      <c r="G11" s="2142">
        <v>49302</v>
      </c>
      <c r="H11" s="2143" t="str">
        <f t="shared" ca="1" si="1"/>
        <v>郑燚（注册号：2014110011）</v>
      </c>
    </row>
    <row r="12" spans="1:8" ht="24" customHeight="1">
      <c r="A12" s="1197" t="s">
        <v>2153</v>
      </c>
      <c r="B12" s="1197">
        <f ca="1">IF(C12&lt;B2,"已过期",1120040230)</f>
        <v>1120040230</v>
      </c>
      <c r="C12" s="2144">
        <v>45937</v>
      </c>
      <c r="D12" s="2140" t="str">
        <f t="shared" ca="1" si="0"/>
        <v>苏海（注册号：1120040230）</v>
      </c>
      <c r="E12" s="2141" t="s">
        <v>2153</v>
      </c>
      <c r="F12" s="1197">
        <f ca="1">IF(G12&lt;B2,"已过期",98030020)</f>
        <v>98030020</v>
      </c>
      <c r="G12" s="2142">
        <v>47118</v>
      </c>
      <c r="H12" s="2143" t="str">
        <f t="shared" ca="1" si="1"/>
        <v>苏海（注册号：98030020）</v>
      </c>
    </row>
    <row r="13" spans="1:8" ht="24" customHeight="1">
      <c r="A13" s="1197" t="s">
        <v>2154</v>
      </c>
      <c r="B13" s="1197" t="str">
        <f ca="1">IF(C13&lt;B2,"已过期",1120020033)</f>
        <v>已过期</v>
      </c>
      <c r="C13" s="2139">
        <v>45375</v>
      </c>
      <c r="D13" s="2140" t="str">
        <f t="shared" ca="1" si="0"/>
        <v>刘敬东（注册号：已过期）</v>
      </c>
      <c r="E13" s="2141" t="s">
        <v>2154</v>
      </c>
      <c r="F13" s="1197">
        <f ca="1">IF(G13&lt;B2,"已过期",2000110137)</f>
        <v>2000110137</v>
      </c>
      <c r="G13" s="2142">
        <v>46387</v>
      </c>
      <c r="H13" s="2143" t="str">
        <f t="shared" ca="1" si="1"/>
        <v>刘敬东（注册号：2000110137）</v>
      </c>
    </row>
    <row r="14" spans="1:8" ht="24" customHeight="1">
      <c r="A14" s="1197" t="s">
        <v>2155</v>
      </c>
      <c r="B14" s="1197" t="str">
        <f ca="1">IF(C14&lt;B2,"已过期",1119980106)</f>
        <v>已过期</v>
      </c>
      <c r="C14" s="2144">
        <v>44969</v>
      </c>
      <c r="D14" s="2140" t="str">
        <f t="shared" ca="1" si="0"/>
        <v>刘俊财（注册号：已过期）</v>
      </c>
      <c r="E14" s="2141" t="s">
        <v>2155</v>
      </c>
      <c r="F14" s="1197">
        <f ca="1">IF(G14&lt;B2,"已过期",96010063)</f>
        <v>96010063</v>
      </c>
      <c r="G14" s="2142">
        <v>47483</v>
      </c>
      <c r="H14" s="2143" t="str">
        <f t="shared" ca="1" si="1"/>
        <v>刘俊财（注册号：96010063）</v>
      </c>
    </row>
    <row r="15" spans="1:8" ht="24" customHeight="1">
      <c r="A15" s="1197" t="s">
        <v>2423</v>
      </c>
      <c r="B15" s="1197">
        <v>1120210056</v>
      </c>
      <c r="C15" s="2144">
        <v>45410</v>
      </c>
      <c r="D15" s="2140" t="str">
        <f t="shared" si="0"/>
        <v>宁小鳗（注册号：1120210056）</v>
      </c>
      <c r="E15" s="2141" t="s">
        <v>2156</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91" t="s">
        <v>2157</v>
      </c>
      <c r="B17" s="3191"/>
      <c r="C17" s="3191"/>
      <c r="D17" s="3191"/>
      <c r="E17" s="3191"/>
      <c r="F17" s="3191"/>
      <c r="G17" s="3191"/>
      <c r="H17" s="3191"/>
    </row>
    <row r="18" spans="1:8" ht="24" customHeight="1">
      <c r="A18" s="3192" t="s">
        <v>2158</v>
      </c>
      <c r="B18" s="3192"/>
      <c r="C18" s="3192"/>
      <c r="D18" s="2137"/>
      <c r="E18" s="3193" t="s">
        <v>2159</v>
      </c>
      <c r="F18" s="3192"/>
      <c r="G18" s="3192"/>
    </row>
    <row r="19" spans="1:8" s="2147" customFormat="1" ht="24" customHeight="1">
      <c r="A19" s="2146" t="s">
        <v>2160</v>
      </c>
      <c r="B19" s="1197" t="s">
        <v>2161</v>
      </c>
      <c r="C19" s="1197" t="s">
        <v>2140</v>
      </c>
      <c r="D19" s="2137"/>
      <c r="E19" s="2141" t="s">
        <v>2160</v>
      </c>
      <c r="F19" s="1197" t="s">
        <v>2161</v>
      </c>
      <c r="G19" s="1197" t="s">
        <v>2140</v>
      </c>
    </row>
    <row r="20" spans="1:8" s="2147" customFormat="1" ht="24" customHeight="1">
      <c r="A20" s="2148" t="s">
        <v>2162</v>
      </c>
      <c r="B20" s="2148" t="s">
        <v>2163</v>
      </c>
      <c r="C20" s="2142">
        <v>45898</v>
      </c>
      <c r="D20" s="2149"/>
      <c r="E20" s="2150" t="s">
        <v>2164</v>
      </c>
      <c r="F20" s="2153" t="s">
        <v>2424</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156</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比较法-住宅</vt:lpstr>
      <vt:lpstr>比较法-商业</vt:lpstr>
      <vt:lpstr>商业案例</vt:lpstr>
      <vt:lpstr>收益法-商业</vt:lpstr>
      <vt:lpstr>结果表-办公</vt:lpstr>
      <vt:lpstr>比较法-办公</vt:lpstr>
      <vt:lpstr>办公案例</vt:lpstr>
      <vt:lpstr>收益法-办公</vt:lpstr>
      <vt:lpstr>结果表-车位</vt:lpstr>
      <vt:lpstr>比较法-车位</vt:lpstr>
      <vt:lpstr>车位案例</vt:lpstr>
      <vt:lpstr>收益法-车位</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'结果表-商业'!Print_Area</vt:lpstr>
      <vt:lpstr>收益法!Print_Area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2025-03-12T02:10:57Z</dcterms:modified>
</cp:coreProperties>
</file>