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基准地价修正" sheetId="43" state="hidden" r:id="rId24"/>
    <sheet name="比较法-办公" sheetId="34" r:id="rId25"/>
    <sheet name="比较法-商业" sheetId="33" state="hidden" r:id="rId26"/>
    <sheet name="比较法-办公租金" sheetId="86" state="hidden" r:id="rId27"/>
    <sheet name="收益法 (元)" sheetId="67"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8" r:id="rId47"/>
    <sheet name="售价" sheetId="89" r:id="rId48"/>
    <sheet name="Sheet1" sheetId="87" r:id="rId49"/>
    <sheet name="Sheet2" sheetId="90" r:id="rId50"/>
  </sheets>
  <externalReferences>
    <externalReference r:id="rId51"/>
  </externalReferences>
  <definedNames>
    <definedName name="_xlnm._FilterDatabase" localSheetId="24" hidden="1">'比较法-办公'!$A$1:$L$50</definedName>
    <definedName name="_xlnm._FilterDatabase" localSheetId="26"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6">'比较法-办公租金'!$A$1:$K$55,'比较法-办公租金'!$A$58:$M$132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6">'比较法-办公租金'!$B$119:$M$119</definedName>
    <definedName name="办公层高">'比较法-办公'!$B$119:$M$119</definedName>
    <definedName name="办公朝向" localSheetId="26">'比较法-办公租金'!$B$91:$M$91</definedName>
    <definedName name="办公朝向">'比较法-办公'!$B$91:$M$91</definedName>
    <definedName name="办公道路级别" localSheetId="26">'比较法-办公租金'!$B$87:$M$87</definedName>
    <definedName name="办公道路级别">'比较法-办公'!$B$87:$M$87</definedName>
    <definedName name="办公公共部分装修" localSheetId="26">'比较法-办公租金'!$B$108:$M$108</definedName>
    <definedName name="办公公共部分装修">'比较法-办公'!$B$108:$M$108</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6">'比较法-办公租金'!$B$106:$M$106</definedName>
    <definedName name="办公建筑结构">'比较法-办公'!$B$106:$M$106</definedName>
    <definedName name="办公建筑类型" localSheetId="26">'比较法-办公租金'!$B$101:$M$101</definedName>
    <definedName name="办公建筑类型">'比较法-办公'!$B$101:$M$101</definedName>
    <definedName name="办公交易情况" localSheetId="26">'比较法-办公租金'!$A$62:$M$62</definedName>
    <definedName name="办公交易情况">'比较法-办公'!$A$62:$M$62</definedName>
    <definedName name="办公楼层" localSheetId="26">'比较法-办公租金'!$B$89:$M$89</definedName>
    <definedName name="办公楼层">'比较法-办公'!$B$89:$M$89</definedName>
    <definedName name="办公内部装修" localSheetId="26">'比较法-办公租金'!$B$123:$M$123</definedName>
    <definedName name="办公内部装修">'比较法-办公'!$B$123:$M$123</definedName>
    <definedName name="办公物业管理" localSheetId="26">'比较法-办公租金'!$B$115:$M$115</definedName>
    <definedName name="办公物业管理">'比较法-办公'!$B$115:$M$115</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5" i="87" l="1"/>
  <c r="P7" i="87" s="1"/>
  <c r="O4" i="88"/>
  <c r="O5" i="88"/>
  <c r="O6" i="88"/>
  <c r="O7" i="88"/>
  <c r="O8" i="88"/>
  <c r="O9" i="88"/>
  <c r="O10" i="88"/>
  <c r="O11" i="88"/>
  <c r="O12" i="88"/>
  <c r="O13" i="88"/>
  <c r="O14" i="88"/>
  <c r="O15" i="88"/>
  <c r="O16" i="88"/>
  <c r="O17" i="88"/>
  <c r="O18" i="88"/>
  <c r="O3" i="88"/>
  <c r="B3" i="89"/>
  <c r="I10" i="34" l="1"/>
  <c r="G10" i="34"/>
  <c r="E10" i="34"/>
  <c r="C10" i="34"/>
  <c r="K13" i="3" l="1"/>
  <c r="G19" i="6" s="1"/>
  <c r="D40" i="43" s="1"/>
  <c r="I13" i="3" l="1"/>
  <c r="F19" i="6" s="1"/>
  <c r="D33" i="43"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F23" i="86" l="1"/>
  <c r="AA23" i="86" s="1"/>
  <c r="H28" i="86"/>
  <c r="AB28" i="86" s="1"/>
  <c r="H31" i="86"/>
  <c r="AB31" i="86" s="1"/>
  <c r="J45" i="86"/>
  <c r="AC45" i="86" s="1"/>
  <c r="E80" i="86"/>
  <c r="F80" i="86" s="1"/>
  <c r="G80" i="86" s="1"/>
  <c r="J12" i="86"/>
  <c r="AC12" i="86" s="1"/>
  <c r="F17" i="86"/>
  <c r="AA17" i="86" s="1"/>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W12" i="86" l="1"/>
  <c r="S17" i="86"/>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C34" i="86" l="1"/>
  <c r="C10" i="33"/>
  <c r="D89" i="33"/>
  <c r="E89" i="33" s="1"/>
  <c r="F89" i="33" s="1"/>
  <c r="G89" i="33" s="1"/>
  <c r="E66" i="33"/>
  <c r="F66" i="33" s="1"/>
  <c r="D66" i="33"/>
  <c r="H34" i="86" l="1"/>
  <c r="J34" i="86"/>
  <c r="F34" i="86"/>
  <c r="J49" i="67"/>
  <c r="N19" i="1"/>
  <c r="N21" i="1" l="1"/>
  <c r="N6" i="1"/>
  <c r="C37" i="34" s="1"/>
  <c r="I37" i="34" s="1"/>
  <c r="S34" i="86"/>
  <c r="AA34" i="86"/>
  <c r="W34" i="86"/>
  <c r="AC34" i="86"/>
  <c r="U34" i="86"/>
  <c r="AB34" i="86"/>
  <c r="Y6" i="1"/>
  <c r="C36" i="33"/>
  <c r="D3" i="4"/>
  <c r="C37" i="86" l="1"/>
  <c r="G37" i="34"/>
  <c r="E37" i="34"/>
  <c r="E27" i="45"/>
  <c r="I37" i="86" l="1"/>
  <c r="J37" i="86" s="1"/>
  <c r="E37" i="86"/>
  <c r="F37" i="86" s="1"/>
  <c r="G37" i="86"/>
  <c r="H37" i="86" s="1"/>
  <c r="G14" i="73"/>
  <c r="F14" i="73"/>
  <c r="E14" i="73"/>
  <c r="AA37" i="86" l="1"/>
  <c r="S37" i="86"/>
  <c r="AB37" i="86"/>
  <c r="U37" i="86"/>
  <c r="W37" i="86"/>
  <c r="AC37" i="8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B51" i="78"/>
  <c r="B56" i="78" s="1"/>
  <c r="B55" i="78" l="1"/>
  <c r="D55" i="78" s="1"/>
  <c r="D51" i="78"/>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Q38" i="71"/>
  <c r="P38" i="71"/>
  <c r="O38" i="71"/>
  <c r="N38" i="71"/>
  <c r="Q37" i="71"/>
  <c r="AB35" i="71" s="1"/>
  <c r="P37" i="71"/>
  <c r="E38" i="71" s="1"/>
  <c r="O37" i="71"/>
  <c r="C38" i="71" s="1"/>
  <c r="N37" i="71"/>
  <c r="B38" i="71" s="1"/>
  <c r="D37" i="71"/>
  <c r="Q36" i="71"/>
  <c r="P36" i="71"/>
  <c r="O36" i="71"/>
  <c r="N36" i="71"/>
  <c r="Q35" i="71"/>
  <c r="P35" i="71"/>
  <c r="O35" i="71"/>
  <c r="N35" i="71"/>
  <c r="Q34" i="71"/>
  <c r="P34" i="71"/>
  <c r="O34" i="71"/>
  <c r="N34" i="71"/>
  <c r="Q33" i="7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B39" i="71"/>
  <c r="P28" i="71"/>
  <c r="U68" i="71"/>
  <c r="Q28" i="71"/>
  <c r="D54" i="71"/>
  <c r="C63" i="71"/>
  <c r="C64" i="71" s="1"/>
  <c r="Q68" i="71"/>
  <c r="C75" i="71"/>
  <c r="C74" i="71" s="1"/>
  <c r="D74" i="71" s="1"/>
  <c r="D76" i="71"/>
  <c r="D80" i="71"/>
  <c r="F28" i="71"/>
  <c r="F27" i="7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AB21" i="37"/>
  <c r="W18" i="35"/>
  <c r="J21" i="37"/>
  <c r="W21" i="37" s="1"/>
  <c r="J21" i="34"/>
  <c r="W21" i="34" s="1"/>
  <c r="J21" i="33"/>
  <c r="W21" i="33" s="1"/>
  <c r="H21" i="21"/>
  <c r="U21" i="21" s="1"/>
  <c r="F38" i="69"/>
  <c r="E37" i="69"/>
  <c r="F36" i="69"/>
  <c r="F35" i="69"/>
  <c r="F21" i="69"/>
  <c r="F40" i="69" s="1"/>
  <c r="F20" i="69"/>
  <c r="F39" i="69" s="1"/>
  <c r="E10" i="69"/>
  <c r="E9" i="69"/>
  <c r="G83"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c r="D64" i="36"/>
  <c r="E64" i="36" s="1"/>
  <c r="F64" i="36" s="1"/>
  <c r="G64" i="36" s="1"/>
  <c r="J16" i="36"/>
  <c r="W16" i="36" s="1"/>
  <c r="D62" i="36"/>
  <c r="E62" i="36"/>
  <c r="F62" i="36" s="1"/>
  <c r="G62" i="36" s="1"/>
  <c r="B59" i="36"/>
  <c r="F13" i="36" s="1"/>
  <c r="S13" i="36" s="1"/>
  <c r="B57"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Q22" i="36"/>
  <c r="Z22" i="36" s="1"/>
  <c r="J22" i="36"/>
  <c r="AC22" i="36"/>
  <c r="Q20" i="36"/>
  <c r="Z20" i="36" s="1"/>
  <c r="Q16" i="36"/>
  <c r="Z16" i="36" s="1"/>
  <c r="Q14" i="36"/>
  <c r="Z14" i="36" s="1"/>
  <c r="Q13" i="36"/>
  <c r="Z13" i="36" s="1"/>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H25" i="35" s="1"/>
  <c r="B75" i="35"/>
  <c r="J24" i="35" s="1"/>
  <c r="AC24" i="35" s="1"/>
  <c r="B73" i="35"/>
  <c r="B57" i="35"/>
  <c r="B61" i="35"/>
  <c r="H13" i="35" s="1"/>
  <c r="B59" i="35"/>
  <c r="B131" i="34"/>
  <c r="B129" i="34"/>
  <c r="B127" i="34"/>
  <c r="H45" i="34" s="1"/>
  <c r="B99" i="34"/>
  <c r="B97" i="34"/>
  <c r="B95" i="34"/>
  <c r="B93" i="34"/>
  <c r="H29" i="34" s="1"/>
  <c r="B75" i="34"/>
  <c r="B73" i="34"/>
  <c r="B71" i="34"/>
  <c r="H12" i="34" s="1"/>
  <c r="B130" i="33"/>
  <c r="J46" i="33" s="1"/>
  <c r="B128" i="33"/>
  <c r="B126" i="33"/>
  <c r="B98" i="33"/>
  <c r="B96" i="33"/>
  <c r="J30" i="33" s="1"/>
  <c r="B94" i="33"/>
  <c r="B74" i="33"/>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W45" i="21" s="1"/>
  <c r="B126" i="21"/>
  <c r="H44" i="21" s="1"/>
  <c r="U44" i="21" s="1"/>
  <c r="B98" i="21"/>
  <c r="B96" i="21"/>
  <c r="J30" i="21" s="1"/>
  <c r="B94" i="21"/>
  <c r="J29" i="21" s="1"/>
  <c r="AC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J45" i="39"/>
  <c r="W45" i="39" s="1"/>
  <c r="H36" i="39"/>
  <c r="AB36" i="39" s="1"/>
  <c r="J35" i="39"/>
  <c r="AC35" i="39" s="1"/>
  <c r="F35" i="39"/>
  <c r="S35" i="39" s="1"/>
  <c r="AA35" i="39"/>
  <c r="W31" i="37"/>
  <c r="E103" i="37"/>
  <c r="F103" i="37"/>
  <c r="G103" i="37" s="1"/>
  <c r="H103" i="37" s="1"/>
  <c r="I103" i="37" s="1"/>
  <c r="J103" i="37" s="1"/>
  <c r="K103" i="37" s="1"/>
  <c r="L103" i="37" s="1"/>
  <c r="M103" i="37" s="1"/>
  <c r="F29" i="36"/>
  <c r="AA29" i="36" s="1"/>
  <c r="F16" i="36"/>
  <c r="AA16" i="36" s="1"/>
  <c r="W28" i="36"/>
  <c r="H22" i="35"/>
  <c r="AB22" i="35" s="1"/>
  <c r="W22" i="35"/>
  <c r="S31" i="35"/>
  <c r="F36" i="34"/>
  <c r="AA36" i="34" s="1"/>
  <c r="J35" i="34"/>
  <c r="AC35" i="34" s="1"/>
  <c r="H39" i="33"/>
  <c r="AB39" i="33" s="1"/>
  <c r="F11" i="40"/>
  <c r="AA11" i="40" s="1"/>
  <c r="H11" i="40"/>
  <c r="AB11" i="40" s="1"/>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11" i="21"/>
  <c r="U11" i="21" s="1"/>
  <c r="J11" i="21"/>
  <c r="W11" i="21" s="1"/>
  <c r="H37" i="40"/>
  <c r="U37" i="40" s="1"/>
  <c r="H36" i="40"/>
  <c r="AB36" i="40" s="1"/>
  <c r="F35" i="40"/>
  <c r="AA35" i="40"/>
  <c r="H23" i="40"/>
  <c r="AB23" i="40" s="1"/>
  <c r="H17" i="40"/>
  <c r="U17" i="40" s="1"/>
  <c r="J15" i="40"/>
  <c r="W15" i="40" s="1"/>
  <c r="J11" i="40"/>
  <c r="W11" i="40" s="1"/>
  <c r="F37" i="39"/>
  <c r="AA37" i="39"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F11" i="33"/>
  <c r="AA11" i="33" s="1"/>
  <c r="F37" i="40"/>
  <c r="AA37" i="40" s="1"/>
  <c r="F36" i="40"/>
  <c r="AA36" i="40" s="1"/>
  <c r="H28" i="40"/>
  <c r="U28" i="40" s="1"/>
  <c r="F23" i="40"/>
  <c r="AA23" i="40" s="1"/>
  <c r="F17" i="40"/>
  <c r="AA17" i="40" s="1"/>
  <c r="J17" i="40"/>
  <c r="W17" i="40" s="1"/>
  <c r="F15" i="40"/>
  <c r="S15" i="40" s="1"/>
  <c r="H15" i="40"/>
  <c r="AB15" i="40" s="1"/>
  <c r="S12" i="36"/>
  <c r="F29" i="35"/>
  <c r="S29" i="35" s="1"/>
  <c r="H29" i="35"/>
  <c r="AB29" i="35" s="1"/>
  <c r="H33" i="37"/>
  <c r="F33" i="37"/>
  <c r="AA33" i="37" s="1"/>
  <c r="U34" i="37"/>
  <c r="S34" i="37"/>
  <c r="AA34" i="37"/>
  <c r="J40" i="34"/>
  <c r="H38" i="34"/>
  <c r="AB38" i="34" s="1"/>
  <c r="J36" i="34"/>
  <c r="W36" i="34" s="1"/>
  <c r="H25" i="34"/>
  <c r="AB25" i="34" s="1"/>
  <c r="J25" i="34"/>
  <c r="AC25" i="34" s="1"/>
  <c r="F23" i="34"/>
  <c r="AA23" i="34" s="1"/>
  <c r="F17" i="34"/>
  <c r="AA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J42" i="21"/>
  <c r="AC42" i="21" s="1"/>
  <c r="H42" i="21"/>
  <c r="U42" i="21" s="1"/>
  <c r="J44" i="34"/>
  <c r="AC44" i="34" s="1"/>
  <c r="J10" i="35"/>
  <c r="AC10" i="35" s="1"/>
  <c r="J14" i="21"/>
  <c r="W14" i="21" s="1"/>
  <c r="H14" i="21"/>
  <c r="U14" i="21" s="1"/>
  <c r="H30" i="21"/>
  <c r="U30" i="21" s="1"/>
  <c r="F30" i="21"/>
  <c r="S30" i="21" s="1"/>
  <c r="J44" i="21"/>
  <c r="AC44" i="21" s="1"/>
  <c r="F44" i="21"/>
  <c r="AA44" i="21" s="1"/>
  <c r="H46" i="21"/>
  <c r="U46" i="21" s="1"/>
  <c r="J46" i="21"/>
  <c r="E119" i="21"/>
  <c r="F119" i="21" s="1"/>
  <c r="G119" i="21" s="1"/>
  <c r="H119" i="21" s="1"/>
  <c r="I119" i="21" s="1"/>
  <c r="J119" i="21" s="1"/>
  <c r="K119" i="21" s="1"/>
  <c r="L119" i="21" s="1"/>
  <c r="M119" i="21" s="1"/>
  <c r="H26" i="33"/>
  <c r="AB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J13" i="33"/>
  <c r="H13" i="33"/>
  <c r="U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H44" i="33"/>
  <c r="J44" i="33"/>
  <c r="AC44" i="33" s="1"/>
  <c r="F44" i="33"/>
  <c r="S44" i="33" s="1"/>
  <c r="F46" i="33"/>
  <c r="AA46" i="33" s="1"/>
  <c r="H46" i="33"/>
  <c r="AB46" i="33" s="1"/>
  <c r="H13" i="34"/>
  <c r="U13" i="34" s="1"/>
  <c r="J13" i="34"/>
  <c r="W13" i="34" s="1"/>
  <c r="F13" i="34"/>
  <c r="AA13" i="34" s="1"/>
  <c r="J29" i="34"/>
  <c r="F29" i="34"/>
  <c r="S29" i="34" s="1"/>
  <c r="J31" i="34"/>
  <c r="AC31" i="34" s="1"/>
  <c r="H31" i="34"/>
  <c r="F31" i="34"/>
  <c r="S31" i="34" s="1"/>
  <c r="J45" i="34"/>
  <c r="W45" i="34" s="1"/>
  <c r="F45" i="34"/>
  <c r="S45" i="34" s="1"/>
  <c r="H47" i="34"/>
  <c r="U47" i="34" s="1"/>
  <c r="F47" i="34"/>
  <c r="S47" i="34" s="1"/>
  <c r="J47" i="34"/>
  <c r="AC47" i="34" s="1"/>
  <c r="F13" i="35"/>
  <c r="J13" i="35"/>
  <c r="AC13" i="35" s="1"/>
  <c r="J25" i="35"/>
  <c r="AC25" i="35" s="1"/>
  <c r="F25" i="35"/>
  <c r="S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H14" i="40"/>
  <c r="AB14" i="40" s="1"/>
  <c r="J14" i="40"/>
  <c r="W14" i="40" s="1"/>
  <c r="F14" i="40"/>
  <c r="AA14" i="40" s="1"/>
  <c r="J14" i="37"/>
  <c r="J27" i="37"/>
  <c r="AC27" i="37" s="1"/>
  <c r="U46" i="33"/>
  <c r="J36" i="37"/>
  <c r="AC36" i="37" s="1"/>
  <c r="J10" i="36"/>
  <c r="AC10" i="36" s="1"/>
  <c r="F17" i="21"/>
  <c r="AA17" i="21" s="1"/>
  <c r="H17" i="21"/>
  <c r="AB17" i="21" s="1"/>
  <c r="F15" i="21"/>
  <c r="S15" i="21" s="1"/>
  <c r="J41" i="39"/>
  <c r="W41" i="39" s="1"/>
  <c r="G544" i="3"/>
  <c r="G540" i="3"/>
  <c r="G536" i="3"/>
  <c r="G535" i="3"/>
  <c r="G532" i="3"/>
  <c r="G531" i="3"/>
  <c r="G528" i="3"/>
  <c r="G527" i="3"/>
  <c r="G523" i="3"/>
  <c r="G518" i="3"/>
  <c r="G514" i="3"/>
  <c r="G508" i="3"/>
  <c r="G504" i="3"/>
  <c r="G500" i="3"/>
  <c r="G584" i="3"/>
  <c r="G580" i="3"/>
  <c r="G572" i="3"/>
  <c r="G564" i="3"/>
  <c r="G550" i="3"/>
  <c r="BL568" i="3"/>
  <c r="BL546" i="3"/>
  <c r="BL534" i="3"/>
  <c r="BL530" i="3"/>
  <c r="BL512" i="3"/>
  <c r="BL498" i="3"/>
  <c r="BL494" i="3"/>
  <c r="BL570" i="3"/>
  <c r="BL552" i="3"/>
  <c r="G533" i="3"/>
  <c r="G529" i="3"/>
  <c r="BL528" i="3"/>
  <c r="BL514" i="3"/>
  <c r="BL510" i="3"/>
  <c r="BL496" i="3"/>
  <c r="G493" i="3"/>
  <c r="BA580" i="3"/>
  <c r="BA572" i="3"/>
  <c r="BA564" i="3"/>
  <c r="BA556" i="3"/>
  <c r="BA546" i="3"/>
  <c r="BA544" i="3"/>
  <c r="BA538" i="3"/>
  <c r="BA530" i="3"/>
  <c r="BA524" i="3"/>
  <c r="BA516" i="3"/>
  <c r="BA514" i="3"/>
  <c r="BA508" i="3"/>
  <c r="BA500" i="3"/>
  <c r="BA498" i="3"/>
  <c r="AZ498" i="3" s="1"/>
  <c r="BA587" i="3"/>
  <c r="BA577" i="3"/>
  <c r="BA569" i="3"/>
  <c r="BA561" i="3"/>
  <c r="BA549" i="3"/>
  <c r="BA541" i="3"/>
  <c r="BA539" i="3"/>
  <c r="BA533" i="3"/>
  <c r="BA525" i="3"/>
  <c r="BA523" i="3"/>
  <c r="BA515" i="3"/>
  <c r="BA505" i="3"/>
  <c r="BA503" i="3"/>
  <c r="BA497" i="3"/>
  <c r="G583" i="3"/>
  <c r="G581" i="3"/>
  <c r="G579" i="3"/>
  <c r="G575" i="3"/>
  <c r="G573" i="3"/>
  <c r="G567" i="3"/>
  <c r="G565" i="3"/>
  <c r="G563" i="3"/>
  <c r="AC557" i="3"/>
  <c r="G557" i="3" s="1"/>
  <c r="BQ557" i="3"/>
  <c r="BQ583" i="3"/>
  <c r="BQ581" i="3"/>
  <c r="BQ579" i="3"/>
  <c r="BL579" i="3" s="1"/>
  <c r="BQ577" i="3"/>
  <c r="BQ575" i="3"/>
  <c r="BQ573" i="3"/>
  <c r="BL573" i="3" s="1"/>
  <c r="BQ571" i="3"/>
  <c r="BQ569" i="3"/>
  <c r="BQ567" i="3"/>
  <c r="BL567" i="3"/>
  <c r="BQ565" i="3"/>
  <c r="BQ563" i="3"/>
  <c r="BQ561" i="3"/>
  <c r="BL561" i="3" s="1"/>
  <c r="BQ559" i="3"/>
  <c r="G559" i="3"/>
  <c r="G555" i="3"/>
  <c r="G553" i="3"/>
  <c r="G545" i="3"/>
  <c r="G543" i="3"/>
  <c r="G539" i="3"/>
  <c r="G537" i="3"/>
  <c r="BQ555" i="3"/>
  <c r="BQ553" i="3"/>
  <c r="BL553" i="3" s="1"/>
  <c r="BQ551" i="3"/>
  <c r="BQ549" i="3"/>
  <c r="BQ547" i="3"/>
  <c r="BL547" i="3" s="1"/>
  <c r="BQ545" i="3"/>
  <c r="BQ543" i="3"/>
  <c r="BQ541" i="3"/>
  <c r="BL541" i="3"/>
  <c r="AZ541" i="3" s="1"/>
  <c r="BQ539" i="3"/>
  <c r="BQ537" i="3"/>
  <c r="BQ535" i="3"/>
  <c r="BQ533" i="3"/>
  <c r="BL533" i="3" s="1"/>
  <c r="BQ531" i="3"/>
  <c r="BQ529" i="3"/>
  <c r="BQ527" i="3"/>
  <c r="BQ525" i="3"/>
  <c r="BL525" i="3" s="1"/>
  <c r="BQ523" i="3"/>
  <c r="AC521" i="3"/>
  <c r="G521" i="3" s="1"/>
  <c r="BQ521" i="3"/>
  <c r="G517" i="3"/>
  <c r="G515" i="3"/>
  <c r="G513" i="3"/>
  <c r="BQ519" i="3"/>
  <c r="BQ517" i="3"/>
  <c r="BL517" i="3" s="1"/>
  <c r="BQ515" i="3"/>
  <c r="BQ513" i="3"/>
  <c r="BQ511" i="3"/>
  <c r="BL511" i="3" s="1"/>
  <c r="AC509" i="3"/>
  <c r="BQ509" i="3"/>
  <c r="BL509" i="3" s="1"/>
  <c r="G507" i="3"/>
  <c r="G503" i="3"/>
  <c r="G501" i="3"/>
  <c r="G499" i="3"/>
  <c r="G495" i="3"/>
  <c r="BQ507" i="3"/>
  <c r="BQ505" i="3"/>
  <c r="BQ503" i="3"/>
  <c r="BQ501" i="3"/>
  <c r="BL501" i="3" s="1"/>
  <c r="BQ499" i="3"/>
  <c r="BL499" i="3" s="1"/>
  <c r="BQ497" i="3"/>
  <c r="BQ495" i="3"/>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26" i="37"/>
  <c r="W44" i="33"/>
  <c r="U11" i="33"/>
  <c r="U19" i="21"/>
  <c r="F43" i="33"/>
  <c r="AA43" i="33" s="1"/>
  <c r="W40" i="37"/>
  <c r="H37" i="21"/>
  <c r="U37" i="21" s="1"/>
  <c r="S42" i="21"/>
  <c r="H19" i="34"/>
  <c r="AB19" i="34" s="1"/>
  <c r="F36" i="35"/>
  <c r="S36" i="35"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W23" i="39"/>
  <c r="AC43" i="39"/>
  <c r="W43" i="39"/>
  <c r="AB44" i="39"/>
  <c r="U44"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A2" i="9"/>
  <c r="F61" i="43"/>
  <c r="H64" i="43" s="1"/>
  <c r="G64" i="43" s="1"/>
  <c r="BL549" i="3"/>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G548" i="3"/>
  <c r="G538" i="3"/>
  <c r="G520" i="3"/>
  <c r="G502" i="3"/>
  <c r="BS5" i="3"/>
  <c r="BP5" i="3"/>
  <c r="BK5" i="3"/>
  <c r="BG5" i="3"/>
  <c r="BC5" i="3"/>
  <c r="G17" i="3"/>
  <c r="BA17" i="3"/>
  <c r="BA15" i="3"/>
  <c r="BB5" i="3"/>
  <c r="BR5" i="3"/>
  <c r="G509" i="3"/>
  <c r="U36" i="40"/>
  <c r="F83" i="43"/>
  <c r="H85" i="43" s="1"/>
  <c r="F50" i="43"/>
  <c r="H54" i="43" s="1"/>
  <c r="F72" i="43"/>
  <c r="H75" i="43" s="1"/>
  <c r="U17" i="39"/>
  <c r="S14" i="35"/>
  <c r="U43" i="21"/>
  <c r="U35" i="21"/>
  <c r="AC11" i="39"/>
  <c r="W37" i="37"/>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W12" i="39"/>
  <c r="AC39" i="40"/>
  <c r="W39" i="40"/>
  <c r="AA32" i="36"/>
  <c r="S32" i="36"/>
  <c r="BL14" i="3"/>
  <c r="U30" i="33"/>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A19" i="40"/>
  <c r="S28" i="40"/>
  <c r="U21" i="40"/>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26" i="36"/>
  <c r="S33" i="36"/>
  <c r="AA26" i="36"/>
  <c r="AA22" i="36"/>
  <c r="W14" i="36"/>
  <c r="AB14" i="36"/>
  <c r="U22" i="36"/>
  <c r="S16" i="36"/>
  <c r="S24" i="36"/>
  <c r="U24" i="36"/>
  <c r="U23" i="36"/>
  <c r="U16" i="36"/>
  <c r="AA25" i="35"/>
  <c r="S23" i="35"/>
  <c r="W24"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J17" i="37"/>
  <c r="W17" i="37" s="1"/>
  <c r="G73" i="37"/>
  <c r="F17" i="37"/>
  <c r="AB17" i="37"/>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U15" i="34"/>
  <c r="S13" i="34"/>
  <c r="H10" i="34"/>
  <c r="AB10" i="34" s="1"/>
  <c r="F11" i="34"/>
  <c r="S11" i="34" s="1"/>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F87" i="33"/>
  <c r="G87" i="33" s="1"/>
  <c r="H87" i="33" s="1"/>
  <c r="I87" i="33" s="1"/>
  <c r="J87" i="33" s="1"/>
  <c r="K87" i="33" s="1"/>
  <c r="L87" i="33" s="1"/>
  <c r="M87" i="33" s="1"/>
  <c r="H25" i="33"/>
  <c r="AB25" i="33" s="1"/>
  <c r="F25" i="33"/>
  <c r="J23" i="33"/>
  <c r="AC23" i="33" s="1"/>
  <c r="F85" i="33"/>
  <c r="G85" i="33" s="1"/>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S13" i="39"/>
  <c r="S14" i="39"/>
  <c r="AA14" i="39"/>
  <c r="AB43" i="39"/>
  <c r="AB11" i="39"/>
  <c r="U11" i="39"/>
  <c r="AA27" i="39"/>
  <c r="S27" i="39"/>
  <c r="W17" i="39"/>
  <c r="AC17" i="39"/>
  <c r="W31" i="39"/>
  <c r="AC31" i="39"/>
  <c r="AB39" i="39"/>
  <c r="W34" i="39"/>
  <c r="U38" i="39"/>
  <c r="S8" i="39"/>
  <c r="S20" i="36"/>
  <c r="AC25" i="36"/>
  <c r="U32" i="36"/>
  <c r="W29" i="36"/>
  <c r="U25" i="36"/>
  <c r="AB28" i="36"/>
  <c r="AA13" i="36"/>
  <c r="W22" i="36"/>
  <c r="AB20" i="35"/>
  <c r="S24" i="35"/>
  <c r="U24" i="35"/>
  <c r="S35" i="35"/>
  <c r="W35" i="35"/>
  <c r="AA16" i="35"/>
  <c r="AA35" i="37"/>
  <c r="W36" i="37"/>
  <c r="S27" i="37"/>
  <c r="S28" i="37"/>
  <c r="W32" i="37"/>
  <c r="U36" i="37"/>
  <c r="S40" i="37"/>
  <c r="U38" i="37"/>
  <c r="AB37" i="37"/>
  <c r="AC34" i="37"/>
  <c r="AA31" i="37"/>
  <c r="AA29" i="37"/>
  <c r="U8" i="37"/>
  <c r="AC45" i="34"/>
  <c r="AA31" i="34"/>
  <c r="AA30" i="34"/>
  <c r="AB47" i="34"/>
  <c r="U25" i="34"/>
  <c r="AC14" i="34"/>
  <c r="AC32" i="34"/>
  <c r="AC29" i="34"/>
  <c r="W29" i="34"/>
  <c r="W46" i="34"/>
  <c r="AC46" i="34"/>
  <c r="S32" i="34"/>
  <c r="AA32" i="34"/>
  <c r="U30" i="34"/>
  <c r="AB30" i="34"/>
  <c r="U38" i="34"/>
  <c r="AC40" i="34"/>
  <c r="W40" i="34"/>
  <c r="AA8" i="34"/>
  <c r="S46" i="34"/>
  <c r="AA46" i="34"/>
  <c r="U32" i="34"/>
  <c r="AB32" i="34"/>
  <c r="U14" i="34"/>
  <c r="AB14" i="34"/>
  <c r="W35" i="34"/>
  <c r="U12" i="34"/>
  <c r="AB12" i="34"/>
  <c r="U39" i="33"/>
  <c r="U38" i="33"/>
  <c r="U44" i="33"/>
  <c r="AB44" i="33"/>
  <c r="S30" i="33"/>
  <c r="AA30" i="33"/>
  <c r="AC14" i="33"/>
  <c r="W14" i="33"/>
  <c r="S31" i="33"/>
  <c r="AA31" i="33"/>
  <c r="W13" i="33"/>
  <c r="AC13" i="33"/>
  <c r="S11" i="33"/>
  <c r="U37" i="33"/>
  <c r="W8" i="33"/>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AC14" i="21"/>
  <c r="H45" i="21"/>
  <c r="U45" i="21" s="1"/>
  <c r="F29" i="21"/>
  <c r="AA29" i="21" s="1"/>
  <c r="F13" i="21"/>
  <c r="AA13" i="21" s="1"/>
  <c r="AC38" i="21"/>
  <c r="H32" i="21"/>
  <c r="AB32" i="21" s="1"/>
  <c r="H9" i="21"/>
  <c r="AB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B21" i="39"/>
  <c r="AC17" i="37"/>
  <c r="J19" i="37"/>
  <c r="W19" i="37" s="1"/>
  <c r="J23" i="37"/>
  <c r="AC23" i="37" s="1"/>
  <c r="J10" i="37"/>
  <c r="W10" i="37" s="1"/>
  <c r="H11" i="37"/>
  <c r="AB11" i="37" s="1"/>
  <c r="H11" i="34"/>
  <c r="U11" i="34" s="1"/>
  <c r="J10" i="34"/>
  <c r="AC10" i="34" s="1"/>
  <c r="J36" i="33"/>
  <c r="W36" i="33" s="1"/>
  <c r="J25" i="33"/>
  <c r="W25" i="33" s="1"/>
  <c r="F23" i="33"/>
  <c r="H19" i="33"/>
  <c r="U19" i="33" s="1"/>
  <c r="H17" i="33"/>
  <c r="U17" i="33" s="1"/>
  <c r="F17" i="33"/>
  <c r="S17" i="33" s="1"/>
  <c r="J23" i="21"/>
  <c r="AC23" i="21" s="1"/>
  <c r="H23" i="21"/>
  <c r="U23" i="21" s="1"/>
  <c r="S13" i="21"/>
  <c r="D6" i="52"/>
  <c r="AP7" i="1"/>
  <c r="AA32" i="21"/>
  <c r="W9" i="21"/>
  <c r="U32" i="21"/>
  <c r="J11" i="37"/>
  <c r="AC11" i="37" s="1"/>
  <c r="J11" i="34"/>
  <c r="W11" i="34" s="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3" i="76"/>
  <c r="E2" i="68"/>
  <c r="E13" i="76"/>
  <c r="E10" i="76"/>
  <c r="F6" i="73"/>
  <c r="B11" i="76"/>
  <c r="E11" i="76"/>
  <c r="E12" i="76"/>
  <c r="E2" i="69"/>
  <c r="F5" i="73"/>
  <c r="F3" i="73"/>
  <c r="B9" i="76"/>
  <c r="F20" i="31"/>
  <c r="M8" i="15"/>
  <c r="AO13" i="1"/>
  <c r="B10" i="76"/>
  <c r="B7" i="76"/>
  <c r="F7" i="73"/>
  <c r="E9" i="76"/>
  <c r="F4" i="73"/>
  <c r="E7" i="76"/>
  <c r="B8" i="76"/>
  <c r="B12" i="76"/>
  <c r="M26" i="15"/>
  <c r="M28" i="15"/>
  <c r="E8" i="76"/>
  <c r="D6" i="73"/>
  <c r="F40" i="67"/>
  <c r="F7" i="15"/>
  <c r="W30" i="33" l="1"/>
  <c r="AC30" i="33"/>
  <c r="AC46" i="33"/>
  <c r="W46" i="33"/>
  <c r="AB29" i="34"/>
  <c r="U29" i="34"/>
  <c r="U45" i="34"/>
  <c r="AB45" i="34"/>
  <c r="U13" i="35"/>
  <c r="AB13" i="35"/>
  <c r="AB25" i="35"/>
  <c r="U25" i="35"/>
  <c r="S14" i="21"/>
  <c r="AA14" i="21"/>
  <c r="AA46" i="21"/>
  <c r="S46" i="21"/>
  <c r="AC13" i="40"/>
  <c r="G586" i="3"/>
  <c r="BN5" i="3"/>
  <c r="BI5" i="3"/>
  <c r="BA586" i="3"/>
  <c r="BT5" i="3"/>
  <c r="BA452" i="3"/>
  <c r="BA220" i="3"/>
  <c r="BA260" i="3"/>
  <c r="G288" i="3"/>
  <c r="AA21" i="33"/>
  <c r="D75" i="71"/>
  <c r="E67" i="71"/>
  <c r="E66" i="71" s="1"/>
  <c r="X31" i="71"/>
  <c r="B63" i="71"/>
  <c r="B64" i="71" s="1"/>
  <c r="S64" i="71" s="1"/>
  <c r="AA23" i="37"/>
  <c r="U19" i="37"/>
  <c r="AB20" i="36"/>
  <c r="AA25" i="36"/>
  <c r="U37" i="39"/>
  <c r="AA11" i="39"/>
  <c r="AZ561" i="3"/>
  <c r="W25" i="35"/>
  <c r="W28" i="35"/>
  <c r="G582" i="3"/>
  <c r="G574" i="3"/>
  <c r="G566" i="3"/>
  <c r="G558" i="3"/>
  <c r="G552" i="3"/>
  <c r="G399" i="3"/>
  <c r="BL402" i="3"/>
  <c r="G403" i="3"/>
  <c r="G428" i="3"/>
  <c r="BA456" i="3"/>
  <c r="G457" i="3"/>
  <c r="BL465" i="3"/>
  <c r="G466" i="3"/>
  <c r="BA467" i="3"/>
  <c r="BA468" i="3"/>
  <c r="BL469" i="3"/>
  <c r="G470" i="3"/>
  <c r="G478" i="3"/>
  <c r="G482" i="3"/>
  <c r="G384" i="3"/>
  <c r="G266" i="3"/>
  <c r="BL269" i="3"/>
  <c r="BL278" i="3"/>
  <c r="BA288" i="3"/>
  <c r="BL289" i="3"/>
  <c r="G291" i="3"/>
  <c r="BA291" i="3"/>
  <c r="G294" i="3"/>
  <c r="BL295" i="3"/>
  <c r="G302" i="3"/>
  <c r="G116" i="3"/>
  <c r="G128" i="3"/>
  <c r="G136" i="3"/>
  <c r="G164" i="3"/>
  <c r="G176" i="3"/>
  <c r="BA77" i="3"/>
  <c r="G80" i="3"/>
  <c r="G92" i="3"/>
  <c r="BA97" i="3"/>
  <c r="G108" i="3"/>
  <c r="AB21" i="33"/>
  <c r="AB27" i="40"/>
  <c r="BL584" i="3"/>
  <c r="BA583" i="3"/>
  <c r="BA578" i="3"/>
  <c r="BL575" i="3"/>
  <c r="BA575" i="3"/>
  <c r="BL574" i="3"/>
  <c r="BL572" i="3"/>
  <c r="BA570" i="3"/>
  <c r="AZ570" i="3" s="1"/>
  <c r="BA567" i="3"/>
  <c r="BL563" i="3"/>
  <c r="BA562" i="3"/>
  <c r="BA559" i="3"/>
  <c r="BA557" i="3"/>
  <c r="BL556" i="3"/>
  <c r="BL554" i="3"/>
  <c r="BA554" i="3"/>
  <c r="BA547" i="3"/>
  <c r="BL536" i="3"/>
  <c r="AZ536" i="3" s="1"/>
  <c r="BA536" i="3"/>
  <c r="BA531" i="3"/>
  <c r="BA522" i="3"/>
  <c r="BL516" i="3"/>
  <c r="BL513" i="3"/>
  <c r="BA513" i="3"/>
  <c r="BL508" i="3"/>
  <c r="BA506" i="3"/>
  <c r="BA495" i="3"/>
  <c r="AA3" i="71"/>
  <c r="X34" i="71"/>
  <c r="W32" i="39"/>
  <c r="AB31" i="40"/>
  <c r="S46" i="33"/>
  <c r="S32" i="37"/>
  <c r="S14" i="36"/>
  <c r="AC26" i="36"/>
  <c r="AA27" i="40"/>
  <c r="AZ372" i="3"/>
  <c r="AZ356" i="3"/>
  <c r="W47" i="34"/>
  <c r="S11" i="36"/>
  <c r="J15" i="33"/>
  <c r="AC15" i="33" s="1"/>
  <c r="W32" i="40"/>
  <c r="H39" i="37"/>
  <c r="J33" i="36"/>
  <c r="AC33" i="36" s="1"/>
  <c r="F39" i="37"/>
  <c r="S39" i="37" s="1"/>
  <c r="U9" i="39"/>
  <c r="J23" i="36"/>
  <c r="BA410" i="3"/>
  <c r="BA473" i="3"/>
  <c r="BL487" i="3"/>
  <c r="BA489" i="3"/>
  <c r="G163" i="3"/>
  <c r="G167" i="3"/>
  <c r="BL181" i="3"/>
  <c r="G203" i="3"/>
  <c r="BA26" i="3"/>
  <c r="BL28" i="3"/>
  <c r="BA29" i="3"/>
  <c r="G33" i="3"/>
  <c r="BA33" i="3"/>
  <c r="BA47" i="3"/>
  <c r="AZ47" i="3" s="1"/>
  <c r="BL47" i="3"/>
  <c r="G50" i="3"/>
  <c r="W18" i="36"/>
  <c r="D68" i="71"/>
  <c r="C18" i="9"/>
  <c r="D18" i="9" s="1"/>
  <c r="S36" i="34"/>
  <c r="A4" i="52"/>
  <c r="B41" i="72" s="1"/>
  <c r="A118" i="9"/>
  <c r="AB28" i="21"/>
  <c r="U28" i="21"/>
  <c r="S34" i="36"/>
  <c r="AA34" i="36"/>
  <c r="AZ575" i="3"/>
  <c r="W23" i="21"/>
  <c r="AZ389" i="3"/>
  <c r="AZ533" i="3"/>
  <c r="AC11" i="40"/>
  <c r="G124" i="34"/>
  <c r="H124" i="34" s="1"/>
  <c r="I124" i="34" s="1"/>
  <c r="J124" i="34" s="1"/>
  <c r="K124" i="34" s="1"/>
  <c r="L124" i="34" s="1"/>
  <c r="M124" i="34" s="1"/>
  <c r="J43" i="34"/>
  <c r="W43" i="34" s="1"/>
  <c r="AB9" i="40"/>
  <c r="U9" i="40"/>
  <c r="D22" i="71"/>
  <c r="U9" i="21"/>
  <c r="S21" i="39"/>
  <c r="AC15" i="21"/>
  <c r="AC15" i="37"/>
  <c r="U13" i="36"/>
  <c r="S30" i="40"/>
  <c r="BE5" i="3"/>
  <c r="AZ326" i="3"/>
  <c r="AZ310" i="3"/>
  <c r="AZ355" i="3"/>
  <c r="AZ549" i="3"/>
  <c r="S14" i="40"/>
  <c r="BL519" i="3"/>
  <c r="BL521" i="3"/>
  <c r="BL527" i="3"/>
  <c r="BL535" i="3"/>
  <c r="S28" i="34"/>
  <c r="U42" i="34"/>
  <c r="H31" i="21"/>
  <c r="J31" i="21"/>
  <c r="B97" i="43"/>
  <c r="B75" i="43"/>
  <c r="J12" i="37"/>
  <c r="W12" i="37" s="1"/>
  <c r="H12" i="37"/>
  <c r="AB12" i="37" s="1"/>
  <c r="U8" i="39"/>
  <c r="AB8" i="39"/>
  <c r="AC9" i="39"/>
  <c r="W9" i="39"/>
  <c r="H45" i="39"/>
  <c r="F45" i="39"/>
  <c r="K64" i="43"/>
  <c r="J64" i="43" s="1"/>
  <c r="M64" i="43"/>
  <c r="N64" i="43" s="1"/>
  <c r="AZ508" i="3"/>
  <c r="AZ556" i="3"/>
  <c r="AZ572" i="3"/>
  <c r="BA585" i="3"/>
  <c r="F28" i="21"/>
  <c r="J28" i="21"/>
  <c r="W28" i="21" s="1"/>
  <c r="H34" i="36"/>
  <c r="J34" i="36"/>
  <c r="W34" i="36" s="1"/>
  <c r="AA38" i="40"/>
  <c r="S38" i="40"/>
  <c r="S41" i="21"/>
  <c r="AA41" i="21"/>
  <c r="U30" i="36"/>
  <c r="AB30" i="36"/>
  <c r="BA584" i="3"/>
  <c r="AZ584" i="3" s="1"/>
  <c r="BL582" i="3"/>
  <c r="BA582" i="3"/>
  <c r="BA581" i="3"/>
  <c r="BL580" i="3"/>
  <c r="AZ580" i="3" s="1"/>
  <c r="BA579" i="3"/>
  <c r="BL578" i="3"/>
  <c r="BL576" i="3"/>
  <c r="BA576" i="3"/>
  <c r="BA574" i="3"/>
  <c r="BA573" i="3"/>
  <c r="BA571" i="3"/>
  <c r="BA568" i="3"/>
  <c r="BL566" i="3"/>
  <c r="BA566" i="3"/>
  <c r="BA565" i="3"/>
  <c r="BL564" i="3"/>
  <c r="AZ564" i="3" s="1"/>
  <c r="BA563" i="3"/>
  <c r="AZ563" i="3" s="1"/>
  <c r="BL562" i="3"/>
  <c r="BL560" i="3"/>
  <c r="BA560" i="3"/>
  <c r="BL558" i="3"/>
  <c r="BA558" i="3"/>
  <c r="BL555" i="3"/>
  <c r="BA555" i="3"/>
  <c r="BA553" i="3"/>
  <c r="BA552" i="3"/>
  <c r="BL551" i="3"/>
  <c r="BA548" i="3"/>
  <c r="BL545" i="3"/>
  <c r="BA545" i="3"/>
  <c r="BL544" i="3"/>
  <c r="AZ544" i="3" s="1"/>
  <c r="BA543" i="3"/>
  <c r="BL542" i="3"/>
  <c r="BA542" i="3"/>
  <c r="BL540" i="3"/>
  <c r="BA540" i="3"/>
  <c r="BL538" i="3"/>
  <c r="AZ538" i="3" s="1"/>
  <c r="BA537" i="3"/>
  <c r="BA535" i="3"/>
  <c r="BA534" i="3"/>
  <c r="AZ534" i="3" s="1"/>
  <c r="BL532" i="3"/>
  <c r="BA532" i="3"/>
  <c r="BA529" i="3"/>
  <c r="BA528" i="3"/>
  <c r="BA527" i="3"/>
  <c r="BL526" i="3"/>
  <c r="BA526" i="3"/>
  <c r="AZ526" i="3" s="1"/>
  <c r="BL524" i="3"/>
  <c r="AZ524" i="3" s="1"/>
  <c r="BL522" i="3"/>
  <c r="BA521" i="3"/>
  <c r="BL520" i="3"/>
  <c r="BA520" i="3"/>
  <c r="BA519" i="3"/>
  <c r="BL518" i="3"/>
  <c r="BA518" i="3"/>
  <c r="BA517" i="3"/>
  <c r="BA512" i="3"/>
  <c r="AZ512" i="3" s="1"/>
  <c r="BA511" i="3"/>
  <c r="AZ511" i="3" s="1"/>
  <c r="BA510" i="3"/>
  <c r="AZ510" i="3" s="1"/>
  <c r="BA509" i="3"/>
  <c r="AZ509" i="3" s="1"/>
  <c r="BA507" i="3"/>
  <c r="BL506" i="3"/>
  <c r="AZ506" i="3" s="1"/>
  <c r="BL504" i="3"/>
  <c r="BA504" i="3"/>
  <c r="BL502" i="3"/>
  <c r="BA502" i="3"/>
  <c r="BA501" i="3"/>
  <c r="AZ501" i="3" s="1"/>
  <c r="BL500" i="3"/>
  <c r="BA499" i="3"/>
  <c r="AZ499" i="3" s="1"/>
  <c r="BA496" i="3"/>
  <c r="BA494" i="3"/>
  <c r="AZ494" i="3" s="1"/>
  <c r="BA493" i="3"/>
  <c r="AZ493" i="3" s="1"/>
  <c r="U23" i="37"/>
  <c r="U32" i="37"/>
  <c r="AC13" i="34"/>
  <c r="AC35" i="21"/>
  <c r="AZ377" i="3"/>
  <c r="AZ344" i="3"/>
  <c r="AZ376" i="3"/>
  <c r="AC28" i="34"/>
  <c r="AZ553" i="3"/>
  <c r="BL581" i="3"/>
  <c r="U38" i="21"/>
  <c r="AB38" i="21"/>
  <c r="B72" i="43"/>
  <c r="C15" i="39"/>
  <c r="W41" i="33"/>
  <c r="S13" i="33"/>
  <c r="AA13" i="33"/>
  <c r="AB34" i="39"/>
  <c r="U14" i="40"/>
  <c r="BL495" i="3"/>
  <c r="BL503" i="3"/>
  <c r="AZ503" i="3" s="1"/>
  <c r="BL529" i="3"/>
  <c r="BL537" i="3"/>
  <c r="BL543" i="3"/>
  <c r="AZ543" i="3" s="1"/>
  <c r="BL569" i="3"/>
  <c r="AZ569" i="3" s="1"/>
  <c r="BL583" i="3"/>
  <c r="W31" i="34"/>
  <c r="J19" i="34"/>
  <c r="AC19" i="34" s="1"/>
  <c r="W40" i="33"/>
  <c r="S38" i="39"/>
  <c r="S27" i="35"/>
  <c r="S21" i="40"/>
  <c r="BL497" i="3"/>
  <c r="BL505" i="3"/>
  <c r="BL515" i="3"/>
  <c r="BL523" i="3"/>
  <c r="BL531" i="3"/>
  <c r="AZ531" i="3" s="1"/>
  <c r="BL539" i="3"/>
  <c r="BL559" i="3"/>
  <c r="AZ559" i="3" s="1"/>
  <c r="BL565" i="3"/>
  <c r="BL571" i="3"/>
  <c r="BL577" i="3"/>
  <c r="BL557" i="3"/>
  <c r="AZ557" i="3" s="1"/>
  <c r="J9" i="36"/>
  <c r="H12" i="36"/>
  <c r="J12" i="36"/>
  <c r="BL406" i="3"/>
  <c r="BL409" i="3"/>
  <c r="BL413" i="3"/>
  <c r="G415" i="3"/>
  <c r="G416" i="3"/>
  <c r="BA420" i="3"/>
  <c r="G432" i="3"/>
  <c r="BA437" i="3"/>
  <c r="G438" i="3"/>
  <c r="BL438" i="3"/>
  <c r="BL439" i="3"/>
  <c r="BA443" i="3"/>
  <c r="BL443" i="3"/>
  <c r="G460" i="3"/>
  <c r="G469" i="3"/>
  <c r="BL484" i="3"/>
  <c r="BL208" i="3"/>
  <c r="G212" i="3"/>
  <c r="G226" i="3"/>
  <c r="BA235" i="3"/>
  <c r="G238" i="3"/>
  <c r="G246" i="3"/>
  <c r="BL254" i="3"/>
  <c r="G255" i="3"/>
  <c r="G256" i="3"/>
  <c r="BA256" i="3"/>
  <c r="BL256" i="3"/>
  <c r="G259" i="3"/>
  <c r="G260" i="3"/>
  <c r="G268" i="3"/>
  <c r="G284" i="3"/>
  <c r="G292" i="3"/>
  <c r="BL123" i="3"/>
  <c r="AZ123" i="3" s="1"/>
  <c r="G126" i="3"/>
  <c r="G134" i="3"/>
  <c r="BL137" i="3"/>
  <c r="G143" i="3"/>
  <c r="BA156" i="3"/>
  <c r="AZ156" i="3" s="1"/>
  <c r="G172" i="3"/>
  <c r="G184" i="3"/>
  <c r="G192" i="3"/>
  <c r="BA201" i="3"/>
  <c r="G26" i="3"/>
  <c r="G46" i="3"/>
  <c r="G66" i="3"/>
  <c r="BL83" i="3"/>
  <c r="G86" i="3"/>
  <c r="G95" i="3"/>
  <c r="G106" i="3"/>
  <c r="G112" i="3"/>
  <c r="U29" i="39"/>
  <c r="C29" i="39"/>
  <c r="X39" i="71"/>
  <c r="B59" i="71"/>
  <c r="B60" i="71" s="1"/>
  <c r="S60" i="71" s="1"/>
  <c r="G14" i="3"/>
  <c r="G398" i="3"/>
  <c r="G404" i="3"/>
  <c r="G408" i="3"/>
  <c r="G413" i="3"/>
  <c r="G441" i="3"/>
  <c r="G459" i="3"/>
  <c r="G463" i="3"/>
  <c r="G471" i="3"/>
  <c r="BL488" i="3"/>
  <c r="BL316" i="3"/>
  <c r="G380" i="3"/>
  <c r="BL383" i="3"/>
  <c r="AZ383" i="3" s="1"/>
  <c r="G215" i="3"/>
  <c r="BL224" i="3"/>
  <c r="BA225" i="3"/>
  <c r="BL227" i="3"/>
  <c r="G236" i="3"/>
  <c r="G241" i="3"/>
  <c r="G249" i="3"/>
  <c r="BL262" i="3"/>
  <c r="G271" i="3"/>
  <c r="G283" i="3"/>
  <c r="G287" i="3"/>
  <c r="BL298" i="3"/>
  <c r="G299" i="3"/>
  <c r="G150" i="3"/>
  <c r="G158" i="3"/>
  <c r="BL161" i="3"/>
  <c r="G162" i="3"/>
  <c r="G166" i="3"/>
  <c r="BL167" i="3"/>
  <c r="AZ167" i="3" s="1"/>
  <c r="BL169" i="3"/>
  <c r="G174" i="3"/>
  <c r="BL198" i="3"/>
  <c r="BA62" i="3"/>
  <c r="BL62" i="3"/>
  <c r="BL63" i="3"/>
  <c r="G68" i="3"/>
  <c r="G89" i="3"/>
  <c r="BA95" i="3"/>
  <c r="BA98" i="3"/>
  <c r="B68" i="43"/>
  <c r="B57" i="43"/>
  <c r="T68" i="71"/>
  <c r="AB34" i="71"/>
  <c r="B43" i="71"/>
  <c r="B44" i="71" s="1"/>
  <c r="S44" i="71" s="1"/>
  <c r="B71" i="71"/>
  <c r="B70" i="71" s="1"/>
  <c r="H5" i="3"/>
  <c r="BL423" i="3"/>
  <c r="G440" i="3"/>
  <c r="BA444" i="3"/>
  <c r="BA448" i="3"/>
  <c r="BL455" i="3"/>
  <c r="G462" i="3"/>
  <c r="BA462" i="3"/>
  <c r="BA470" i="3"/>
  <c r="BL308" i="3"/>
  <c r="AZ308" i="3" s="1"/>
  <c r="BA231" i="3"/>
  <c r="BA237" i="3"/>
  <c r="AZ237" i="3" s="1"/>
  <c r="BL242" i="3"/>
  <c r="BA248" i="3"/>
  <c r="G270" i="3"/>
  <c r="BA270" i="3"/>
  <c r="BL272" i="3"/>
  <c r="BL280" i="3"/>
  <c r="BA286" i="3"/>
  <c r="BA145" i="3"/>
  <c r="BA149" i="3"/>
  <c r="BL175" i="3"/>
  <c r="AZ175" i="3" s="1"/>
  <c r="BL205" i="3"/>
  <c r="G206" i="3"/>
  <c r="BL24" i="3"/>
  <c r="BA25" i="3"/>
  <c r="BL69" i="3"/>
  <c r="BA88" i="3"/>
  <c r="BL103" i="3"/>
  <c r="BA104" i="3"/>
  <c r="AC21" i="21"/>
  <c r="B40" i="71"/>
  <c r="S40" i="71" s="1"/>
  <c r="X26" i="71"/>
  <c r="Y29" i="71"/>
  <c r="Z29" i="71" s="1"/>
  <c r="AB8" i="34"/>
  <c r="W25" i="34"/>
  <c r="W23" i="34"/>
  <c r="U21" i="34"/>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27" i="3"/>
  <c r="AZ552" i="3"/>
  <c r="U36" i="39"/>
  <c r="AC28" i="21"/>
  <c r="AC11" i="35"/>
  <c r="F45" i="21"/>
  <c r="F44" i="34"/>
  <c r="AA44" i="34" s="1"/>
  <c r="J17" i="34"/>
  <c r="F32" i="33"/>
  <c r="AA32" i="33" s="1"/>
  <c r="AB39" i="40"/>
  <c r="J44" i="39"/>
  <c r="G585" i="3"/>
  <c r="H12" i="33"/>
  <c r="U12" i="33" s="1"/>
  <c r="F23" i="36"/>
  <c r="BL400" i="3"/>
  <c r="G409" i="3"/>
  <c r="AZ347" i="3"/>
  <c r="AZ304"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BL240" i="3"/>
  <c r="G244" i="3"/>
  <c r="G251" i="3"/>
  <c r="BA254" i="3"/>
  <c r="BA257" i="3"/>
  <c r="BL259" i="3"/>
  <c r="G261" i="3"/>
  <c r="BL265" i="3"/>
  <c r="G267" i="3"/>
  <c r="BA275" i="3"/>
  <c r="G279" i="3"/>
  <c r="BL283" i="3"/>
  <c r="BL284" i="3"/>
  <c r="G285" i="3"/>
  <c r="BL292" i="3"/>
  <c r="G295" i="3"/>
  <c r="BA298" i="3"/>
  <c r="AZ298" i="3" s="1"/>
  <c r="BA301" i="3"/>
  <c r="BA132" i="3"/>
  <c r="AZ132" i="3" s="1"/>
  <c r="BA157" i="3"/>
  <c r="BL412" i="3"/>
  <c r="G419" i="3"/>
  <c r="BA419" i="3"/>
  <c r="BA424" i="3"/>
  <c r="BL427" i="3"/>
  <c r="G430" i="3"/>
  <c r="BL433" i="3"/>
  <c r="BL434" i="3"/>
  <c r="G437" i="3"/>
  <c r="G447" i="3"/>
  <c r="BL447" i="3"/>
  <c r="G451" i="3"/>
  <c r="BA451" i="3"/>
  <c r="AZ451" i="3" s="1"/>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AZ340" i="3" s="1"/>
  <c r="G343" i="3"/>
  <c r="G347" i="3"/>
  <c r="BA348" i="3"/>
  <c r="BA350" i="3"/>
  <c r="AZ350" i="3" s="1"/>
  <c r="BA354" i="3"/>
  <c r="BL381" i="3"/>
  <c r="AZ381" i="3" s="1"/>
  <c r="BA385" i="3"/>
  <c r="BL211" i="3"/>
  <c r="BA212" i="3"/>
  <c r="BL216" i="3"/>
  <c r="G218" i="3"/>
  <c r="G223" i="3"/>
  <c r="BL226" i="3"/>
  <c r="G227" i="3"/>
  <c r="G228" i="3"/>
  <c r="BA228" i="3"/>
  <c r="BL230" i="3"/>
  <c r="G231" i="3"/>
  <c r="G232" i="3"/>
  <c r="G237" i="3"/>
  <c r="BA245" i="3"/>
  <c r="BL245" i="3"/>
  <c r="G247" i="3"/>
  <c r="G253" i="3"/>
  <c r="BA255" i="3"/>
  <c r="BA262" i="3"/>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AZ52" i="3" s="1"/>
  <c r="BL64" i="3"/>
  <c r="G65" i="3"/>
  <c r="BA70" i="3"/>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E7" i="86"/>
  <c r="I7" i="86"/>
  <c r="BA114" i="3"/>
  <c r="BL134" i="3"/>
  <c r="BL146" i="3"/>
  <c r="BA148" i="3"/>
  <c r="AZ148" i="3" s="1"/>
  <c r="BL154" i="3"/>
  <c r="G155" i="3"/>
  <c r="BA162" i="3"/>
  <c r="G170" i="3"/>
  <c r="G175" i="3"/>
  <c r="G180" i="3"/>
  <c r="BA194" i="3"/>
  <c r="G23" i="3"/>
  <c r="BL23" i="3"/>
  <c r="BA40" i="3"/>
  <c r="BL44" i="3"/>
  <c r="BA55" i="3"/>
  <c r="BL57" i="3"/>
  <c r="G59" i="3"/>
  <c r="G62" i="3"/>
  <c r="BA67" i="3"/>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73" i="3"/>
  <c r="AZ583" i="3"/>
  <c r="AZ568"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BL401" i="3"/>
  <c r="BL404" i="3"/>
  <c r="BL405" i="3"/>
  <c r="BL407" i="3"/>
  <c r="AZ407" i="3" s="1"/>
  <c r="BA412" i="3"/>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BA460" i="3"/>
  <c r="BA461" i="3"/>
  <c r="BL464" i="3"/>
  <c r="BL466" i="3"/>
  <c r="G468" i="3"/>
  <c r="BL476" i="3"/>
  <c r="AZ476" i="3" s="1"/>
  <c r="BL480" i="3"/>
  <c r="AZ480" i="3" s="1"/>
  <c r="BA483" i="3"/>
  <c r="BL483" i="3"/>
  <c r="BA486" i="3"/>
  <c r="BL489" i="3"/>
  <c r="AZ489" i="3" s="1"/>
  <c r="BL491" i="3"/>
  <c r="AZ491" i="3" s="1"/>
  <c r="BL492" i="3"/>
  <c r="BA315" i="3"/>
  <c r="AZ315" i="3" s="1"/>
  <c r="BA333" i="3"/>
  <c r="BL346" i="3"/>
  <c r="AZ346" i="3" s="1"/>
  <c r="BA384" i="3"/>
  <c r="AZ384" i="3" s="1"/>
  <c r="BA395" i="3"/>
  <c r="BA210" i="3"/>
  <c r="AZ210" i="3" s="1"/>
  <c r="BL210" i="3"/>
  <c r="BL16" i="3"/>
  <c r="AZ16" i="3" s="1"/>
  <c r="BA401" i="3"/>
  <c r="AZ401" i="3" s="1"/>
  <c r="BA403" i="3"/>
  <c r="BA404" i="3"/>
  <c r="BA405" i="3"/>
  <c r="BL410" i="3"/>
  <c r="G412" i="3"/>
  <c r="G418" i="3"/>
  <c r="BA422" i="3"/>
  <c r="AZ444" i="3"/>
  <c r="BL449" i="3"/>
  <c r="AZ449" i="3" s="1"/>
  <c r="BL450" i="3"/>
  <c r="BL452" i="3"/>
  <c r="G454" i="3"/>
  <c r="BL456" i="3"/>
  <c r="AZ456" i="3" s="1"/>
  <c r="BA464" i="3"/>
  <c r="BL467" i="3"/>
  <c r="AZ467" i="3" s="1"/>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AZ436" i="3" s="1"/>
  <c r="BA438" i="3"/>
  <c r="G442" i="3"/>
  <c r="G443" i="3"/>
  <c r="BA446" i="3"/>
  <c r="AZ446" i="3" s="1"/>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BL264" i="3"/>
  <c r="BL266" i="3"/>
  <c r="BA268" i="3"/>
  <c r="BL273" i="3"/>
  <c r="AZ273" i="3" s="1"/>
  <c r="G274" i="3"/>
  <c r="BA277" i="3"/>
  <c r="BL277" i="3"/>
  <c r="BA282" i="3"/>
  <c r="BL282" i="3"/>
  <c r="BA284" i="3"/>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BL162" i="3"/>
  <c r="AZ162" i="3" s="1"/>
  <c r="BL165" i="3"/>
  <c r="BL170" i="3"/>
  <c r="BA173" i="3"/>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BA271" i="3"/>
  <c r="BL271" i="3"/>
  <c r="BA27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BL213" i="3"/>
  <c r="BL215" i="3"/>
  <c r="BA222" i="3"/>
  <c r="BA224" i="3"/>
  <c r="AZ224" i="3" s="1"/>
  <c r="BA226" i="3"/>
  <c r="BL255" i="3"/>
  <c r="AZ255" i="3" s="1"/>
  <c r="BL257" i="3"/>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BA57" i="3"/>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G96" i="3"/>
  <c r="BL97" i="3"/>
  <c r="AZ97" i="3" s="1"/>
  <c r="BL101" i="3"/>
  <c r="BL102" i="3"/>
  <c r="G104" i="3"/>
  <c r="G105" i="3"/>
  <c r="BL106" i="3"/>
  <c r="AZ106" i="3" s="1"/>
  <c r="BA108" i="3"/>
  <c r="BA110" i="3"/>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52" i="3"/>
  <c r="AZ468"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6" i="43"/>
  <c r="D64" i="43"/>
  <c r="D67" i="43"/>
  <c r="D65"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B13" i="70"/>
  <c r="F68" i="67"/>
  <c r="C36" i="68"/>
  <c r="D9" i="69"/>
  <c r="C36" i="69"/>
  <c r="D9" i="68"/>
  <c r="F6" i="15"/>
  <c r="F42" i="15"/>
  <c r="L48" i="67"/>
  <c r="F9" i="67"/>
  <c r="F43" i="15"/>
  <c r="M9" i="67"/>
  <c r="M23" i="67"/>
  <c r="M24" i="67"/>
  <c r="M6" i="67"/>
  <c r="F36" i="15"/>
  <c r="F37" i="15"/>
  <c r="J15" i="15"/>
  <c r="L47" i="67"/>
  <c r="M29" i="15"/>
  <c r="L47" i="15"/>
  <c r="F8" i="15"/>
  <c r="F9" i="15"/>
  <c r="F26" i="67"/>
  <c r="F8" i="67"/>
  <c r="F43" i="67"/>
  <c r="M8" i="67"/>
  <c r="F36" i="67"/>
  <c r="C76" i="15"/>
  <c r="D3" i="73"/>
  <c r="F42" i="67"/>
  <c r="M24" i="15"/>
  <c r="F26" i="15"/>
  <c r="D7" i="73"/>
  <c r="M29" i="67"/>
  <c r="F13" i="67"/>
  <c r="M22" i="67"/>
  <c r="M26" i="67"/>
  <c r="J15" i="67"/>
  <c r="M28" i="67"/>
  <c r="F13" i="15"/>
  <c r="M9" i="15"/>
  <c r="F16" i="67"/>
  <c r="F16" i="15"/>
  <c r="F40" i="15"/>
  <c r="M22" i="15"/>
  <c r="F37" i="67"/>
  <c r="F38" i="67"/>
  <c r="D4" i="73"/>
  <c r="F38" i="15"/>
  <c r="C76" i="67"/>
  <c r="D5" i="73"/>
  <c r="M23" i="15"/>
  <c r="L48" i="15"/>
  <c r="M6" i="15"/>
  <c r="F7" i="67"/>
  <c r="F68" i="15" l="1"/>
  <c r="F51" i="15"/>
  <c r="N59" i="15"/>
  <c r="L59" i="15"/>
  <c r="M59" i="15"/>
  <c r="F31" i="15"/>
  <c r="C6" i="15"/>
  <c r="AZ274" i="3"/>
  <c r="AZ540" i="3"/>
  <c r="AZ560" i="3"/>
  <c r="AZ565" i="3"/>
  <c r="AZ576" i="3"/>
  <c r="AZ110" i="3"/>
  <c r="AC23" i="36"/>
  <c r="W23" i="36"/>
  <c r="AB39" i="37"/>
  <c r="U39" i="37"/>
  <c r="AZ46" i="3"/>
  <c r="AZ442" i="3"/>
  <c r="C27" i="15"/>
  <c r="Q71" i="15"/>
  <c r="F64" i="15"/>
  <c r="J57" i="15"/>
  <c r="J55" i="15" s="1"/>
  <c r="J58" i="15" s="1"/>
  <c r="Q50" i="15" s="1"/>
  <c r="L58" i="15"/>
  <c r="J53" i="15"/>
  <c r="L56" i="15" s="1"/>
  <c r="I54" i="15"/>
  <c r="F66" i="15"/>
  <c r="F71" i="15"/>
  <c r="F65" i="15"/>
  <c r="J6" i="15"/>
  <c r="J18" i="15" s="1"/>
  <c r="E59" i="40"/>
  <c r="M67" i="43"/>
  <c r="N67" i="43" s="1"/>
  <c r="K67" i="43"/>
  <c r="J67" i="43" s="1"/>
  <c r="AZ276" i="3"/>
  <c r="AZ264" i="3"/>
  <c r="AZ58" i="3"/>
  <c r="AZ75" i="3"/>
  <c r="AZ57" i="3"/>
  <c r="AZ267" i="3"/>
  <c r="AZ173" i="3"/>
  <c r="AZ252" i="3"/>
  <c r="AZ395" i="3"/>
  <c r="AZ418" i="3"/>
  <c r="AZ412" i="3"/>
  <c r="AZ67" i="3"/>
  <c r="J7" i="86"/>
  <c r="AZ70" i="3"/>
  <c r="AZ242" i="3"/>
  <c r="AZ254" i="3"/>
  <c r="AZ240" i="3"/>
  <c r="AZ62" i="3"/>
  <c r="AZ256" i="3"/>
  <c r="AC9" i="36"/>
  <c r="W9" i="36"/>
  <c r="AZ532" i="3"/>
  <c r="AZ542" i="3"/>
  <c r="AZ558" i="3"/>
  <c r="AZ566" i="3"/>
  <c r="AZ582" i="3"/>
  <c r="AA28" i="21"/>
  <c r="S28" i="21"/>
  <c r="U45" i="39"/>
  <c r="AB45" i="39"/>
  <c r="K68" i="43"/>
  <c r="J68" i="43" s="1"/>
  <c r="D68" i="43" s="1"/>
  <c r="M68" i="43"/>
  <c r="N68" i="43" s="1"/>
  <c r="M61" i="43"/>
  <c r="K61" i="43"/>
  <c r="J61" i="43" s="1"/>
  <c r="AZ285" i="3"/>
  <c r="AZ474" i="3"/>
  <c r="AZ333" i="3"/>
  <c r="M69" i="43"/>
  <c r="N69" i="43" s="1"/>
  <c r="K69" i="43"/>
  <c r="J69" i="43" s="1"/>
  <c r="AZ56" i="3"/>
  <c r="AZ211" i="3"/>
  <c r="AZ263" i="3"/>
  <c r="AZ154" i="3"/>
  <c r="AZ399" i="3"/>
  <c r="F7" i="86"/>
  <c r="AA7" i="86" s="1"/>
  <c r="R49" i="86" s="1"/>
  <c r="AZ262" i="3"/>
  <c r="AC31" i="21"/>
  <c r="W31" i="21"/>
  <c r="AZ535" i="3"/>
  <c r="K66" i="43"/>
  <c r="J66" i="43" s="1"/>
  <c r="M66" i="43"/>
  <c r="N66" i="43" s="1"/>
  <c r="M63" i="43"/>
  <c r="N63" i="43" s="1"/>
  <c r="K63" i="43"/>
  <c r="AZ89" i="3"/>
  <c r="AZ300" i="3"/>
  <c r="AZ91" i="3"/>
  <c r="AZ257" i="3"/>
  <c r="AZ222" i="3"/>
  <c r="AZ284" i="3"/>
  <c r="AZ249" i="3"/>
  <c r="AZ550" i="3"/>
  <c r="AZ466" i="3"/>
  <c r="AZ459" i="3"/>
  <c r="AZ448" i="3"/>
  <c r="AZ134" i="3"/>
  <c r="H7" i="86"/>
  <c r="AZ65" i="3"/>
  <c r="AZ245" i="3"/>
  <c r="AZ301" i="3"/>
  <c r="AZ443" i="3"/>
  <c r="W12" i="36"/>
  <c r="AC12" i="36"/>
  <c r="AZ504" i="3"/>
  <c r="AZ520" i="3"/>
  <c r="AB34" i="36"/>
  <c r="U34" i="36"/>
  <c r="AB31" i="21"/>
  <c r="U31" i="21"/>
  <c r="M65" i="43"/>
  <c r="N65" i="43" s="1"/>
  <c r="K65" i="43"/>
  <c r="J65" i="43" s="1"/>
  <c r="K62" i="43"/>
  <c r="J62" i="43" s="1"/>
  <c r="M62" i="43"/>
  <c r="U12" i="36"/>
  <c r="AB12" i="36"/>
  <c r="S45" i="39"/>
  <c r="AA45" i="39"/>
  <c r="U43" i="34"/>
  <c r="AB17" i="34"/>
  <c r="E26" i="43"/>
  <c r="G26" i="43"/>
  <c r="H26" i="43"/>
  <c r="H16" i="1"/>
  <c r="Q16" i="1"/>
  <c r="F27" i="69" s="1"/>
  <c r="C47" i="69" s="1"/>
  <c r="D45" i="69" s="1"/>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S7" i="86"/>
  <c r="B27" i="71"/>
  <c r="B26" i="71" s="1"/>
  <c r="S28" i="71"/>
  <c r="AA44" i="39"/>
  <c r="S44" i="39"/>
  <c r="W17" i="34"/>
  <c r="AC17" i="34"/>
  <c r="AZ400" i="3"/>
  <c r="AZ403" i="3"/>
  <c r="AZ457" i="3"/>
  <c r="AZ421" i="3"/>
  <c r="AZ414" i="3"/>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AC7" i="36" s="1"/>
  <c r="V36" i="36" s="1"/>
  <c r="I36" i="36" s="1"/>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471" i="3"/>
  <c r="E17" i="3"/>
  <c r="E394" i="3"/>
  <c r="E396" i="3"/>
  <c r="E562" i="3"/>
  <c r="E441" i="3"/>
  <c r="E350" i="3"/>
  <c r="E362" i="3"/>
  <c r="E109" i="3"/>
  <c r="E570" i="3"/>
  <c r="E172" i="3"/>
  <c r="AI6" i="3"/>
  <c r="E275"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H7" i="36"/>
  <c r="AB7" i="36" s="1"/>
  <c r="T36" i="36" s="1"/>
  <c r="G36" i="36" s="1"/>
  <c r="E142" i="3"/>
  <c r="AA9" i="36"/>
  <c r="S9" i="36"/>
  <c r="AA34" i="35"/>
  <c r="S34" i="35"/>
  <c r="E15" i="71"/>
  <c r="E14" i="71" s="1"/>
  <c r="E13" i="71" s="1"/>
  <c r="E12" i="71" s="1"/>
  <c r="V16" i="71"/>
  <c r="E139" i="3"/>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F7" i="33"/>
  <c r="E58" i="21"/>
  <c r="W7" i="36"/>
  <c r="F7" i="37"/>
  <c r="M17" i="67"/>
  <c r="M17" i="15"/>
  <c r="F59" i="15"/>
  <c r="P28" i="43"/>
  <c r="B66" i="40" s="1"/>
  <c r="P25" i="43"/>
  <c r="P29" i="43"/>
  <c r="P27" i="43"/>
  <c r="B70" i="39" s="1"/>
  <c r="C49" i="15"/>
  <c r="C32" i="67"/>
  <c r="M11" i="67"/>
  <c r="F11" i="15"/>
  <c r="M11" i="15"/>
  <c r="J10" i="15" s="1"/>
  <c r="F11" i="67"/>
  <c r="C32" i="15"/>
  <c r="Q60" i="15"/>
  <c r="Q73" i="15"/>
  <c r="Q74" i="15"/>
  <c r="Q61" i="15"/>
  <c r="AE11" i="1"/>
  <c r="AE9" i="1"/>
  <c r="F27" i="68"/>
  <c r="AE7" i="1"/>
  <c r="AE8" i="1"/>
  <c r="AE12" i="1"/>
  <c r="AE10" i="1"/>
  <c r="G1" i="73"/>
  <c r="C16" i="15"/>
  <c r="C16" i="67"/>
  <c r="AE6" i="1"/>
  <c r="E189" i="3" l="1"/>
  <c r="E577" i="3"/>
  <c r="E583" i="3"/>
  <c r="E461" i="3"/>
  <c r="E131" i="3"/>
  <c r="E240" i="3"/>
  <c r="E423" i="3"/>
  <c r="E201" i="3"/>
  <c r="E361" i="3"/>
  <c r="E447" i="3"/>
  <c r="E516" i="3"/>
  <c r="E256" i="3"/>
  <c r="E501" i="3"/>
  <c r="E148" i="3"/>
  <c r="E161" i="3"/>
  <c r="E215" i="3"/>
  <c r="E247" i="3"/>
  <c r="E557" i="3"/>
  <c r="E472" i="3"/>
  <c r="E528" i="3"/>
  <c r="E271" i="3"/>
  <c r="E578" i="3"/>
  <c r="E166" i="3"/>
  <c r="E128" i="3"/>
  <c r="E53" i="3"/>
  <c r="E179" i="3"/>
  <c r="E132" i="3"/>
  <c r="E377" i="3"/>
  <c r="E378" i="3"/>
  <c r="E369" i="3"/>
  <c r="X6" i="3"/>
  <c r="E535" i="3"/>
  <c r="AB6" i="3"/>
  <c r="E322" i="3"/>
  <c r="AO6" i="3"/>
  <c r="AK6" i="3"/>
  <c r="E410" i="3"/>
  <c r="E450" i="3"/>
  <c r="E550" i="3"/>
  <c r="P6" i="3"/>
  <c r="E221" i="3"/>
  <c r="U6" i="3"/>
  <c r="E116" i="3"/>
  <c r="Q52" i="15"/>
  <c r="F1" i="15"/>
  <c r="J5" i="15"/>
  <c r="J24" i="15" s="1"/>
  <c r="E248" i="3"/>
  <c r="E94" i="3"/>
  <c r="E219" i="3"/>
  <c r="E242" i="3"/>
  <c r="E100" i="3"/>
  <c r="E263" i="3"/>
  <c r="E278" i="3"/>
  <c r="M6" i="3"/>
  <c r="E579" i="3"/>
  <c r="E489" i="3"/>
  <c r="E214" i="3"/>
  <c r="E181" i="3"/>
  <c r="E143" i="3"/>
  <c r="E478" i="3"/>
  <c r="E527" i="3"/>
  <c r="E320" i="3"/>
  <c r="E88" i="3"/>
  <c r="E424" i="3"/>
  <c r="E97" i="3"/>
  <c r="E145" i="3"/>
  <c r="E323" i="3"/>
  <c r="N62" i="43"/>
  <c r="D62" i="43"/>
  <c r="AZ5" i="3"/>
  <c r="AY6" i="3" s="1"/>
  <c r="AY237" i="3" s="1"/>
  <c r="J63" i="43"/>
  <c r="D63" i="43"/>
  <c r="N61" i="43"/>
  <c r="D61" i="43"/>
  <c r="F67" i="39"/>
  <c r="F59" i="67"/>
  <c r="F28" i="12"/>
  <c r="C29" i="12" s="1"/>
  <c r="D28" i="12" s="1"/>
  <c r="F45" i="69"/>
  <c r="F27" i="11"/>
  <c r="C29" i="11" s="1"/>
  <c r="D27" i="11" s="1"/>
  <c r="C29" i="69"/>
  <c r="D27" i="69" s="1"/>
  <c r="E118" i="3"/>
  <c r="E487" i="3"/>
  <c r="E483" i="3"/>
  <c r="E119" i="3"/>
  <c r="E246" i="3"/>
  <c r="E135" i="3"/>
  <c r="E563" i="3"/>
  <c r="E335" i="3"/>
  <c r="E311" i="3"/>
  <c r="E509" i="3"/>
  <c r="E211" i="3"/>
  <c r="E89" i="3"/>
  <c r="E465" i="3"/>
  <c r="E399" i="3"/>
  <c r="E561" i="3"/>
  <c r="E384" i="3"/>
  <c r="E31" i="3"/>
  <c r="E314" i="3"/>
  <c r="E230" i="3"/>
  <c r="E553" i="3"/>
  <c r="E164" i="3"/>
  <c r="E330" i="3"/>
  <c r="E338" i="3"/>
  <c r="E403" i="3"/>
  <c r="W6" i="3"/>
  <c r="E222" i="3"/>
  <c r="E296" i="3"/>
  <c r="E200" i="3"/>
  <c r="E385" i="3"/>
  <c r="E191" i="3"/>
  <c r="E445" i="3"/>
  <c r="E69" i="3"/>
  <c r="E387" i="3"/>
  <c r="E514" i="3"/>
  <c r="E431" i="3"/>
  <c r="E526" i="3"/>
  <c r="E70" i="3"/>
  <c r="E327" i="3"/>
  <c r="E146" i="3"/>
  <c r="E277" i="3"/>
  <c r="E495" i="3"/>
  <c r="E231" i="3"/>
  <c r="E530" i="3"/>
  <c r="AS6" i="3"/>
  <c r="E351" i="3"/>
  <c r="E99" i="3"/>
  <c r="E290" i="3"/>
  <c r="V6" i="3"/>
  <c r="E30" i="3"/>
  <c r="AG6" i="3"/>
  <c r="E496" i="3"/>
  <c r="E353" i="3"/>
  <c r="E506" i="3"/>
  <c r="E126" i="3"/>
  <c r="E208" i="3"/>
  <c r="E307" i="3"/>
  <c r="E20" i="3"/>
  <c r="Q52"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546" i="3"/>
  <c r="AY444" i="3"/>
  <c r="AY555" i="3"/>
  <c r="AY254" i="3"/>
  <c r="AY393" i="3"/>
  <c r="AY559" i="3"/>
  <c r="AY220" i="3"/>
  <c r="AY557" i="3"/>
  <c r="AY291" i="3"/>
  <c r="AY121"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D3" i="21"/>
  <c r="E6" i="6"/>
  <c r="D37" i="11"/>
  <c r="D14" i="12"/>
  <c r="M18" i="9"/>
  <c r="B118" i="9" s="1"/>
  <c r="D3" i="34"/>
  <c r="D19" i="11"/>
  <c r="C19" i="11" s="1"/>
  <c r="C17" i="4"/>
  <c r="B4" i="52" s="1"/>
  <c r="B43" i="72" s="1"/>
  <c r="D3" i="33"/>
  <c r="D3" i="37"/>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48" i="15" s="1"/>
  <c r="C66" i="15" s="1"/>
  <c r="C10" i="15"/>
  <c r="C5" i="15" s="1"/>
  <c r="C38" i="15" s="1"/>
  <c r="M27" i="67"/>
  <c r="F41" i="15"/>
  <c r="F41" i="67"/>
  <c r="M27" i="15"/>
  <c r="E61" i="43" l="1"/>
  <c r="B59" i="43" s="1"/>
  <c r="C28" i="43" s="1"/>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5" i="6" s="1"/>
  <c r="AY410" i="3"/>
  <c r="AY487" i="3"/>
  <c r="AY369" i="3"/>
  <c r="AY129" i="3"/>
  <c r="AY80" i="3"/>
  <c r="AY584" i="3"/>
  <c r="AY406" i="3"/>
  <c r="AY72" i="3"/>
  <c r="AY162" i="3"/>
  <c r="AY326" i="3"/>
  <c r="AY132" i="3"/>
  <c r="AY516" i="3"/>
  <c r="AY130" i="3"/>
  <c r="AY117" i="3"/>
  <c r="AY535"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171"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70" i="3"/>
  <c r="AY238" i="3"/>
  <c r="AY105" i="3"/>
  <c r="AY412" i="3"/>
  <c r="AY496" i="3"/>
  <c r="AY308" i="3"/>
  <c r="AY365" i="3"/>
  <c r="AY68" i="3"/>
  <c r="AY269" i="3"/>
  <c r="AY16" i="3"/>
  <c r="B14" i="74"/>
  <c r="B1" i="74" s="1"/>
  <c r="C34" i="34"/>
  <c r="AC10" i="39"/>
  <c r="C48" i="67"/>
  <c r="C66" i="67" s="1"/>
  <c r="AB10" i="39"/>
  <c r="AC6" i="3"/>
  <c r="C49" i="86"/>
  <c r="C50" i="86"/>
  <c r="H6" i="3"/>
  <c r="E54" i="86"/>
  <c r="F54" i="86" s="1"/>
  <c r="E53" i="86"/>
  <c r="F53" i="86" s="1"/>
  <c r="W10" i="40"/>
  <c r="F69" i="67"/>
  <c r="AA10" i="40"/>
  <c r="C33" i="33"/>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1" i="6"/>
  <c r="D20" i="6"/>
  <c r="M19" i="9"/>
  <c r="C118" i="9" s="1"/>
  <c r="B2" i="74" s="1"/>
  <c r="D26" i="6"/>
  <c r="D14" i="6"/>
  <c r="D6" i="6"/>
  <c r="D9" i="6"/>
  <c r="D29" i="6"/>
  <c r="D19" i="6"/>
  <c r="D23" i="6"/>
  <c r="D5" i="6"/>
  <c r="D12" i="6"/>
  <c r="D13" i="6"/>
  <c r="D28" i="6"/>
  <c r="E61" i="40"/>
  <c r="P14" i="1"/>
  <c r="P16" i="1" s="1"/>
  <c r="C11" i="12" s="1"/>
  <c r="N16" i="1"/>
  <c r="L16" i="1"/>
  <c r="H67" i="39"/>
  <c r="G69" i="39"/>
  <c r="E40" i="36"/>
  <c r="F40" i="36" s="1"/>
  <c r="E41" i="36"/>
  <c r="F41" i="36" s="1"/>
  <c r="H48" i="35"/>
  <c r="I41" i="36"/>
  <c r="J41" i="36" s="1"/>
  <c r="R43" i="37"/>
  <c r="E42" i="37"/>
  <c r="G63" i="40"/>
  <c r="F65" i="40"/>
  <c r="C37" i="36"/>
  <c r="C36" i="36"/>
  <c r="G58" i="21"/>
  <c r="C60" i="15"/>
  <c r="C60" i="67"/>
  <c r="D10" i="69"/>
  <c r="C34" i="69"/>
  <c r="D10" i="68"/>
  <c r="C17" i="15"/>
  <c r="C17" i="67"/>
  <c r="C14" i="67"/>
  <c r="E6" i="3" l="1"/>
  <c r="T13" i="43"/>
  <c r="V13" i="43" s="1"/>
  <c r="T16" i="43"/>
  <c r="V16" i="43" s="1"/>
  <c r="T8" i="43"/>
  <c r="V8" i="43" s="1"/>
  <c r="T6" i="43"/>
  <c r="V6" i="43" s="1"/>
  <c r="C37" i="43"/>
  <c r="C39" i="43"/>
  <c r="C38" i="43"/>
  <c r="T11" i="43"/>
  <c r="V11" i="43" s="1"/>
  <c r="T14" i="43"/>
  <c r="V14" i="43" s="1"/>
  <c r="T4" i="43"/>
  <c r="V4" i="43" s="1"/>
  <c r="T5" i="43"/>
  <c r="V5" i="43" s="1"/>
  <c r="C41" i="43"/>
  <c r="C42" i="43"/>
  <c r="T7" i="43"/>
  <c r="V7" i="43" s="1"/>
  <c r="T10" i="43"/>
  <c r="V10" i="43" s="1"/>
  <c r="C40" i="43"/>
  <c r="T9" i="43"/>
  <c r="V9" i="43" s="1"/>
  <c r="T12" i="43"/>
  <c r="V12" i="43" s="1"/>
  <c r="T3" i="43"/>
  <c r="V3" i="43" s="1"/>
  <c r="C33" i="43"/>
  <c r="T15" i="43"/>
  <c r="V15" i="43" s="1"/>
  <c r="T2" i="43"/>
  <c r="V2" i="43" s="1"/>
  <c r="H21" i="6"/>
  <c r="J34" i="34"/>
  <c r="F34" i="34"/>
  <c r="H34" i="34"/>
  <c r="H26" i="6"/>
  <c r="D11" i="6"/>
  <c r="C18" i="4"/>
  <c r="D10" i="6"/>
  <c r="D8" i="6"/>
  <c r="D24" i="6"/>
  <c r="H22" i="6"/>
  <c r="B2" i="86"/>
  <c r="B3" i="86"/>
  <c r="H24" i="6"/>
  <c r="D30" i="6"/>
  <c r="H33" i="33"/>
  <c r="F33" i="33"/>
  <c r="J33" i="33"/>
  <c r="C44" i="11"/>
  <c r="D41" i="11" s="1"/>
  <c r="H25" i="6"/>
  <c r="R25" i="6" s="1"/>
  <c r="R12" i="1" s="1"/>
  <c r="C26" i="11"/>
  <c r="D22" i="11" s="1"/>
  <c r="C44" i="68"/>
  <c r="D41" i="68"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C14" i="15"/>
  <c r="F6" i="67"/>
  <c r="E33" i="43" l="1"/>
  <c r="C34" i="43"/>
  <c r="E34" i="43" s="1"/>
  <c r="C6" i="69"/>
  <c r="C7" i="69" s="1"/>
  <c r="E40" i="43"/>
  <c r="G40" i="43"/>
  <c r="I40" i="43" s="1"/>
  <c r="E41" i="43"/>
  <c r="G41" i="43"/>
  <c r="I41" i="43" s="1"/>
  <c r="G38" i="43"/>
  <c r="I38" i="43" s="1"/>
  <c r="E38" i="43"/>
  <c r="E39" i="43"/>
  <c r="G39" i="43"/>
  <c r="I39" i="43" s="1"/>
  <c r="E42" i="43"/>
  <c r="G42" i="43"/>
  <c r="I42" i="43" s="1"/>
  <c r="E37" i="43"/>
  <c r="G37" i="43"/>
  <c r="I37" i="43" s="1"/>
  <c r="AB34" i="34"/>
  <c r="T49" i="34" s="1"/>
  <c r="G49" i="34" s="1"/>
  <c r="U34" i="34"/>
  <c r="AA34" i="34"/>
  <c r="R49" i="34" s="1"/>
  <c r="S34" i="34"/>
  <c r="AC34" i="34"/>
  <c r="V49" i="34" s="1"/>
  <c r="I49" i="34" s="1"/>
  <c r="W34" i="34"/>
  <c r="R24" i="6"/>
  <c r="R11" i="1" s="1"/>
  <c r="C8" i="69"/>
  <c r="C5" i="69" s="1"/>
  <c r="C23" i="69" s="1"/>
  <c r="B29" i="1"/>
  <c r="F31" i="67"/>
  <c r="C6" i="67"/>
  <c r="AC33" i="33"/>
  <c r="V48" i="33" s="1"/>
  <c r="I48" i="33" s="1"/>
  <c r="I52" i="33" s="1"/>
  <c r="J52" i="33" s="1"/>
  <c r="W33" i="33"/>
  <c r="AA33" i="33"/>
  <c r="R48" i="33" s="1"/>
  <c r="E48" i="33" s="1"/>
  <c r="S33" i="33"/>
  <c r="AB33" i="33"/>
  <c r="U33" i="33"/>
  <c r="C22" i="11"/>
  <c r="C31" i="1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U16" i="71"/>
  <c r="M23" i="43"/>
  <c r="E49" i="34"/>
  <c r="I54" i="34" s="1"/>
  <c r="J54" i="34" s="1"/>
  <c r="R50" i="34"/>
  <c r="I53" i="34"/>
  <c r="J53" i="34" s="1"/>
  <c r="G53" i="34"/>
  <c r="H53" i="34" s="1"/>
  <c r="G54" i="34"/>
  <c r="H54" i="34" s="1"/>
  <c r="C8" i="68"/>
  <c r="C5" i="68" s="1"/>
  <c r="C23" i="68" s="1"/>
  <c r="C18" i="12"/>
  <c r="C21" i="12" s="1"/>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0" i="34"/>
  <c r="C49" i="34"/>
  <c r="E54" i="34"/>
  <c r="F54" i="34" s="1"/>
  <c r="E53" i="34"/>
  <c r="F53" i="34"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M21" i="67"/>
  <c r="B6" i="76"/>
  <c r="F35" i="15"/>
  <c r="B2" i="76" l="1"/>
  <c r="B3" i="76" s="1"/>
  <c r="B3" i="43"/>
  <c r="C25" i="68"/>
  <c r="C22" i="68" s="1"/>
  <c r="C31" i="68" s="1"/>
  <c r="C27" i="12"/>
  <c r="C25" i="12" s="1"/>
  <c r="C32" i="12" s="1"/>
  <c r="B2" i="12" s="1"/>
  <c r="B3" i="12" s="1"/>
  <c r="U36" i="33"/>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2" i="36"/>
  <c r="L51" i="15"/>
  <c r="D19" i="9"/>
  <c r="D2" i="37"/>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AO8" i="1"/>
  <c r="AO7" i="1"/>
  <c r="AO12" i="1"/>
  <c r="AO11" i="1"/>
  <c r="AO6" i="1"/>
  <c r="AO10" i="1"/>
  <c r="D35" i="9"/>
  <c r="AO9" i="1"/>
  <c r="D20" i="9"/>
  <c r="C19" i="9"/>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<sst xmlns="http://schemas.openxmlformats.org/spreadsheetml/2006/main" count="8449" uniqueCount="3540">
  <si>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</si>
  <si>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</si>
  <si>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</si>
  <si>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</si>
  <si>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</si>
  <si>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</si>
  <si>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</si>
  <si>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</si>
  <si>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</si>
  <si>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</si>
  <si>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</si>
  <si>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</si>
  <si>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</si>
  <si>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</si>
  <si>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</si>
  <si>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</si>
  <si>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</si>
  <si>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</si>
  <si>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</si>
  <si>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</si>
  <si>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</si>
  <si>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</si>
  <si>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</si>
  <si>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</si>
  <si>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</si>
  <si>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</si>
  <si>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</si>
  <si>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</si>
  <si>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</si>
  <si>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</si>
  <si>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</si>
  <si>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</si>
  <si>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</si>
  <si>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</si>
  <si>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</si>
  <si>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</si>
  <si>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</si>
  <si>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</si>
  <si>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</si>
  <si>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</si>
  <si>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</si>
  <si>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</si>
  <si>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</si>
  <si>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</si>
  <si>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</si>
  <si>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</si>
  <si>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</si>
  <si>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</si>
  <si>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</si>
  <si>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</si>
  <si>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</si>
  <si>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</si>
  <si>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</si>
  <si>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</si>
  <si>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</si>
  <si>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</si>
  <si>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</si>
  <si>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</si>
  <si>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</si>
  <si>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</si>
  <si>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</si>
  <si>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</si>
  <si>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</si>
  <si>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</si>
  <si>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</si>
  <si>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</si>
  <si>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</si>
  <si>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</si>
  <si>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</si>
  <si>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</si>
  <si>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</si>
  <si>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</si>
  <si>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</si>
  <si>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</si>
  <si>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</si>
  <si>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</si>
  <si>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</si>
  <si>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</si>
  <si>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</si>
  <si>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</si>
  <si>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</si>
  <si>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</si>
  <si>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</si>
  <si>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</si>
  <si>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</si>
  <si>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</si>
  <si>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</si>
  <si>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</si>
  <si>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</si>
  <si>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</si>
  <si>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</si>
  <si>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</si>
  <si>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</si>
  <si>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</si>
  <si>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</si>
  <si>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</si>
  <si>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</si>
  <si>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</si>
  <si>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</si>
  <si>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</si>
  <si>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</si>
  <si>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</si>
  <si>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</si>
  <si>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</si>
  <si>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</si>
  <si>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</si>
  <si>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</si>
  <si>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</si>
  <si>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</si>
  <si>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</si>
  <si>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</si>
  <si>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</si>
  <si>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</si>
  <si>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</si>
  <si>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</si>
  <si>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</si>
  <si>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</si>
  <si>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</si>
  <si>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</si>
  <si>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</si>
  <si>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</si>
  <si>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</si>
  <si>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</si>
  <si>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</si>
  <si>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</si>
  <si>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</si>
  <si>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</si>
  <si>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</si>
  <si>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</si>
  <si>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</si>
  <si>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</si>
  <si>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</si>
  <si>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</si>
  <si>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</si>
  <si>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</si>
  <si>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</si>
  <si>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</si>
  <si>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</si>
  <si>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</si>
  <si>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</si>
  <si>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</si>
  <si>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</si>
  <si>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</si>
  <si>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</si>
  <si>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</si>
  <si>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</si>
  <si>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</si>
  <si>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</si>
  <si>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</si>
  <si>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</si>
  <si>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</si>
  <si>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</si>
  <si>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</si>
  <si>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</si>
  <si>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</si>
  <si>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</si>
  <si>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</si>
  <si>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</si>
  <si>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</si>
  <si>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</si>
  <si>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</si>
  <si>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</si>
  <si>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</si>
  <si>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</si>
  <si>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</si>
  <si>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</si>
  <si>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</si>
  <si>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</si>
  <si>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</si>
  <si>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</si>
  <si>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</si>
  <si>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</si>
  <si>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</si>
  <si>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</si>
  <si>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</si>
  <si>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</si>
  <si>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</si>
  <si>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</si>
  <si>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</si>
  <si>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</si>
  <si>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</si>
  <si>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</si>
  <si>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</si>
  <si>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</si>
  <si>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</si>
  <si>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</si>
  <si>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</si>
  <si>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</si>
  <si>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</si>
  <si>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</si>
  <si>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</si>
  <si>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</si>
  <si>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</si>
  <si>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</si>
  <si>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</si>
  <si>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</si>
  <si>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</si>
  <si>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</si>
  <si>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</si>
  <si>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</si>
  <si>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</si>
  <si>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</si>
  <si>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</si>
  <si>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</si>
  <si>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</si>
  <si>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</si>
  <si>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</si>
  <si>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</si>
  <si>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</si>
  <si>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</si>
  <si>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</si>
  <si>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</si>
  <si>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</si>
  <si>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</si>
  <si>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</si>
  <si>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</si>
  <si>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</si>
  <si>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</si>
  <si>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</si>
  <si>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</si>
  <si>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</si>
  <si>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</si>
  <si>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</si>
  <si>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</si>
  <si>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</si>
  <si>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</si>
  <si>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</si>
  <si>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</si>
  <si>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</si>
  <si>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</si>
  <si>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</si>
  <si>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</si>
  <si>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</si>
  <si>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</si>
  <si>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</si>
  <si>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</si>
  <si>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</si>
  <si>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</si>
  <si>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</si>
  <si>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</si>
  <si>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</si>
  <si>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</si>
  <si>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</si>
  <si>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</si>
  <si>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</si>
  <si>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</si>
  <si>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</si>
  <si>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</si>
  <si>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</si>
  <si>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</si>
  <si>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</si>
  <si>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</si>
  <si>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</si>
  <si>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</si>
  <si>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</si>
  <si>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</si>
  <si>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</si>
  <si>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</si>
  <si>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</si>
  <si>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</si>
  <si>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</si>
  <si>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</si>
  <si>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</si>
  <si>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</si>
  <si>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</si>
  <si>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</si>
  <si>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</si>
  <si>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</si>
  <si>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</si>
  <si>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</si>
  <si>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</si>
  <si>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</si>
  <si>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</si>
  <si>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</si>
  <si>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</si>
  <si>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</si>
  <si>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</si>
  <si>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</si>
  <si>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</si>
  <si>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</si>
  <si>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</si>
  <si>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</si>
  <si>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</si>
  <si>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</si>
  <si>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</si>
  <si>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</si>
  <si>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</si>
  <si>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</si>
  <si>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</si>
  <si>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</si>
  <si>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</si>
  <si>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</si>
  <si>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</si>
  <si>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</si>
  <si>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</si>
  <si>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</si>
  <si>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</si>
  <si>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</si>
  <si>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</si>
  <si>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</si>
  <si>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</si>
  <si>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</si>
  <si>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</si>
  <si>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</si>
  <si>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</si>
  <si>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</si>
  <si>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</si>
  <si>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</si>
  <si>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</si>
  <si>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</si>
  <si>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</si>
  <si>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</si>
  <si>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</si>
  <si>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</si>
  <si>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</si>
  <si>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</si>
  <si>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</si>
  <si>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</si>
  <si>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</si>
  <si>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</si>
  <si>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</si>
  <si>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</si>
  <si>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</si>
  <si>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</si>
  <si>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</si>
  <si>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</si>
  <si>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</si>
  <si>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</si>
  <si>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</si>
  <si>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</si>
  <si>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</si>
  <si>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</si>
  <si>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</si>
  <si>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</si>
  <si>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</si>
  <si>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</si>
  <si>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</si>
  <si>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</si>
  <si>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</si>
  <si>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</si>
  <si>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</si>
  <si>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</si>
  <si>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</si>
  <si>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</si>
  <si>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</si>
  <si>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</si>
  <si>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</si>
  <si>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</si>
  <si>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</si>
  <si>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</si>
  <si>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</si>
  <si>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</si>
  <si>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</si>
  <si>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</si>
  <si>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</si>
  <si>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</si>
  <si>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</si>
  <si>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</si>
  <si>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</si>
  <si>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</si>
  <si>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</si>
  <si>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</si>
  <si>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</si>
  <si>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</si>
  <si>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</si>
  <si>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</si>
  <si>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</si>
  <si>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</si>
  <si>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</si>
  <si>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</si>
  <si>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</si>
  <si>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</si>
  <si>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</si>
  <si>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</si>
  <si>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</si>
  <si>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</si>
  <si>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</si>
  <si>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</si>
  <si>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</si>
  <si>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</si>
  <si>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</si>
  <si>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</si>
  <si>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</si>
  <si>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</si>
  <si>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</si>
  <si>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</si>
  <si>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</si>
  <si>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</si>
  <si>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</si>
  <si>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</si>
  <si>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</si>
  <si>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</si>
  <si>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</si>
  <si>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</si>
  <si>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</si>
  <si>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</si>
  <si>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</si>
  <si>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</si>
  <si>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</si>
  <si>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</si>
  <si>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</si>
  <si>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</si>
  <si>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</si>
  <si>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</si>
  <si>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</si>
  <si>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</si>
  <si>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</si>
  <si>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</si>
  <si>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</si>
  <si>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</si>
  <si>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</si>
  <si>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</si>
  <si>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</si>
  <si>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</si>
  <si>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</si>
  <si>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</si>
  <si>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</si>
  <si>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</si>
  <si>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</si>
  <si>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</si>
  <si>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</si>
  <si>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</si>
  <si>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</si>
  <si>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</si>
  <si>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</si>
  <si>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</si>
  <si>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</si>
  <si>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</si>
  <si>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</si>
  <si>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</si>
  <si>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</si>
  <si>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</si>
  <si>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</si>
  <si>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</si>
  <si>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</si>
  <si>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</si>
  <si>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</si>
  <si>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</si>
  <si>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</si>
  <si>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</si>
  <si>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</si>
  <si>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</si>
  <si>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</si>
  <si>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</si>
  <si>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</si>
  <si>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</si>
  <si>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</si>
  <si>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</si>
  <si>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</si>
  <si>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</si>
  <si>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</si>
  <si>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</si>
  <si>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</si>
  <si>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</si>
  <si>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</si>
  <si>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</si>
  <si>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</si>
  <si>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</si>
  <si>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</si>
  <si>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</si>
  <si>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</si>
  <si>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</si>
  <si>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</si>
  <si>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</si>
  <si>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</si>
  <si>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</si>
  <si>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</si>
  <si>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</si>
  <si>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</si>
  <si>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</si>
  <si>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</si>
  <si>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</si>
  <si>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</si>
  <si>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</si>
  <si>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</si>
  <si>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</si>
  <si>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</si>
  <si>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</si>
  <si>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</si>
  <si>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</si>
  <si>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</si>
  <si>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</si>
  <si>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</si>
  <si>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</si>
  <si>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</si>
  <si>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</si>
  <si>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</si>
  <si>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</si>
  <si>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</si>
  <si>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</si>
  <si>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</si>
  <si>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</si>
  <si>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</si>
  <si>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</si>
  <si>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</si>
  <si>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</si>
  <si>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</si>
  <si>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</si>
  <si>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</si>
  <si>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</si>
  <si>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</si>
  <si>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</si>
  <si>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</si>
  <si>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</si>
  <si>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</si>
  <si>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</si>
  <si>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</si>
  <si>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</si>
  <si>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</si>
  <si>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</si>
  <si>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</si>
  <si>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</si>
  <si>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</si>
  <si>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</si>
  <si>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</si>
  <si>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</si>
  <si>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</si>
  <si>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</si>
  <si>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</si>
  <si>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</si>
  <si>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</si>
  <si>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</si>
  <si>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</si>
  <si>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</si>
  <si>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</si>
  <si>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</si>
  <si>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</si>
  <si>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</si>
  <si>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</si>
  <si>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</si>
  <si>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</si>
  <si>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</si>
  <si>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</si>
  <si>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</si>
  <si>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</si>
  <si>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</si>
  <si>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</si>
  <si>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</si>
  <si>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</si>
  <si>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</si>
  <si>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</si>
  <si>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</si>
  <si>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</si>
  <si>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</si>
  <si>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</si>
  <si>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</si>
  <si>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</si>
  <si>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</si>
  <si>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</si>
  <si>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</si>
  <si>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</si>
  <si>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</si>
  <si>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</si>
  <si>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</si>
  <si>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</si>
  <si>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</si>
  <si>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</si>
  <si>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</si>
  <si>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</si>
  <si>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</si>
  <si>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</si>
  <si>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</si>
  <si>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</si>
  <si>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</si>
  <si>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</si>
  <si>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</si>
  <si>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</si>
  <si>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</si>
  <si>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</si>
  <si>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</si>
  <si>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</si>
  <si>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</si>
  <si>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</si>
  <si>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</si>
  <si>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</si>
  <si>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</si>
  <si>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</si>
  <si>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</si>
  <si>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</si>
  <si>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</si>
  <si>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</si>
  <si>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</si>
  <si>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</si>
  <si>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</si>
  <si>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</si>
  <si>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</si>
  <si>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</si>
  <si>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</si>
  <si>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</si>
  <si>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</si>
  <si>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</si>
  <si>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</si>
  <si>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</si>
  <si>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</si>
  <si>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</si>
  <si>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</si>
  <si>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</si>
  <si>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</si>
  <si>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</si>
  <si>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</si>
  <si>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</si>
  <si>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</si>
  <si>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</si>
  <si>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</si>
  <si>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</si>
  <si>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</si>
  <si>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</si>
  <si>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</si>
  <si>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</si>
  <si>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</si>
  <si>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</si>
  <si>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</si>
  <si>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</si>
  <si>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</si>
  <si>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</si>
  <si>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</si>
  <si>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</si>
  <si>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</si>
  <si>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</si>
  <si>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</si>
  <si>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</si>
  <si>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</si>
  <si>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</si>
  <si>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</si>
  <si>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</si>
  <si>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</si>
  <si>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</si>
  <si>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</si>
  <si>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</si>
  <si>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</si>
  <si>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</si>
  <si>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</si>
  <si>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</si>
  <si>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</si>
  <si>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</si>
  <si>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</si>
  <si>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</si>
  <si>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</si>
  <si>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</si>
  <si>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</si>
  <si>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</si>
  <si>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</si>
  <si>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</si>
  <si>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</si>
  <si>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</si>
  <si>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</si>
  <si>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</si>
  <si>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</si>
  <si>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</si>
  <si>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</si>
  <si>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</si>
  <si>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</si>
  <si>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</si>
  <si>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</si>
  <si>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</si>
  <si>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</si>
  <si>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</si>
  <si>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</si>
  <si>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</si>
  <si>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</si>
  <si>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</si>
  <si>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</si>
  <si>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</si>
  <si>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</si>
  <si>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</si>
  <si>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</si>
  <si>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</si>
  <si>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</si>
  <si>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</si>
  <si>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</si>
  <si>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</si>
  <si>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</si>
  <si>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</si>
  <si>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</si>
  <si>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</si>
  <si>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</si>
  <si>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</si>
  <si>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</si>
  <si>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</si>
  <si>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</si>
  <si>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</si>
  <si>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</si>
  <si>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</si>
  <si>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</si>
  <si>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</si>
  <si>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</si>
  <si>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</si>
  <si>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</si>
  <si>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</si>
  <si>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</si>
  <si>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</si>
  <si>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</si>
  <si>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</si>
  <si>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</si>
  <si>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</si>
  <si>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</si>
  <si>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</si>
  <si>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</si>
  <si>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</si>
  <si>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</si>
  <si>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</si>
  <si>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</si>
  <si>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</si>
  <si>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</si>
  <si>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</si>
  <si>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</si>
  <si>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</si>
  <si>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</si>
  <si>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</si>
  <si>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</si>
  <si>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</si>
  <si>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</si>
  <si>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</si>
  <si>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</si>
  <si>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</si>
  <si>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</si>
  <si>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</si>
  <si>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</si>
  <si>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</si>
  <si>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</si>
  <si>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</si>
  <si>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</si>
  <si>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</si>
  <si>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</si>
  <si>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</si>
  <si>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</si>
  <si>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</si>
  <si>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</si>
  <si>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</si>
  <si>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</si>
  <si>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</si>
  <si>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</si>
  <si>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</si>
  <si>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</si>
  <si>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</si>
  <si>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</si>
  <si>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</si>
  <si>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</si>
  <si>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</si>
  <si>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</si>
  <si>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</si>
  <si>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</si>
  <si>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</si>
  <si>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</si>
  <si>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</si>
  <si>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</si>
  <si>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</si>
  <si>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</si>
  <si>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</si>
  <si>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</si>
  <si>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</si>
  <si>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</si>
  <si>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</si>
  <si>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</si>
  <si>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</si>
  <si>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</si>
  <si>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</si>
  <si>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</si>
  <si>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</si>
  <si>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</si>
  <si>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</si>
  <si>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</si>
  <si>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</si>
  <si>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</si>
  <si>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</si>
  <si>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</si>
  <si>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</si>
  <si>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</si>
  <si>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</si>
  <si>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</si>
  <si>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</si>
  <si>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</si>
  <si>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</si>
  <si>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</si>
  <si>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</si>
  <si>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</si>
  <si>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</si>
  <si>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</si>
  <si>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</si>
  <si>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</si>
  <si>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</si>
  <si>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</si>
  <si>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</si>
  <si>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</si>
  <si>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</si>
  <si>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</si>
  <si>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</si>
  <si>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</si>
  <si>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</si>
  <si>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</si>
  <si>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</si>
  <si>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</si>
  <si>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</si>
  <si>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</si>
  <si>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</si>
  <si>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</si>
  <si>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</si>
  <si>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</si>
  <si>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</si>
  <si>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</si>
  <si>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</si>
  <si>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</si>
  <si>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</si>
  <si>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</si>
  <si>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</si>
  <si>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</si>
  <si>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</si>
  <si>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</si>
  <si>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</si>
  <si>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</si>
  <si>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</si>
  <si>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</si>
  <si>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</si>
  <si>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</si>
  <si>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</si>
  <si>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</si>
  <si>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</si>
  <si>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</si>
  <si>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</si>
  <si>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</si>
  <si>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</si>
  <si>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</si>
  <si>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</si>
  <si>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</si>
  <si>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</si>
  <si>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</si>
  <si>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</si>
  <si>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</si>
  <si>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</si>
  <si>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</si>
  <si>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</si>
  <si>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</si>
  <si>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</si>
  <si>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</si>
  <si>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</si>
  <si>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</si>
  <si>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</si>
  <si>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</si>
  <si>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</si>
  <si>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</si>
  <si>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</si>
  <si>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</si>
  <si>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</si>
  <si>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</si>
  <si>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</si>
  <si>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</si>
  <si>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</si>
  <si>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</si>
  <si>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</si>
  <si>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</si>
  <si>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</si>
  <si>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</si>
  <si>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</si>
  <si>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</si>
  <si>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</si>
  <si>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</si>
  <si>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</si>
  <si>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</si>
  <si>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</si>
  <si>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</si>
  <si>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</si>
  <si>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</si>
  <si>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</si>
  <si>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</si>
  <si>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</si>
  <si>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</si>
  <si>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</si>
  <si>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</si>
  <si>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</si>
  <si>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</si>
  <si>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</si>
  <si>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</si>
  <si>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</si>
  <si>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</si>
  <si>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</si>
  <si>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</si>
  <si>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</si>
  <si>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</si>
  <si>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</si>
  <si>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</si>
  <si>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</si>
  <si>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</si>
  <si>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</si>
  <si>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</si>
  <si>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</si>
  <si>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</si>
  <si>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</si>
  <si>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</si>
  <si>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</si>
  <si>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</si>
  <si>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</si>
  <si>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</si>
  <si>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</si>
  <si>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</si>
  <si>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</si>
  <si>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</si>
  <si>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</si>
  <si>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</si>
  <si>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</si>
  <si>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</si>
  <si>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</si>
  <si>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</si>
  <si>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</si>
  <si>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</si>
  <si>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</si>
  <si>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</si>
  <si>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</si>
  <si>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</si>
  <si>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</si>
  <si>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</si>
  <si>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</si>
  <si>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</si>
  <si>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</si>
  <si>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</si>
  <si>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</si>
  <si>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</si>
  <si>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</si>
  <si>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</si>
  <si>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</si>
  <si>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</si>
  <si>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</si>
  <si>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</si>
  <si>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</si>
  <si>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</si>
  <si>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</si>
  <si>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</si>
  <si>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</si>
  <si>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</si>
  <si>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</si>
  <si>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</si>
  <si>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</si>
  <si>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</si>
  <si>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</si>
  <si>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</si>
  <si>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</si>
  <si>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</si>
  <si>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</si>
  <si>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</si>
  <si>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</si>
  <si>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</si>
  <si>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</si>
  <si>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</si>
  <si>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</si>
  <si>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</si>
  <si>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</si>
  <si>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</si>
  <si>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</si>
  <si>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</si>
  <si>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</si>
  <si>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</si>
  <si>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</si>
  <si>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</si>
  <si>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</si>
  <si>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</si>
  <si>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</si>
  <si>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</si>
  <si>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</si>
  <si>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</si>
  <si>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</si>
  <si>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</si>
  <si>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</si>
  <si>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</si>
  <si>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</si>
  <si>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</si>
  <si>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</si>
  <si>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</si>
  <si>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</si>
  <si>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</si>
  <si>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</si>
  <si>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</si>
  <si>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</si>
  <si>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</si>
  <si>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</si>
  <si>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</si>
  <si>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</si>
  <si>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</si>
  <si>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</si>
  <si>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</si>
  <si>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</si>
  <si>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</si>
  <si>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</si>
  <si>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</si>
  <si>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</si>
  <si>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</si>
  <si>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</si>
  <si>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</si>
  <si>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</si>
  <si>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</si>
  <si>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</si>
  <si>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</si>
  <si>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</si>
  <si>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</si>
  <si>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</si>
  <si>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</si>
  <si>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</si>
  <si>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</si>
  <si>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</si>
  <si>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</si>
  <si>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</si>
  <si>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</si>
  <si>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</si>
  <si>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</si>
  <si>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</si>
  <si>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</si>
  <si>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</si>
  <si>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</si>
  <si>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</si>
  <si>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</si>
  <si>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</si>
  <si>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</si>
  <si>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</si>
  <si>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</si>
  <si>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</si>
  <si>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</si>
  <si>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</si>
  <si>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</si>
  <si>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</si>
  <si>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</si>
  <si>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</si>
  <si>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</si>
  <si>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</si>
  <si>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</si>
  <si>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</si>
  <si>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</si>
  <si>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</si>
  <si>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</si>
  <si>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</si>
  <si>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</si>
  <si>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</si>
  <si>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</si>
  <si>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</si>
  <si>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</si>
  <si>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</si>
  <si>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</si>
  <si>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</si>
  <si>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</si>
  <si>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</si>
  <si>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</si>
  <si>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</si>
  <si>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</si>
  <si>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</si>
  <si>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</si>
  <si>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</si>
  <si>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</si>
  <si>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</si>
  <si>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</si>
  <si>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</si>
  <si>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</si>
  <si>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</si>
  <si>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</si>
  <si>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</si>
  <si>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</si>
  <si>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</si>
  <si>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</si>
  <si>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</si>
  <si>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</si>
  <si>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</si>
  <si>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</si>
  <si>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</si>
  <si>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</si>
  <si>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</si>
  <si>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</si>
  <si>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</si>
  <si>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</si>
  <si>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</si>
  <si>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</si>
  <si>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</si>
  <si>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</si>
  <si>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</si>
  <si>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</si>
  <si>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</si>
  <si>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</si>
  <si>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</si>
  <si>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</si>
  <si>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</si>
  <si>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</si>
  <si>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</si>
  <si>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</si>
  <si>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</si>
  <si>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</si>
  <si>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</si>
  <si>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</si>
  <si>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</si>
  <si>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</si>
  <si>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</si>
  <si>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</si>
  <si>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</si>
  <si>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</si>
  <si>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</si>
  <si>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</si>
  <si>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</si>
  <si>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</si>
  <si>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</si>
  <si>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</si>
  <si>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</si>
  <si>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</si>
  <si>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</si>
  <si>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</si>
  <si>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</si>
  <si>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</si>
  <si>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</si>
  <si>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</si>
  <si>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</si>
  <si>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</si>
  <si>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</si>
  <si>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</si>
  <si>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</si>
  <si>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</si>
  <si>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</si>
  <si>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</si>
  <si>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</si>
  <si>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</si>
  <si>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</si>
  <si>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</si>
  <si>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</si>
  <si>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</si>
  <si>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</si>
  <si>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</si>
  <si>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</si>
  <si>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</si>
  <si>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</si>
  <si>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</si>
  <si>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</si>
  <si>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</si>
  <si>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</si>
  <si>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</si>
  <si>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</si>
  <si>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</si>
  <si>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</si>
  <si>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</si>
  <si>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</si>
  <si>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</si>
  <si>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</si>
  <si>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</si>
  <si>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</si>
  <si>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</si>
  <si>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</si>
  <si>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</si>
  <si>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</si>
  <si>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</si>
  <si>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</si>
  <si>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</si>
  <si>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</si>
  <si>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</si>
  <si>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</si>
  <si>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</si>
  <si>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</si>
  <si>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</si>
  <si>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</si>
  <si>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</si>
  <si>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</si>
  <si>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</si>
  <si>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</si>
  <si>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</si>
  <si>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</si>
  <si>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</si>
  <si>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</si>
  <si>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</si>
  <si>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</si>
  <si>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</si>
  <si>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</si>
  <si>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</si>
  <si>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</si>
  <si>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</si>
  <si>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</si>
  <si>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</si>
  <si>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</si>
  <si>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</si>
  <si>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</si>
  <si>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</si>
  <si>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</si>
  <si>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</si>
  <si>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</si>
  <si>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</si>
  <si>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</si>
  <si>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</si>
  <si>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</si>
  <si>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</si>
  <si>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</si>
  <si>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</si>
  <si>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</si>
  <si>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</si>
  <si>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</si>
  <si>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</si>
  <si>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</si>
  <si>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</si>
  <si>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</si>
  <si>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</si>
  <si>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</si>
  <si>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</si>
  <si>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</si>
  <si>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</si>
  <si>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</si>
  <si>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</si>
  <si>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</si>
  <si>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</si>
  <si>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</si>
  <si>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</si>
  <si>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</si>
  <si>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</si>
  <si>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</si>
  <si>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</si>
  <si>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</si>
  <si>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</si>
  <si>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</si>
  <si>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</si>
  <si>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</si>
  <si>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</si>
  <si>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</si>
  <si>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</si>
  <si>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</si>
  <si>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</si>
  <si>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</si>
  <si>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</si>
  <si>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</si>
  <si>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</si>
  <si>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</si>
  <si>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</si>
  <si>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</si>
  <si>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</si>
  <si>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</si>
  <si>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</si>
  <si>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</si>
  <si>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</si>
  <si>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</si>
  <si>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</si>
  <si>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</si>
  <si>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</si>
  <si>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</si>
  <si>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</si>
  <si>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</si>
  <si>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</si>
  <si>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</si>
  <si>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</si>
  <si>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</si>
  <si>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</si>
  <si>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</si>
  <si>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</si>
  <si>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</si>
  <si>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</si>
  <si>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</si>
  <si>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</si>
  <si>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</si>
  <si>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</si>
  <si>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</si>
  <si>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</si>
  <si>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</si>
  <si>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</si>
  <si>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</si>
  <si>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</si>
  <si>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</si>
  <si>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</si>
  <si>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</si>
  <si>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</si>
  <si>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</si>
  <si>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</si>
  <si>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</si>
  <si>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</si>
  <si>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</si>
  <si>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</si>
  <si>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</si>
  <si>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</si>
  <si>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</si>
  <si>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</si>
  <si>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</si>
  <si>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</si>
  <si>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</si>
  <si>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</si>
  <si>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</si>
  <si>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</si>
  <si>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</si>
  <si>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</si>
  <si>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</si>
  <si>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</si>
  <si>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</si>
  <si>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</si>
  <si>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</si>
  <si>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</si>
  <si>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</si>
  <si>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</si>
  <si>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</si>
  <si>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</si>
  <si>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</si>
  <si>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</si>
  <si>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</si>
  <si>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</si>
  <si>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</si>
  <si>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</si>
  <si>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</si>
  <si>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</si>
  <si>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</si>
  <si>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</si>
  <si>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</si>
  <si>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</si>
  <si>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</si>
  <si>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</si>
  <si>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</si>
  <si>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</si>
  <si>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</si>
  <si>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</si>
  <si>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</si>
  <si>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</si>
  <si>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</si>
  <si>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</si>
  <si>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</si>
  <si>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</si>
  <si>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</si>
  <si>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</si>
  <si>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</si>
  <si>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</si>
  <si>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</si>
  <si>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</si>
  <si>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</si>
  <si>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</si>
  <si>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</si>
  <si>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</si>
  <si>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</si>
  <si>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</si>
  <si>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</si>
  <si>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</si>
  <si>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</si>
  <si>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</si>
  <si>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</si>
  <si>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</si>
  <si>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</si>
  <si>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</si>
  <si>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</si>
  <si>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</si>
  <si>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</si>
  <si>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</si>
  <si>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</si>
  <si>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</si>
  <si>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</si>
  <si>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</si>
  <si>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</si>
  <si>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</si>
  <si>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</si>
  <si>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</si>
  <si>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</si>
  <si>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</si>
  <si>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</si>
  <si>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</si>
  <si>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</si>
  <si>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</si>
  <si>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</si>
  <si>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</si>
  <si>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</si>
  <si>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</si>
  <si>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</si>
  <si>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</si>
  <si>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</si>
  <si>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</si>
  <si>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</si>
  <si>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</si>
  <si>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</si>
  <si>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</si>
  <si>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</si>
  <si>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</si>
  <si>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</si>
  <si>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</si>
  <si>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</si>
  <si>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</si>
  <si>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</si>
  <si>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</si>
  <si>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</si>
  <si>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</si>
  <si>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</si>
  <si>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</si>
  <si>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</si>
  <si>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</si>
  <si>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</si>
  <si>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</si>
  <si>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</si>
  <si>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</si>
  <si>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</si>
  <si>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</si>
  <si>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</si>
  <si>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</si>
  <si>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</si>
  <si>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</si>
  <si>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</si>
  <si>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</si>
  <si>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</si>
  <si>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</si>
  <si>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</si>
  <si>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</si>
  <si>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</si>
  <si>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</si>
  <si>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</si>
  <si>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</si>
  <si>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</si>
  <si>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</si>
  <si>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</si>
  <si>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</si>
  <si>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</si>
  <si>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</si>
  <si>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</si>
  <si>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</si>
  <si>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</si>
  <si>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</si>
  <si>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</si>
  <si>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</si>
  <si>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</si>
  <si>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</si>
  <si>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</si>
  <si>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</si>
  <si>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</si>
  <si>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</si>
  <si>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</si>
  <si>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</si>
  <si>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</si>
  <si>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</si>
  <si>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</si>
  <si>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</si>
  <si>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</si>
  <si>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</si>
  <si>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</si>
  <si>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</si>
  <si>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</si>
  <si>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</si>
  <si>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</si>
  <si>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</si>
  <si>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</si>
  <si>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</si>
  <si>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</si>
  <si>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</si>
  <si>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</si>
  <si>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</si>
  <si>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</si>
  <si>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</si>
  <si>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</si>
  <si>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</si>
  <si>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</si>
  <si>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</si>
  <si>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</si>
  <si>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</si>
  <si>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</si>
  <si>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</si>
  <si>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</si>
  <si>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</si>
  <si>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</si>
  <si>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</si>
  <si>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</si>
  <si>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</si>
  <si>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</si>
  <si>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</si>
  <si>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</si>
  <si>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</si>
  <si>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</si>
  <si>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</si>
  <si>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</si>
  <si>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</si>
  <si>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</si>
  <si>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</si>
  <si>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</si>
  <si>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</si>
  <si>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</si>
  <si>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</si>
  <si>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</si>
  <si>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</si>
  <si>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</si>
  <si>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</si>
  <si>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</si>
  <si>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</si>
  <si>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</si>
  <si>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</si>
  <si>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</si>
  <si>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</si>
  <si>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</si>
  <si>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</si>
  <si>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</si>
  <si>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</si>
  <si>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</si>
  <si>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</si>
  <si>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</si>
  <si>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</si>
  <si>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</si>
  <si>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</si>
  <si>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</si>
  <si>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</si>
  <si>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</si>
  <si>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</si>
  <si>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</si>
  <si>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</si>
  <si>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</si>
  <si>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</si>
  <si>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</si>
  <si>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</si>
  <si>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</si>
  <si>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</si>
  <si>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</si>
  <si>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</si>
  <si>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</si>
  <si>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</si>
  <si>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</si>
  <si>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</si>
  <si>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</si>
  <si>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</si>
  <si>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</si>
  <si>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</si>
  <si>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</si>
  <si>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</si>
  <si>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</si>
  <si>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</si>
  <si>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</si>
  <si>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</si>
  <si>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</si>
  <si>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</si>
  <si>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</si>
  <si>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</si>
  <si>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</si>
  <si>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</si>
  <si>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</si>
  <si>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</si>
  <si>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</si>
  <si>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</si>
  <si>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</si>
  <si>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</si>
  <si>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</si>
  <si>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</si>
  <si>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</si>
  <si>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</si>
  <si>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</si>
  <si>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</si>
  <si>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</si>
  <si>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</si>
  <si>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</si>
  <si>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</si>
  <si>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</si>
  <si>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</si>
  <si>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</si>
  <si>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</si>
  <si>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</si>
  <si>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</si>
  <si>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</si>
  <si>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</si>
  <si>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</si>
  <si>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</si>
  <si>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</si>
  <si>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</si>
  <si>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</si>
  <si>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</si>
  <si>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</si>
  <si>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</si>
  <si>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</si>
  <si>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</si>
  <si>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</si>
  <si>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</si>
  <si>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</si>
  <si>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</si>
  <si>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</si>
  <si>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</si>
  <si>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</si>
  <si>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</si>
  <si>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</si>
  <si>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</si>
  <si>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</si>
  <si>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</si>
  <si>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</si>
  <si>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</si>
  <si>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</si>
  <si>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</si>
  <si>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</si>
  <si>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</si>
  <si>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</si>
  <si>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</si>
  <si>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</si>
  <si>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</si>
  <si>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</si>
  <si>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</si>
  <si>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</si>
  <si>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</si>
  <si>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</si>
  <si>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</si>
  <si>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</si>
  <si>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</si>
  <si>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</si>
  <si>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</si>
  <si>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</si>
  <si>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</si>
  <si>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</si>
  <si>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</si>
  <si>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</si>
  <si>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</si>
  <si>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</si>
  <si>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</si>
  <si>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</si>
  <si>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</si>
  <si>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</si>
  <si>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</si>
  <si>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</si>
  <si>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</si>
  <si>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</si>
  <si>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</si>
  <si>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</si>
  <si>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</si>
  <si>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</si>
  <si>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</si>
  <si>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</si>
  <si>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</si>
  <si>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</si>
  <si>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</si>
  <si>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</si>
  <si>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</si>
  <si>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</si>
  <si>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</si>
  <si>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</si>
  <si>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</si>
  <si>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</si>
  <si>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</si>
  <si>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</si>
  <si>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</si>
  <si>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</si>
  <si>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</si>
  <si>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</si>
  <si>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</si>
  <si>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</si>
  <si>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</si>
  <si>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</si>
  <si>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</si>
  <si>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</si>
  <si>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</si>
  <si>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</si>
  <si>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</si>
  <si>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</si>
  <si>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</si>
  <si>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</si>
  <si>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</si>
  <si>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</si>
  <si>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</si>
  <si>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</si>
  <si>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</si>
  <si>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</si>
  <si>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</si>
  <si>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</si>
  <si>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</si>
  <si>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</si>
  <si>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</si>
  <si>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</si>
  <si>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</si>
  <si>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</si>
  <si>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</si>
  <si>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</si>
  <si>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</si>
  <si>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</si>
  <si>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</si>
  <si>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</si>
  <si>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</si>
  <si>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</si>
  <si>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</si>
  <si>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</si>
  <si>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</si>
  <si>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</si>
  <si>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</si>
  <si>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</si>
  <si>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</si>
  <si>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</si>
  <si>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</si>
  <si>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</si>
  <si>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</si>
  <si>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</si>
  <si>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</si>
  <si>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</si>
  <si>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</si>
  <si>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</si>
  <si>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</si>
  <si>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</si>
  <si>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</si>
  <si>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</si>
  <si>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</si>
  <si>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</si>
  <si>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</si>
  <si>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</si>
  <si>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</si>
  <si>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</si>
  <si>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</si>
  <si>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</si>
  <si>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</si>
  <si>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</si>
  <si>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</si>
  <si>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</si>
  <si>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</si>
  <si>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</si>
  <si>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</si>
  <si>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</si>
  <si>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</si>
  <si>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</si>
  <si>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</si>
  <si>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</si>
  <si>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</si>
  <si>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</si>
  <si>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</si>
  <si>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</si>
  <si>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</si>
  <si>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</si>
  <si>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</si>
  <si>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</si>
  <si>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</si>
  <si>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</si>
  <si>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</si>
  <si>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</si>
  <si>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</si>
  <si>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</si>
  <si>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</si>
  <si>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</si>
  <si>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</si>
  <si>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</si>
  <si>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</si>
  <si>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</si>
  <si>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</si>
  <si>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</si>
  <si>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</si>
  <si>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</si>
  <si>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</si>
  <si>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</si>
  <si>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</si>
  <si>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</si>
  <si>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</si>
  <si>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</si>
  <si>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</si>
  <si>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</si>
  <si>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</si>
  <si>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</si>
  <si>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</si>
  <si>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</si>
  <si>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</si>
  <si>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</si>
  <si>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</si>
  <si>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</si>
  <si>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</si>
  <si>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</si>
  <si>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</si>
  <si>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</si>
  <si>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</si>
  <si>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</si>
  <si>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</si>
  <si>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</si>
  <si>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</si>
  <si>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</si>
  <si>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</si>
  <si>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</si>
  <si>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</si>
  <si>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</si>
  <si>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</si>
  <si>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</si>
  <si>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</si>
  <si>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</si>
  <si>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</si>
  <si>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</si>
  <si>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</si>
  <si>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</si>
  <si>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</si>
  <si>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</si>
  <si>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</si>
  <si>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</si>
  <si>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</si>
  <si>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</si>
  <si>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</si>
  <si>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</si>
  <si>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</si>
  <si>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</si>
  <si>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</si>
  <si>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</si>
  <si>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</si>
  <si>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</si>
  <si>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</si>
  <si>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</si>
  <si>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</si>
  <si>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</si>
  <si>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</si>
  <si>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</si>
  <si>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</si>
  <si>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</si>
  <si>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</si>
  <si>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</si>
  <si>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</si>
  <si>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</si>
  <si>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</si>
  <si>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</si>
  <si>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</si>
  <si>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</si>
  <si>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</si>
  <si>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</si>
  <si>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</si>
  <si>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</si>
  <si>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</si>
  <si>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</si>
  <si>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</si>
  <si>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</si>
  <si>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</si>
  <si>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</si>
  <si>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</si>
  <si>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</si>
  <si>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</si>
  <si>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</si>
  <si>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</si>
  <si>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</si>
  <si>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</si>
  <si>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</si>
  <si>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</si>
  <si>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</si>
  <si>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</si>
  <si>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</si>
  <si>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</si>
  <si>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</si>
  <si>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</si>
  <si>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</si>
  <si>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</si>
  <si>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</si>
  <si>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</si>
  <si>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</si>
  <si>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</si>
  <si>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</si>
  <si>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</si>
  <si>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</si>
  <si>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</si>
  <si>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</si>
  <si>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</si>
  <si>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</si>
  <si>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</si>
  <si>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</si>
  <si>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</si>
  <si>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</si>
  <si>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</si>
  <si>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</si>
  <si>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</si>
  <si>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</si>
  <si>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</si>
  <si>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</si>
  <si>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</si>
  <si>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</si>
  <si>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</si>
  <si>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</si>
  <si>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</si>
  <si>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</si>
  <si>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</si>
  <si>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</si>
  <si>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</si>
  <si>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</si>
  <si>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</si>
  <si>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</si>
  <si>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</si>
  <si>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</si>
  <si>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</si>
  <si>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</si>
  <si>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</si>
  <si>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</si>
  <si>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</si>
  <si>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</si>
  <si>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</si>
  <si>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</si>
  <si>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</si>
  <si>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</si>
  <si>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</si>
  <si>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</si>
  <si>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</si>
  <si>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</si>
  <si>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</si>
  <si>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</si>
  <si>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</si>
  <si>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</si>
  <si>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</si>
  <si>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</si>
  <si>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</si>
  <si>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</si>
  <si>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</si>
  <si>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</si>
  <si>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</si>
  <si>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</si>
  <si>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</si>
  <si>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</si>
  <si>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</si>
  <si>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</si>
  <si>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</si>
  <si>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</si>
  <si>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</si>
  <si>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</si>
  <si>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</si>
  <si>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</si>
  <si>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</si>
  <si>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</si>
  <si>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</si>
  <si>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</si>
  <si>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</si>
  <si>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</si>
  <si>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</si>
  <si>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</si>
  <si>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</si>
  <si>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</si>
  <si>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</si>
  <si>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</si>
  <si>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</si>
  <si>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</si>
  <si>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</si>
  <si>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</si>
  <si>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</si>
  <si>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</si>
  <si>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</si>
  <si>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</si>
  <si>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</si>
  <si>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</si>
  <si>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</si>
  <si>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</si>
  <si>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</si>
  <si>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</si>
  <si>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</si>
  <si>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</si>
  <si>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</si>
  <si>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</si>
  <si>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</si>
  <si>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</si>
  <si>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</si>
  <si>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</si>
  <si>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</si>
  <si>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</si>
  <si>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</si>
  <si>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</si>
  <si>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</si>
  <si>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</si>
  <si>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</si>
  <si>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</si>
  <si>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</si>
  <si>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</si>
  <si>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</si>
  <si>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</si>
  <si>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</si>
  <si>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</si>
  <si>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</si>
  <si>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</si>
  <si>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</si>
  <si>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</si>
  <si>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</si>
  <si>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</si>
  <si>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</si>
  <si>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</si>
  <si>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</si>
  <si>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</si>
  <si>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</si>
  <si>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</si>
  <si>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</si>
  <si>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</si>
  <si>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</si>
  <si>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</si>
  <si>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</si>
  <si>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</si>
  <si>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</si>
  <si>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</si>
  <si>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</si>
  <si>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</si>
  <si>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</si>
  <si>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</si>
  <si>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</si>
  <si>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</si>
  <si>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</si>
  <si>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</si>
  <si>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</si>
  <si>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</si>
  <si>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</si>
  <si>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</si>
  <si>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</si>
  <si>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</si>
  <si>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</si>
  <si>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</si>
  <si>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</si>
  <si>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</si>
  <si>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</si>
  <si>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</si>
  <si>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</si>
  <si>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</si>
  <si>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</si>
  <si>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</si>
  <si>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</si>
  <si>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</si>
  <si>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</si>
  <si>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</si>
  <si>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</si>
  <si>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</si>
  <si>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</si>
  <si>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</si>
  <si>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</si>
  <si>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</si>
  <si>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</si>
  <si>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</si>
  <si>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</si>
  <si>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</si>
  <si>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</si>
  <si>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</si>
  <si>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</si>
  <si>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</si>
  <si>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</si>
  <si>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</si>
  <si>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</si>
  <si>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</si>
  <si>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</si>
  <si>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</si>
  <si>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</si>
  <si>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</si>
  <si>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</si>
  <si>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</si>
  <si>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</si>
  <si>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</si>
  <si>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</si>
  <si>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</si>
  <si>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</si>
  <si>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</si>
  <si>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</si>
  <si>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</si>
  <si>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</si>
  <si>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</si>
  <si>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</si>
  <si>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</si>
  <si>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</si>
  <si>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</si>
  <si>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</si>
  <si>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</si>
  <si>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</si>
  <si>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</si>
  <si>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</si>
  <si>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</si>
  <si>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</si>
  <si>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</si>
  <si>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</si>
  <si>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</si>
  <si>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</si>
  <si>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</si>
  <si>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</si>
  <si>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</si>
  <si>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</si>
  <si>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</si>
  <si>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</si>
  <si>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</si>
  <si>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</si>
  <si>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</si>
  <si>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</si>
  <si>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</si>
  <si>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</si>
  <si>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</si>
  <si>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</si>
  <si>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</si>
  <si>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</si>
  <si>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</si>
  <si>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</si>
  <si>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</si>
  <si>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</si>
  <si>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</si>
  <si>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</si>
  <si>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</si>
  <si>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</si>
  <si>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</si>
  <si>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</si>
  <si>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</si>
  <si>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</si>
  <si>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</si>
  <si>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</si>
  <si>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</si>
  <si>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</si>
  <si>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</si>
  <si>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</si>
  <si>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</si>
  <si>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</si>
  <si>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</si>
  <si>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</si>
  <si>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</si>
  <si>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</si>
  <si>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</si>
  <si>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</si>
  <si>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</si>
  <si>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</si>
  <si>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</si>
  <si>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</si>
  <si>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</si>
  <si>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</si>
  <si>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</si>
  <si>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</si>
  <si>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</si>
  <si>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</si>
  <si>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</si>
  <si>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</si>
  <si>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</si>
  <si>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</si>
  <si>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</si>
  <si>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</si>
  <si>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</si>
  <si>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</si>
  <si>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</si>
  <si>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</si>
  <si>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</si>
  <si>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</si>
  <si>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</si>
  <si>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</si>
  <si>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</si>
  <si>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</si>
  <si>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</si>
  <si>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</si>
  <si>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</si>
  <si>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</si>
  <si>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</si>
  <si>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</si>
  <si>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</si>
  <si>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</si>
  <si>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</si>
  <si>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</si>
  <si>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</si>
  <si>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</si>
  <si>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</si>
  <si>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</si>
  <si>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</si>
  <si>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</si>
  <si>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</si>
  <si>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</si>
  <si>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</si>
  <si>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</si>
  <si>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</si>
  <si>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</si>
  <si>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</si>
  <si>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</si>
  <si>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</si>
  <si>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</si>
  <si>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</si>
  <si>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</si>
  <si>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</si>
  <si>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</si>
  <si>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</si>
  <si>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</si>
  <si>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</si>
  <si>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</si>
  <si>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</si>
  <si>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</si>
  <si>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</si>
  <si>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</si>
  <si>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</si>
  <si>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</si>
  <si>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</si>
  <si>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</si>
  <si>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</si>
  <si>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</si>
  <si>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</si>
  <si>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</si>
  <si>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</si>
  <si>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</si>
  <si>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</si>
  <si>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</si>
  <si>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</si>
  <si>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</si>
  <si>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</si>
  <si>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</si>
  <si>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</si>
  <si>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</si>
  <si>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</si>
  <si>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</si>
  <si>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</si>
  <si>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</si>
  <si>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</si>
  <si>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</si>
  <si>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</si>
  <si>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</si>
  <si>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</si>
  <si>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</si>
  <si>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</si>
  <si>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</si>
  <si>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</si>
  <si>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</si>
  <si>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</si>
  <si>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</si>
  <si>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</si>
  <si>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</si>
  <si>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</si>
  <si>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</si>
  <si>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</si>
  <si>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</si>
  <si>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</si>
  <si>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</si>
  <si>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</si>
  <si>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</si>
  <si>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</si>
  <si>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</si>
  <si>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</si>
  <si>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</si>
  <si>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</si>
  <si>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</si>
  <si>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</si>
  <si>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</si>
  <si>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</si>
  <si>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</si>
  <si>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</si>
  <si>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</si>
  <si>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</si>
  <si>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</si>
  <si>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</si>
  <si>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</si>
  <si>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</si>
  <si>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</si>
  <si>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</si>
  <si>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</si>
  <si>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</si>
  <si>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</si>
  <si>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</si>
  <si>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</si>
  <si>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</si>
  <si>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</si>
  <si>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</si>
  <si>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</si>
  <si>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</si>
  <si>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</si>
  <si>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</si>
  <si>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</si>
  <si>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</si>
  <si>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</si>
  <si>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</si>
  <si>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</si>
  <si>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</si>
  <si>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</si>
  <si>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</si>
  <si>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</si>
  <si>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</si>
  <si>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</si>
  <si>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</si>
  <si>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</si>
  <si>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</si>
  <si>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</si>
  <si>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</si>
  <si>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</si>
  <si>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</si>
  <si>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</si>
  <si>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</si>
  <si>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</si>
  <si>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</si>
  <si>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</si>
  <si>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</si>
  <si>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</si>
  <si>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</si>
  <si>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</si>
  <si>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</si>
  <si>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</si>
  <si>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</si>
  <si>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</si>
  <si>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</si>
  <si>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</si>
  <si>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</si>
  <si>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</si>
  <si>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</si>
  <si>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</si>
  <si>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</si>
  <si>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</si>
  <si>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</si>
  <si>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</si>
  <si>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</si>
  <si>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</si>
  <si>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</si>
  <si>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</si>
  <si>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</si>
  <si>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</si>
  <si>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</si>
  <si>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</si>
  <si>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</si>
  <si>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</si>
  <si>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</si>
  <si>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</si>
  <si>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</si>
  <si>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</si>
  <si>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</si>
  <si>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</si>
  <si>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</si>
  <si>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</si>
  <si>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</si>
  <si>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</si>
  <si>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</si>
  <si>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</si>
  <si>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</si>
  <si>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</si>
  <si>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</si>
  <si>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</si>
  <si>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</si>
  <si>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</si>
  <si>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</si>
  <si>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</si>
  <si>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</si>
  <si>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</si>
  <si>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</si>
  <si>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</si>
  <si>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</si>
  <si>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</si>
  <si>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</si>
  <si>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</si>
  <si>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</si>
  <si>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</si>
  <si>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</si>
  <si>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</si>
  <si>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</si>
  <si>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</si>
  <si>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</si>
  <si>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</si>
  <si>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</si>
  <si>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</si>
  <si>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</si>
  <si>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</si>
  <si>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</si>
  <si>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</si>
  <si>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</si>
  <si>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</si>
  <si>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</si>
  <si>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</si>
  <si>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</si>
  <si>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</si>
  <si>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</si>
  <si>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</si>
  <si>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</si>
  <si>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</si>
  <si>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</si>
  <si>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</si>
  <si>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</si>
  <si>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</si>
  <si>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</si>
  <si>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</si>
  <si>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</si>
  <si>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</si>
  <si>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</si>
  <si>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</si>
  <si>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</si>
  <si>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</si>
  <si>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</si>
  <si>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</si>
  <si>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</si>
  <si>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</si>
  <si>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</si>
  <si>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</si>
  <si>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</si>
  <si>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</si>
  <si>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</si>
  <si>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</si>
  <si>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</si>
  <si>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</si>
  <si>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</si>
  <si>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</si>
  <si>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</si>
  <si>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</si>
  <si>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</si>
  <si>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</si>
  <si>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</si>
  <si>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</si>
  <si>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</si>
  <si>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</si>
  <si>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</si>
  <si>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</si>
  <si>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</si>
  <si>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</si>
  <si>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</si>
  <si>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</si>
  <si>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</si>
  <si>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</si>
  <si>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</si>
  <si>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</si>
  <si>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</si>
  <si>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</si>
  <si>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</si>
  <si>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</si>
  <si>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</si>
  <si>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</si>
  <si>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</si>
  <si>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</si>
  <si>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</si>
  <si>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</si>
  <si>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</si>
  <si>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</si>
  <si>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</si>
  <si>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</si>
  <si>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</si>
  <si>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</si>
  <si>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</si>
  <si>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</si>
  <si>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</si>
  <si>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</si>
  <si>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</si>
  <si>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</si>
  <si>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</si>
  <si>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</si>
  <si>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</si>
  <si>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</si>
  <si>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</si>
  <si>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</si>
  <si>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</si>
  <si>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</si>
  <si>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</si>
  <si>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</si>
  <si>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</si>
  <si>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</si>
  <si>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</si>
  <si>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</si>
  <si>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</si>
  <si>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</si>
  <si>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</si>
  <si>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</si>
  <si>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</si>
  <si>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</si>
  <si>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</si>
  <si>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</si>
  <si>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</si>
  <si>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</si>
  <si>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</si>
  <si>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</si>
  <si>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</si>
  <si>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</si>
  <si>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</si>
  <si>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</si>
  <si>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</si>
  <si>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</si>
  <si>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</si>
  <si>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</si>
  <si>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</si>
  <si>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</si>
  <si>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</si>
  <si>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</si>
  <si>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</si>
  <si>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</si>
  <si>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</si>
  <si>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</si>
  <si>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</si>
  <si>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</si>
  <si>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</si>
  <si>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</si>
  <si>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</si>
  <si>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</si>
  <si>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</si>
  <si>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</si>
  <si>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</si>
  <si>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</si>
  <si>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</si>
  <si>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</si>
  <si>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</si>
  <si>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</si>
  <si>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</si>
  <si>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</si>
  <si>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</si>
  <si>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</si>
  <si>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</si>
  <si>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</si>
  <si>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</si>
  <si>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</si>
  <si>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</si>
  <si>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</si>
  <si>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</si>
  <si>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</si>
  <si>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</si>
  <si>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</si>
  <si>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</si>
  <si>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</si>
  <si>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</si>
  <si>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</si>
  <si>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</si>
  <si>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</si>
  <si>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</si>
  <si>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</si>
  <si>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</si>
  <si>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</si>
  <si>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</si>
  <si>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</si>
  <si>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</si>
  <si>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</si>
  <si>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</si>
  <si>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</si>
  <si>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</si>
  <si>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</si>
  <si>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</si>
  <si>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</si>
  <si>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</si>
  <si>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</si>
  <si>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</si>
  <si>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</si>
  <si>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</si>
  <si>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</si>
  <si>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</si>
  <si>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</si>
  <si>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</si>
  <si>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</si>
  <si>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</si>
  <si>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</si>
  <si>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</si>
  <si>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</si>
  <si>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</si>
  <si>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</si>
  <si>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</si>
  <si>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</si>
  <si>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</si>
  <si>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</si>
  <si>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</si>
  <si>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</si>
  <si>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</si>
  <si>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</si>
  <si>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</si>
  <si>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</si>
  <si>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</si>
  <si>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</si>
  <si>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</si>
  <si>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</si>
  <si>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</si>
  <si>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</si>
  <si>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</si>
  <si>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</si>
  <si>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</si>
  <si>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</si>
  <si>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</si>
  <si>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</si>
  <si>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</si>
  <si>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</si>
  <si>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</si>
  <si>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</si>
  <si>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</si>
  <si>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</si>
  <si>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</si>
  <si>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</si>
  <si>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</si>
  <si>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</si>
  <si>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</si>
  <si>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</si>
  <si>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</si>
  <si>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</si>
  <si>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</si>
  <si>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</si>
  <si>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</si>
  <si>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</si>
  <si>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</si>
  <si>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</si>
  <si>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</si>
  <si>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</si>
  <si>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</si>
  <si>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</si>
  <si>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</si>
  <si>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</si>
  <si>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</si>
  <si>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</si>
  <si>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</si>
  <si>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</si>
  <si>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</si>
  <si>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</si>
  <si>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</si>
  <si>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</si>
  <si>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</si>
  <si>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</si>
  <si>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</si>
  <si>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</si>
  <si>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</si>
  <si>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</si>
  <si>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</si>
  <si>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</si>
  <si>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</si>
  <si>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</si>
  <si>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</si>
  <si>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</si>
  <si>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</si>
  <si>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</si>
  <si>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</si>
  <si>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</si>
  <si>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</si>
  <si>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</si>
  <si>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</si>
  <si>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</si>
  <si>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</si>
  <si>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</si>
  <si>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</si>
  <si>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</si>
  <si>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</si>
  <si>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</si>
  <si>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</si>
  <si>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</si>
  <si>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</si>
  <si>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</si>
  <si>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</si>
  <si>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</si>
  <si>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</si>
  <si>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</si>
  <si>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</si>
  <si>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</si>
  <si>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</si>
  <si>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</si>
  <si>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</si>
  <si>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</si>
  <si>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</si>
  <si>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</si>
  <si>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</si>
  <si>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</si>
  <si>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</si>
  <si>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</si>
  <si>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</si>
  <si>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</si>
  <si>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</si>
  <si>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</si>
  <si>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</si>
  <si>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</si>
  <si>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</si>
  <si>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</si>
  <si>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</si>
  <si>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</si>
  <si>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</si>
  <si>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</si>
  <si>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</si>
  <si>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</si>
  <si>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</si>
  <si>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</si>
  <si>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</si>
  <si>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</si>
  <si>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</si>
  <si>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</si>
  <si>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</si>
  <si>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</si>
  <si>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</si>
  <si>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</si>
  <si>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</si>
  <si>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</si>
  <si>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</si>
  <si>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</si>
  <si>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</si>
  <si>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</si>
  <si>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</si>
  <si>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</si>
  <si>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</si>
  <si>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</si>
  <si>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</si>
  <si>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</si>
  <si>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</si>
  <si>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</si>
  <si>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</si>
  <si>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</si>
  <si>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</si>
  <si>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</si>
  <si>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</si>
  <si>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</si>
  <si>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</si>
  <si>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</si>
  <si>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</si>
  <si>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</si>
  <si>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</si>
  <si>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</si>
  <si>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</si>
  <si>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</si>
  <si>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</si>
  <si>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</si>
  <si>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</si>
  <si>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</si>
  <si>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</si>
  <si>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</si>
  <si>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</si>
  <si>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</si>
  <si>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</si>
  <si>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</si>
  <si>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</si>
  <si>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</si>
  <si>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</si>
  <si>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</si>
  <si>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</si>
  <si>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</si>
  <si>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</si>
  <si>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</si>
  <si>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</si>
  <si>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</si>
  <si>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</si>
  <si>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</si>
  <si>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</si>
  <si>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</si>
  <si>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</si>
  <si>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</si>
  <si>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</si>
  <si>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</si>
  <si>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</si>
  <si>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</si>
  <si>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</si>
  <si>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</si>
  <si>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</si>
  <si>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</si>
  <si>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</si>
  <si>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</si>
  <si>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</si>
  <si>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</si>
  <si>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</si>
  <si>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</si>
  <si>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</si>
  <si>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</si>
  <si>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</si>
  <si>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</si>
  <si>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</si>
  <si>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</si>
  <si>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</si>
  <si>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</si>
  <si>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</si>
  <si>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</si>
  <si>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</si>
  <si>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</si>
  <si>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</si>
  <si>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</si>
  <si>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</si>
  <si>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</si>
  <si>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</si>
  <si>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</si>
  <si>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</si>
  <si>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</si>
  <si>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</si>
  <si>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</si>
  <si>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</si>
  <si>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</si>
  <si>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</si>
  <si>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</si>
  <si>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</si>
  <si>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</si>
  <si>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</si>
  <si>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</si>
  <si>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</si>
  <si>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</si>
  <si>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</si>
  <si>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</si>
  <si>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</si>
  <si>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</si>
  <si>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</si>
  <si>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</si>
  <si>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</si>
  <si>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</si>
  <si>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</si>
  <si>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</si>
  <si>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</si>
  <si>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</si>
  <si>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</si>
  <si>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</si>
  <si>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</si>
  <si>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</si>
  <si>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</si>
  <si>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</si>
  <si>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</si>
  <si>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</si>
  <si>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</si>
  <si>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</si>
  <si>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</si>
  <si>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</si>
  <si>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</si>
  <si>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</si>
  <si>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</si>
  <si>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</si>
  <si>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</si>
  <si>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</si>
  <si>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</si>
  <si>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</si>
  <si>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</si>
  <si>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</si>
  <si>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</si>
  <si>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</si>
  <si>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</si>
  <si>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</si>
  <si>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</si>
  <si>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</si>
  <si>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</si>
  <si>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</si>
  <si>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</si>
  <si>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</si>
  <si>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</si>
  <si>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</si>
  <si>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</si>
  <si>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</si>
  <si>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</si>
  <si>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</si>
  <si>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</si>
  <si>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</si>
  <si>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</si>
  <si>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</si>
  <si>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</si>
  <si>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</si>
  <si>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</si>
  <si>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</si>
  <si>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</si>
  <si>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</si>
  <si>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</si>
  <si>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</si>
  <si>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</si>
  <si>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</si>
  <si>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</si>
  <si>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</si>
  <si>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</si>
  <si>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</si>
  <si>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</si>
  <si>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</si>
  <si>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</si>
  <si>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</si>
  <si>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</si>
  <si>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</si>
  <si>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</si>
  <si>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</si>
  <si>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</si>
  <si>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</si>
  <si>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</si>
  <si>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</si>
  <si>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</si>
  <si>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</si>
  <si>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</si>
  <si>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</si>
  <si>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</si>
  <si>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</si>
  <si>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</si>
  <si>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</si>
  <si>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</si>
  <si>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</si>
  <si>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</si>
  <si>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</si>
  <si>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</si>
  <si>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</si>
  <si>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</si>
  <si>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</si>
  <si>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</si>
  <si>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</si>
  <si>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</si>
  <si>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</si>
  <si>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</si>
  <si>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</si>
  <si>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</si>
  <si>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</si>
  <si>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</si>
  <si>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</si>
  <si>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</si>
  <si>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</si>
  <si>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</si>
  <si>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</si>
  <si>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</si>
  <si>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</si>
  <si>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</si>
  <si>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</si>
  <si>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</si>
  <si>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</si>
  <si>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</si>
  <si>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</si>
  <si>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</si>
  <si>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</si>
  <si>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</si>
  <si>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</si>
  <si>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</si>
  <si>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</si>
  <si>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</si>
  <si>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</si>
  <si>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</si>
  <si>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</si>
  <si>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</si>
  <si>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</si>
  <si>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</si>
  <si>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</si>
  <si>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</si>
  <si>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</si>
  <si>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</si>
  <si>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</si>
  <si>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</si>
  <si>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</si>
  <si>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</si>
  <si>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</si>
  <si>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</si>
  <si>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</si>
  <si>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</si>
  <si>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</si>
  <si>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</si>
  <si>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</si>
  <si>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</si>
  <si>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</si>
  <si>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</si>
  <si>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</si>
  <si>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</si>
  <si>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</si>
  <si>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</si>
  <si>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</si>
  <si>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</si>
  <si>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</si>
  <si>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</si>
  <si>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</si>
  <si>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</si>
  <si>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</si>
  <si>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</si>
  <si>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</si>
  <si>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</si>
  <si>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</si>
  <si>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</si>
  <si>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</si>
  <si>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</si>
  <si>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</si>
  <si>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</si>
  <si>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</si>
  <si>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</si>
  <si>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</si>
  <si>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</si>
  <si>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</si>
  <si>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</si>
  <si>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</si>
  <si>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</si>
  <si>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</si>
  <si>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</si>
  <si>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</si>
  <si>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</si>
  <si>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</si>
  <si>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</si>
  <si>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</si>
  <si>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</si>
  <si>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</si>
  <si>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</si>
  <si>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</si>
  <si>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</si>
  <si>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</si>
  <si>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</si>
  <si>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</si>
  <si>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</si>
  <si>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</si>
  <si>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</si>
  <si>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</si>
  <si>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</si>
  <si>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</si>
  <si>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</si>
  <si>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</si>
  <si>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</si>
  <si>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</si>
  <si>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</si>
  <si>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</si>
  <si>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</si>
  <si>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</si>
  <si>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</si>
  <si>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</si>
  <si>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</si>
  <si>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</si>
  <si>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</si>
  <si>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</si>
  <si>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</si>
  <si>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</si>
  <si>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</si>
  <si>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</si>
  <si>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</si>
  <si>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</si>
  <si>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</si>
  <si>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</si>
  <si>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</si>
  <si>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</si>
  <si>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</si>
  <si>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</si>
  <si>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</si>
  <si>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</si>
  <si>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</si>
  <si>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</si>
  <si>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</si>
  <si>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</si>
  <si>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</si>
  <si>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</si>
  <si>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</si>
  <si>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</si>
  <si>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</si>
  <si>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</si>
  <si>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</si>
  <si>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</si>
  <si>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</si>
  <si>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</si>
  <si>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</si>
  <si>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</si>
  <si>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</si>
  <si>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</si>
  <si>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</si>
  <si>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</si>
  <si>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</si>
  <si>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</si>
  <si>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</si>
  <si>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</si>
  <si>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</si>
  <si>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</si>
  <si>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</si>
  <si>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</si>
  <si>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</si>
  <si>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</si>
  <si>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</si>
  <si>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</si>
  <si>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</si>
  <si>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</si>
  <si>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</si>
  <si>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</si>
  <si>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</si>
  <si>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</si>
  <si>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</si>
  <si>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</si>
  <si>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</si>
  <si>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</si>
  <si>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</si>
  <si>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</si>
  <si>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</si>
  <si>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</si>
  <si>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</si>
  <si>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</si>
  <si>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</si>
  <si>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</si>
  <si>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</si>
  <si>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</si>
  <si>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</si>
  <si>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</si>
  <si>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</si>
  <si>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</si>
  <si>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</si>
  <si>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</si>
  <si>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</si>
  <si>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</si>
  <si>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</si>
  <si>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</si>
  <si>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</si>
  <si>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</si>
  <si>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</si>
  <si>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</si>
  <si>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</si>
  <si>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</si>
  <si>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</si>
  <si>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</si>
  <si>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</si>
  <si>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</si>
  <si>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</si>
  <si>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</si>
  <si>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</si>
  <si>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</si>
  <si>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</si>
  <si>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</si>
  <si>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</si>
  <si>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</si>
  <si>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</si>
  <si>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</si>
  <si>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</si>
  <si>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</si>
  <si>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</si>
  <si>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</si>
  <si>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</si>
  <si>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</si>
  <si>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</si>
  <si>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</si>
  <si>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</si>
  <si>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</si>
  <si>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</si>
  <si>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</si>
  <si>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</si>
  <si>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</si>
  <si>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</si>
  <si>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</si>
  <si>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</si>
  <si>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</si>
  <si>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</si>
  <si>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</si>
  <si>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</si>
  <si>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</si>
  <si>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</si>
  <si>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</si>
  <si>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</si>
  <si>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</si>
  <si>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</si>
  <si>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</si>
  <si>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</si>
  <si>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</si>
  <si>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</si>
  <si>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</si>
  <si>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</si>
  <si>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</si>
  <si>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</si>
  <si>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</si>
  <si>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</si>
  <si>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</si>
  <si>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</si>
  <si>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</si>
  <si>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</si>
  <si>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</si>
  <si>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</si>
  <si>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</si>
  <si>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</si>
  <si>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</si>
  <si>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</si>
  <si>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</si>
  <si>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</si>
  <si>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</si>
  <si>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</si>
  <si>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</si>
  <si>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</si>
  <si>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</si>
  <si>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</si>
  <si>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</si>
  <si>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</si>
  <si>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</si>
  <si>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</si>
  <si>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</si>
  <si>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</si>
  <si>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</si>
  <si>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</si>
  <si>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</si>
  <si>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</si>
  <si>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</si>
  <si>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</si>
  <si>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</si>
  <si>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</si>
  <si>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</si>
  <si>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</si>
  <si>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</si>
  <si>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</si>
  <si>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</si>
  <si>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</si>
  <si>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</si>
  <si>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</si>
  <si>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</si>
  <si>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</si>
  <si>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</si>
  <si>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</si>
  <si>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</si>
  <si>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</si>
  <si>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</si>
  <si>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</si>
  <si>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</si>
  <si>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</si>
  <si>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</si>
  <si>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</si>
  <si>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</si>
  <si>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</si>
  <si>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</si>
  <si>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</si>
  <si>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</si>
  <si>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</si>
  <si>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</si>
  <si>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</si>
  <si>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</si>
  <si>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</si>
  <si>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</si>
  <si>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</si>
  <si>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</si>
  <si>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</si>
  <si>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</si>
  <si>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</si>
  <si>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</si>
  <si>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</si>
  <si>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</si>
  <si>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</si>
  <si>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</si>
  <si>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</si>
  <si>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</si>
  <si>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</si>
  <si>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</si>
  <si>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</si>
  <si>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</si>
  <si>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</si>
  <si>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</si>
  <si>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</si>
  <si>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</si>
  <si>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</si>
  <si>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</si>
  <si>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</si>
  <si>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</si>
  <si>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</si>
  <si>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</si>
  <si>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</si>
  <si>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</si>
  <si>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</si>
  <si>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</si>
  <si>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</si>
  <si>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</si>
  <si>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</si>
  <si>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</si>
  <si>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</si>
  <si>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</si>
  <si>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</si>
  <si>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</si>
  <si>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</si>
  <si>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</si>
  <si>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</si>
  <si>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</si>
  <si>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</si>
  <si>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</si>
  <si>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</si>
  <si>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</si>
  <si>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</si>
  <si>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</si>
  <si>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</si>
  <si>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</si>
  <si>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</si>
  <si>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</si>
  <si>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</si>
  <si>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</si>
  <si>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</si>
  <si>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</si>
  <si>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</si>
  <si>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</si>
  <si>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</si>
  <si>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</si>
  <si>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</si>
  <si>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</si>
  <si>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</si>
  <si>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</si>
  <si>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</si>
  <si>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</si>
  <si>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</si>
  <si>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</si>
  <si>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</si>
  <si>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</si>
  <si>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</si>
  <si>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</si>
  <si>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</si>
  <si>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</si>
  <si>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</si>
  <si>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</si>
  <si>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</si>
  <si>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</si>
  <si>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</si>
  <si>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</si>
  <si>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</si>
  <si>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</si>
  <si>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</si>
  <si>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</si>
  <si>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</si>
  <si>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</si>
  <si>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</si>
  <si>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</si>
  <si>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</si>
  <si>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</si>
  <si>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</si>
  <si>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</si>
  <si>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</si>
  <si>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</si>
  <si>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</si>
  <si>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</si>
  <si>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</si>
  <si>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</si>
  <si>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</si>
  <si>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</si>
  <si>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</si>
  <si>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</si>
  <si>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</si>
  <si>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</si>
  <si>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</si>
  <si>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</si>
  <si>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</si>
  <si>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</si>
  <si>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</si>
  <si>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</si>
  <si>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</si>
  <si>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</si>
  <si>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</si>
  <si>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</si>
  <si>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</si>
  <si>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</si>
  <si>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</si>
  <si>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</si>
  <si>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</si>
  <si>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</si>
  <si>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</si>
  <si>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</si>
  <si>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</si>
  <si>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</si>
  <si>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</si>
  <si>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</si>
  <si>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</si>
  <si>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</si>
  <si>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</si>
  <si>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</si>
  <si>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</si>
  <si>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</si>
  <si>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</si>
  <si>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</si>
  <si>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</si>
  <si>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</si>
  <si>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</si>
  <si>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</si>
  <si>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</si>
  <si>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</si>
  <si>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</si>
  <si>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</si>
  <si>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</si>
  <si>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</si>
  <si>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</si>
  <si>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</si>
  <si>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</si>
  <si>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</si>
  <si>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</si>
  <si>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</si>
  <si>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</si>
  <si>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</si>
  <si>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</si>
  <si>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</si>
  <si>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</si>
  <si>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</si>
  <si>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</si>
  <si>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</si>
  <si>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</si>
  <si>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</si>
  <si>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</si>
  <si>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</si>
  <si>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</si>
  <si>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</si>
  <si>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</si>
  <si>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</si>
  <si>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</si>
  <si>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</si>
  <si>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</si>
  <si>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</si>
  <si>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</si>
  <si>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</si>
  <si>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</si>
  <si>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</si>
  <si>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</si>
  <si>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</si>
  <si>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</si>
  <si>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</si>
  <si>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</si>
  <si>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</si>
  <si>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</si>
  <si>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</si>
  <si>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</si>
  <si>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</si>
  <si>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</si>
  <si>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</si>
  <si>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</si>
  <si>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</si>
  <si>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</si>
  <si>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</si>
  <si>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</si>
  <si>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</si>
  <si>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</si>
  <si>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</si>
  <si>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</si>
  <si>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</si>
  <si>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</si>
  <si>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</si>
  <si>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</si>
  <si>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</si>
  <si>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</si>
  <si>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</si>
  <si>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</si>
  <si>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</si>
  <si>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</si>
  <si>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</si>
  <si>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</si>
  <si>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</si>
  <si>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</si>
  <si>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</si>
  <si>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</si>
  <si>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</si>
  <si>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</si>
  <si>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</si>
  <si>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</si>
  <si>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</si>
  <si>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</si>
  <si>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</si>
  <si>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</si>
  <si>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</si>
  <si>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</si>
  <si>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</si>
  <si>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</si>
  <si>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</si>
  <si>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</si>
  <si>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</si>
  <si>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</si>
  <si>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</si>
  <si>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</si>
  <si>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</si>
  <si>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</si>
  <si>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</si>
  <si>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</si>
  <si>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</si>
  <si>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</si>
  <si>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</si>
  <si>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</si>
  <si>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</si>
  <si>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</si>
  <si>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</si>
  <si>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</si>
  <si>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</si>
  <si>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</si>
  <si>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</si>
  <si>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</si>
  <si>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</si>
  <si>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</si>
  <si>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</si>
  <si>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</si>
  <si>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</si>
  <si>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</si>
  <si>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</si>
  <si>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</si>
  <si>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</si>
  <si>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</si>
  <si>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</si>
  <si>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</si>
  <si>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</si>
  <si>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</si>
  <si>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</si>
  <si>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</si>
  <si>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</si>
  <si>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</si>
  <si>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</si>
  <si>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</si>
  <si>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</si>
  <si>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</si>
  <si>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</si>
  <si>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</si>
  <si>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</si>
  <si>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</si>
  <si>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</si>
  <si>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</si>
  <si>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</si>
  <si>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</si>
  <si>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</si>
  <si>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</si>
  <si>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</si>
  <si>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</si>
  <si>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</si>
  <si>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</si>
  <si>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</si>
  <si>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</si>
  <si>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</si>
  <si>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</si>
  <si>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</si>
  <si>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</si>
  <si>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</si>
  <si>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</si>
  <si>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</si>
  <si>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</si>
  <si>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</si>
  <si>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</si>
  <si>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</si>
  <si>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</si>
  <si>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</si>
  <si>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</si>
  <si>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</si>
  <si>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</si>
  <si>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</si>
  <si>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</si>
  <si>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</si>
  <si>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</si>
  <si>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</si>
  <si>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</si>
  <si>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</si>
  <si>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</si>
  <si>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</si>
  <si>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</si>
  <si>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</si>
  <si>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</si>
  <si>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</si>
  <si>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</si>
  <si>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</si>
  <si>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</si>
  <si>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</si>
  <si>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</si>
  <si>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</si>
  <si>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</si>
  <si>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</si>
  <si>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</si>
  <si>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</si>
  <si>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</si>
  <si>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</si>
  <si>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</si>
  <si>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</si>
  <si>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</si>
  <si>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</si>
  <si>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</si>
  <si>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</si>
  <si>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</si>
  <si>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</si>
  <si>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</si>
  <si>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</si>
  <si>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</si>
  <si>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</si>
  <si>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</si>
  <si>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</si>
  <si>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</si>
  <si>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</si>
  <si>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</si>
  <si>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</si>
  <si>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</si>
  <si>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</si>
  <si>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</si>
  <si>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</si>
  <si>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</si>
  <si>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</si>
  <si>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</si>
  <si>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</si>
  <si>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</si>
  <si>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</si>
  <si>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</si>
  <si>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</si>
  <si>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</si>
  <si>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</si>
  <si>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</si>
  <si>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</si>
  <si>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</si>
  <si>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</si>
  <si>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</si>
  <si>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</si>
  <si>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</si>
  <si>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</si>
  <si>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</si>
  <si>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</si>
  <si>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</si>
  <si>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</si>
  <si>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</si>
  <si>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</si>
  <si>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</si>
  <si>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</si>
  <si>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</si>
  <si>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</si>
  <si>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</si>
  <si>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</si>
  <si>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观察</t>
    <phoneticPr fontId="3" type="noConversion"/>
  </si>
  <si>
    <t>综合</t>
    <phoneticPr fontId="3" type="noConversion"/>
  </si>
  <si>
    <t>专业</t>
  </si>
  <si>
    <t>比较法-办公</t>
  </si>
  <si>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</si>
  <si>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</si>
  <si>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</si>
  <si>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</si>
  <si>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</si>
  <si>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</si>
  <si>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</si>
  <si>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</si>
  <si>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</si>
  <si>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建外SOHO东区</t>
    <phoneticPr fontId="3" type="noConversion"/>
  </si>
  <si>
    <t>综合项目（居住、综合）</t>
  </si>
  <si>
    <t>独栋</t>
  </si>
  <si>
    <t>地下</t>
  </si>
  <si>
    <t>办公-独栋</t>
  </si>
  <si>
    <t>办公-独栋</t>
    <phoneticPr fontId="7" type="noConversion"/>
  </si>
  <si>
    <t>自定义容积率</t>
  </si>
  <si>
    <t>不临65条商业街</t>
  </si>
  <si>
    <t>与级别开发程度不一致</t>
  </si>
  <si>
    <t>通路</t>
  </si>
  <si>
    <t>通电</t>
  </si>
  <si>
    <t>通讯</t>
  </si>
  <si>
    <t>通上水</t>
  </si>
  <si>
    <t>通下水</t>
  </si>
  <si>
    <t>燃气</t>
  </si>
  <si>
    <t>平整</t>
  </si>
  <si>
    <t>按公示增长率计算</t>
  </si>
  <si>
    <t>中心城区以外</t>
  </si>
  <si>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临街宽度及深度比例适宜程度？对土地利用的影响？临城市次干道</t>
    </r>
    <phoneticPr fontId="76" type="noConversion"/>
  </si>
  <si>
    <t>未包含在土地购买价格中</t>
  </si>
  <si>
    <t>已包含在土地取得成本中</t>
  </si>
  <si>
    <t>14000-15000</t>
    <phoneticPr fontId="8" type="noConversion"/>
  </si>
  <si>
    <t>龙熙庄园</t>
    <phoneticPr fontId="3" type="noConversion"/>
  </si>
  <si>
    <t>五通</t>
  </si>
  <si>
    <t>独栋</t>
    <phoneticPr fontId="31" type="noConversion"/>
  </si>
  <si>
    <t>叠拼</t>
    <phoneticPr fontId="31" type="noConversion"/>
  </si>
  <si>
    <t>龙溪顺景甲区</t>
    <phoneticPr fontId="134" type="noConversion"/>
  </si>
  <si>
    <t>名称</t>
    <phoneticPr fontId="134" type="noConversion"/>
  </si>
  <si>
    <t>建筑面积</t>
    <phoneticPr fontId="134" type="noConversion"/>
  </si>
  <si>
    <t>月租金</t>
    <phoneticPr fontId="134" type="noConversion"/>
  </si>
  <si>
    <t>日租金</t>
    <phoneticPr fontId="134" type="noConversion"/>
  </si>
  <si>
    <t>龙熙瓦德拉玛庄园</t>
    <phoneticPr fontId="134" type="noConversion"/>
  </si>
  <si>
    <t>富力丹麦小镇A区</t>
    <phoneticPr fontId="134" type="noConversion"/>
  </si>
  <si>
    <t>龙熙旭辉6號院</t>
    <phoneticPr fontId="134" type="noConversion"/>
  </si>
  <si>
    <t>去年成交一套</t>
    <phoneticPr fontId="134" type="noConversion"/>
  </si>
  <si>
    <t>龙熙庄园</t>
    <phoneticPr fontId="3" type="noConversion"/>
  </si>
  <si>
    <t>大兴区隆华大街55号院67号楼-1至2层01办公楼用房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</si>
</sst>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85725</xdr:rowOff>
    </xdr:from>
    <xdr:to>
      <xdr:col>9</xdr:col>
      <xdr:colOff>513515</xdr:colOff>
      <xdr:row>53</xdr:row>
      <xdr:rowOff>75559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3514725"/>
          <a:ext cx="6685715" cy="5133334"/>
        </a:xfrm>
        <a:prstGeom prst="rect">
          <a:avLst/>
        </a:prstGeom>
      </xdr:spPr>
    </xdr:pic>
    <xdr:clientData/>
  </xdr:twoCellAnchor>
  <xdr:twoCellAnchor editAs="oneCell">
    <xdr:from>
      <xdr:col>0</xdr:col>
      <xdr:colOff>0</xdr:colOff>
      <xdr:row>55</xdr:row>
      <xdr:rowOff>0</xdr:rowOff>
    </xdr:from>
    <xdr:to>
      <xdr:col>9</xdr:col>
      <xdr:colOff>465896</xdr:colOff>
      <xdr:row>69</xdr:row>
      <xdr:rowOff>161605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8915400"/>
          <a:ext cx="6638096" cy="2561905"/>
        </a:xfrm>
        <a:prstGeom prst="rect">
          <a:avLst/>
        </a:prstGeom>
      </xdr:spPr>
    </xdr:pic>
    <xdr:clientData/>
  </xdr:twoCellAnchor>
  <xdr:twoCellAnchor editAs="oneCell">
    <xdr:from>
      <xdr:col>0</xdr:col>
      <xdr:colOff>1</xdr:colOff>
      <xdr:row>0</xdr:row>
      <xdr:rowOff>0</xdr:rowOff>
    </xdr:from>
    <xdr:to>
      <xdr:col>10</xdr:col>
      <xdr:colOff>609601</xdr:colOff>
      <xdr:row>19</xdr:row>
      <xdr:rowOff>41660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1" y="0"/>
          <a:ext cx="7467600" cy="3299210"/>
        </a:xfrm>
        <a:prstGeom prst="rect">
          <a:avLst/>
        </a:prstGeom>
      </xdr:spPr>
    </xdr:pic>
    <xdr:clientData/>
  </xdr:twoCellAnchor>
  <xdr:twoCellAnchor editAs="oneCell">
    <xdr:from>
      <xdr:col>0</xdr:col>
      <xdr:colOff>0</xdr:colOff>
      <xdr:row>70</xdr:row>
      <xdr:rowOff>133349</xdr:rowOff>
    </xdr:from>
    <xdr:to>
      <xdr:col>14</xdr:col>
      <xdr:colOff>170541</xdr:colOff>
      <xdr:row>98</xdr:row>
      <xdr:rowOff>151696</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4"/>
        <a:stretch>
          <a:fillRect/>
        </a:stretch>
      </xdr:blipFill>
      <xdr:spPr>
        <a:xfrm>
          <a:off x="0" y="11620499"/>
          <a:ext cx="10314666" cy="4818947"/>
        </a:xfrm>
        <a:prstGeom prst="rect">
          <a:avLst/>
        </a:prstGeom>
      </xdr:spPr>
    </xdr:pic>
    <xdr:clientData/>
  </xdr:twoCellAnchor>
  <xdr:twoCellAnchor editAs="oneCell">
    <xdr:from>
      <xdr:col>0</xdr:col>
      <xdr:colOff>0</xdr:colOff>
      <xdr:row>98</xdr:row>
      <xdr:rowOff>161925</xdr:rowOff>
    </xdr:from>
    <xdr:to>
      <xdr:col>4</xdr:col>
      <xdr:colOff>637753</xdr:colOff>
      <xdr:row>123</xdr:row>
      <xdr:rowOff>161390</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5"/>
        <a:stretch>
          <a:fillRect/>
        </a:stretch>
      </xdr:blipFill>
      <xdr:spPr>
        <a:xfrm>
          <a:off x="0" y="16449675"/>
          <a:ext cx="3380953" cy="4285715"/>
        </a:xfrm>
        <a:prstGeom prst="rect">
          <a:avLst/>
        </a:prstGeom>
      </xdr:spPr>
    </xdr:pic>
    <xdr:clientData/>
  </xdr:twoCellAnchor>
  <xdr:twoCellAnchor editAs="oneCell">
    <xdr:from>
      <xdr:col>9</xdr:col>
      <xdr:colOff>562918</xdr:colOff>
      <xdr:row>22</xdr:row>
      <xdr:rowOff>123825</xdr:rowOff>
    </xdr:from>
    <xdr:to>
      <xdr:col>18</xdr:col>
      <xdr:colOff>322942</xdr:colOff>
      <xdr:row>52</xdr:row>
      <xdr:rowOff>123104</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6"/>
        <a:stretch>
          <a:fillRect/>
        </a:stretch>
      </xdr:blipFill>
      <xdr:spPr>
        <a:xfrm>
          <a:off x="6735118" y="3381375"/>
          <a:ext cx="6475149" cy="5142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10</xdr:col>
      <xdr:colOff>133350</xdr:colOff>
      <xdr:row>29</xdr:row>
      <xdr:rowOff>26071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 y="171450"/>
          <a:ext cx="7419974" cy="4140871"/>
        </a:xfrm>
        <a:prstGeom prst="rect">
          <a:avLst/>
        </a:prstGeom>
      </xdr:spPr>
    </xdr:pic>
    <xdr:clientData/>
  </xdr:twoCellAnchor>
  <xdr:twoCellAnchor editAs="oneCell">
    <xdr:from>
      <xdr:col>10</xdr:col>
      <xdr:colOff>637088</xdr:colOff>
      <xdr:row>5</xdr:row>
      <xdr:rowOff>0</xdr:rowOff>
    </xdr:from>
    <xdr:to>
      <xdr:col>17</xdr:col>
      <xdr:colOff>685067</xdr:colOff>
      <xdr:row>25</xdr:row>
      <xdr:rowOff>18529</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7495088" y="171450"/>
          <a:ext cx="4848579" cy="3447529"/>
        </a:xfrm>
        <a:prstGeom prst="rect">
          <a:avLst/>
        </a:prstGeom>
      </xdr:spPr>
    </xdr:pic>
    <xdr:clientData/>
  </xdr:twoCellAnchor>
  <xdr:twoCellAnchor editAs="oneCell">
    <xdr:from>
      <xdr:col>0</xdr:col>
      <xdr:colOff>0</xdr:colOff>
      <xdr:row>31</xdr:row>
      <xdr:rowOff>1</xdr:rowOff>
    </xdr:from>
    <xdr:to>
      <xdr:col>10</xdr:col>
      <xdr:colOff>203708</xdr:colOff>
      <xdr:row>55</xdr:row>
      <xdr:rowOff>19051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4629151"/>
          <a:ext cx="7490333" cy="4133850"/>
        </a:xfrm>
        <a:prstGeom prst="rect">
          <a:avLst/>
        </a:prstGeom>
      </xdr:spPr>
    </xdr:pic>
    <xdr:clientData/>
  </xdr:twoCellAnchor>
  <xdr:twoCellAnchor editAs="oneCell">
    <xdr:from>
      <xdr:col>11</xdr:col>
      <xdr:colOff>60555</xdr:colOff>
      <xdr:row>31</xdr:row>
      <xdr:rowOff>152400</xdr:rowOff>
    </xdr:from>
    <xdr:to>
      <xdr:col>17</xdr:col>
      <xdr:colOff>561974</xdr:colOff>
      <xdr:row>50</xdr:row>
      <xdr:rowOff>56348</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7604355" y="4781550"/>
          <a:ext cx="4616219" cy="3161498"/>
        </a:xfrm>
        <a:prstGeom prst="rect">
          <a:avLst/>
        </a:prstGeom>
      </xdr:spPr>
    </xdr:pic>
    <xdr:clientData/>
  </xdr:twoCellAnchor>
  <xdr:twoCellAnchor editAs="oneCell">
    <xdr:from>
      <xdr:col>0</xdr:col>
      <xdr:colOff>0</xdr:colOff>
      <xdr:row>56</xdr:row>
      <xdr:rowOff>1</xdr:rowOff>
    </xdr:from>
    <xdr:to>
      <xdr:col>10</xdr:col>
      <xdr:colOff>240119</xdr:colOff>
      <xdr:row>79</xdr:row>
      <xdr:rowOff>152400</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0" y="8915401"/>
          <a:ext cx="7526744" cy="4095749"/>
        </a:xfrm>
        <a:prstGeom prst="rect">
          <a:avLst/>
        </a:prstGeom>
      </xdr:spPr>
    </xdr:pic>
    <xdr:clientData/>
  </xdr:twoCellAnchor>
  <xdr:twoCellAnchor editAs="oneCell">
    <xdr:from>
      <xdr:col>10</xdr:col>
      <xdr:colOff>679878</xdr:colOff>
      <xdr:row>56</xdr:row>
      <xdr:rowOff>123825</xdr:rowOff>
    </xdr:from>
    <xdr:to>
      <xdr:col>17</xdr:col>
      <xdr:colOff>537869</xdr:colOff>
      <xdr:row>75</xdr:row>
      <xdr:rowOff>85206</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7537878" y="9039225"/>
          <a:ext cx="4658591" cy="3218931"/>
        </a:xfrm>
        <a:prstGeom prst="rect">
          <a:avLst/>
        </a:prstGeom>
      </xdr:spPr>
    </xdr:pic>
    <xdr:clientData/>
  </xdr:twoCellAnchor>
  <xdr:twoCellAnchor editAs="oneCell">
    <xdr:from>
      <xdr:col>0</xdr:col>
      <xdr:colOff>0</xdr:colOff>
      <xdr:row>82</xdr:row>
      <xdr:rowOff>0</xdr:rowOff>
    </xdr:from>
    <xdr:to>
      <xdr:col>10</xdr:col>
      <xdr:colOff>378266</xdr:colOff>
      <xdr:row>107</xdr:row>
      <xdr:rowOff>28575</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7"/>
        <a:stretch>
          <a:fillRect/>
        </a:stretch>
      </xdr:blipFill>
      <xdr:spPr>
        <a:xfrm>
          <a:off x="0" y="13373100"/>
          <a:ext cx="7664891" cy="4314825"/>
        </a:xfrm>
        <a:prstGeom prst="rect">
          <a:avLst/>
        </a:prstGeom>
      </xdr:spPr>
    </xdr:pic>
    <xdr:clientData/>
  </xdr:twoCellAnchor>
  <xdr:twoCellAnchor editAs="oneCell">
    <xdr:from>
      <xdr:col>11</xdr:col>
      <xdr:colOff>155483</xdr:colOff>
      <xdr:row>84</xdr:row>
      <xdr:rowOff>76200</xdr:rowOff>
    </xdr:from>
    <xdr:to>
      <xdr:col>18</xdr:col>
      <xdr:colOff>400049</xdr:colOff>
      <xdr:row>103</xdr:row>
      <xdr:rowOff>133350</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8"/>
        <a:stretch>
          <a:fillRect/>
        </a:stretch>
      </xdr:blipFill>
      <xdr:spPr>
        <a:xfrm>
          <a:off x="7699283" y="13792200"/>
          <a:ext cx="5045166" cy="3314700"/>
        </a:xfrm>
        <a:prstGeom prst="rect">
          <a:avLst/>
        </a:prstGeom>
      </xdr:spPr>
    </xdr:pic>
    <xdr:clientData/>
  </xdr:twoCellAnchor>
  <xdr:twoCellAnchor editAs="oneCell">
    <xdr:from>
      <xdr:col>0</xdr:col>
      <xdr:colOff>0</xdr:colOff>
      <xdr:row>110</xdr:row>
      <xdr:rowOff>0</xdr:rowOff>
    </xdr:from>
    <xdr:to>
      <xdr:col>10</xdr:col>
      <xdr:colOff>28574</xdr:colOff>
      <xdr:row>133</xdr:row>
      <xdr:rowOff>91395</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9"/>
        <a:stretch>
          <a:fillRect/>
        </a:stretch>
      </xdr:blipFill>
      <xdr:spPr>
        <a:xfrm>
          <a:off x="0" y="18173700"/>
          <a:ext cx="7315199" cy="4034745"/>
        </a:xfrm>
        <a:prstGeom prst="rect">
          <a:avLst/>
        </a:prstGeom>
      </xdr:spPr>
    </xdr:pic>
    <xdr:clientData/>
  </xdr:twoCellAnchor>
  <xdr:twoCellAnchor editAs="oneCell">
    <xdr:from>
      <xdr:col>10</xdr:col>
      <xdr:colOff>501949</xdr:colOff>
      <xdr:row>112</xdr:row>
      <xdr:rowOff>47625</xdr:rowOff>
    </xdr:from>
    <xdr:to>
      <xdr:col>17</xdr:col>
      <xdr:colOff>627880</xdr:colOff>
      <xdr:row>131</xdr:row>
      <xdr:rowOff>94734</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10"/>
        <a:stretch>
          <a:fillRect/>
        </a:stretch>
      </xdr:blipFill>
      <xdr:spPr>
        <a:xfrm>
          <a:off x="7359949" y="18564225"/>
          <a:ext cx="4926531" cy="3304659"/>
        </a:xfrm>
        <a:prstGeom prst="rect">
          <a:avLst/>
        </a:prstGeom>
      </xdr:spPr>
    </xdr:pic>
    <xdr:clientData/>
  </xdr:twoCellAnchor>
  <xdr:twoCellAnchor editAs="oneCell">
    <xdr:from>
      <xdr:col>0</xdr:col>
      <xdr:colOff>0</xdr:colOff>
      <xdr:row>137</xdr:row>
      <xdr:rowOff>1</xdr:rowOff>
    </xdr:from>
    <xdr:to>
      <xdr:col>12</xdr:col>
      <xdr:colOff>581092</xdr:colOff>
      <xdr:row>165</xdr:row>
      <xdr:rowOff>133351</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11"/>
        <a:stretch>
          <a:fillRect/>
        </a:stretch>
      </xdr:blipFill>
      <xdr:spPr>
        <a:xfrm>
          <a:off x="0" y="23488651"/>
          <a:ext cx="9239317" cy="4933950"/>
        </a:xfrm>
        <a:prstGeom prst="rect">
          <a:avLst/>
        </a:prstGeom>
      </xdr:spPr>
    </xdr:pic>
    <xdr:clientData/>
  </xdr:twoCellAnchor>
  <xdr:twoCellAnchor editAs="oneCell">
    <xdr:from>
      <xdr:col>0</xdr:col>
      <xdr:colOff>0</xdr:colOff>
      <xdr:row>168</xdr:row>
      <xdr:rowOff>76200</xdr:rowOff>
    </xdr:from>
    <xdr:to>
      <xdr:col>12</xdr:col>
      <xdr:colOff>352425</xdr:colOff>
      <xdr:row>194</xdr:row>
      <xdr:rowOff>123825</xdr:rowOff>
    </xdr:to>
    <xdr:pic>
      <xdr:nvPicPr>
        <xdr:cNvPr id="13" name="图片 12">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12"/>
        <a:stretch>
          <a:fillRect/>
        </a:stretch>
      </xdr:blipFill>
      <xdr:spPr>
        <a:xfrm>
          <a:off x="0" y="28879800"/>
          <a:ext cx="9010650" cy="450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33</xdr:row>
      <xdr:rowOff>46912</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914286"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北京市大兴区隆华大街55号院67号楼-1至2层01办公楼用房房地产抵押价值预评估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受贵公司委托，我公司对北京市大兴区隆华大街55号院67号楼-1至2层01办公楼用房房地产抵押价值进行了预评估。</v>
      </c>
    </row>
    <row r="7" spans="1:2">
      <c r="A7" s="1118" t="s">
        <v>566</v>
      </c>
      <c r="B7" s="1119" t="str">
        <f>'预评函-1'!A7</f>
        <v>估价对象为北京市大兴区隆华大街55号院67号楼-1至2层01办公楼用房房地产，为所有。根据《国有土地使用证》[]，估价对象（分摊）出让国有建设用地使用权面积为0平方米，建筑面积为681.29平方米。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2025年11月7日（评估专业人员实地查勘之日）</v>
      </c>
    </row>
    <row r="13" spans="1:2">
      <c r="A13" s="1118" t="s">
        <v>529</v>
      </c>
      <c r="B13" s="1119"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969</v>
      </c>
    </row>
    <row r="21" spans="1:2">
      <c r="A21" s="1118" t="s">
        <v>537</v>
      </c>
      <c r="B21" s="1119">
        <f ca="1">'预评函-2'!D7</f>
        <v>14221</v>
      </c>
    </row>
    <row r="22" spans="1:2">
      <c r="A22" s="1118" t="s">
        <v>538</v>
      </c>
      <c r="B22" s="1119" t="str">
        <f ca="1">'预评函-2'!D6</f>
        <v>玖佰陆拾玖万元整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969</v>
      </c>
    </row>
    <row r="31" spans="1:2">
      <c r="A31" s="1118" t="s">
        <v>576</v>
      </c>
      <c r="B31" s="1119">
        <f ca="1">'预评函-2'!D15</f>
        <v>14221</v>
      </c>
    </row>
    <row r="32" spans="1:2">
      <c r="A32" s="1118" t="s">
        <v>543</v>
      </c>
      <c r="B32" s="1119" t="str">
        <f ca="1">'预评函-2'!D14</f>
        <v>玖佰陆拾玖万元整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北京市大兴区隆华大街55号院67号楼-1至2层01办公楼用房房地产</v>
      </c>
    </row>
    <row r="42" spans="1:2">
      <c r="A42" s="1118" t="s">
        <v>590</v>
      </c>
      <c r="B42" s="1119" t="str">
        <f>'预评函-3'!B2</f>
        <v>建筑面积</v>
      </c>
    </row>
    <row r="43" spans="1:2">
      <c r="A43" s="1118" t="s">
        <v>591</v>
      </c>
      <c r="B43" s="1119">
        <f>'预评函-3'!B4</f>
        <v>681.29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435</v>
      </c>
    </row>
    <row r="48" spans="1:2">
      <c r="A48" s="1118" t="s">
        <v>549</v>
      </c>
      <c r="B48" s="1119">
        <f ca="1">'预评函-3'!E4</f>
        <v>6385</v>
      </c>
    </row>
    <row r="49" spans="1:2">
      <c r="A49" s="1118" t="s">
        <v>550</v>
      </c>
      <c r="B49" s="1119" t="str">
        <f ca="1">'预评函-3'!D5</f>
        <v>肆佰叁拾伍万元整</v>
      </c>
    </row>
    <row r="50" spans="1:2">
      <c r="A50" s="1118" t="s">
        <v>574</v>
      </c>
      <c r="B50" s="1119" t="str">
        <f>'预评函-3'!F2</f>
        <v>在建建筑物价值</v>
      </c>
    </row>
    <row r="51" spans="1:2">
      <c r="A51" s="1118" t="s">
        <v>551</v>
      </c>
      <c r="B51" s="1119">
        <f ca="1">'预评函-3'!F4</f>
        <v>534</v>
      </c>
    </row>
    <row r="52" spans="1:2">
      <c r="A52" s="1118" t="s">
        <v>552</v>
      </c>
      <c r="B52" s="1119">
        <f ca="1">'预评函-3'!G4</f>
        <v>7836</v>
      </c>
    </row>
    <row r="53" spans="1:2">
      <c r="A53" s="1118" t="s">
        <v>580</v>
      </c>
      <c r="B53" s="1119" t="str">
        <f ca="1">'预评函-3'!F5</f>
        <v>伍佰叁拾肆万元整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3400</v>
      </c>
      <c r="AA1" s="1437" t="s">
        <v>3399</v>
      </c>
      <c r="AB1" s="1437" t="s">
        <v>3</v>
      </c>
    </row>
    <row r="2" spans="1:28">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2436</v>
      </c>
      <c r="Y2" s="1444" t="s">
        <v>3406</v>
      </c>
      <c r="Z2" s="1444" t="s">
        <v>2449</v>
      </c>
      <c r="AA2" s="1444" t="s">
        <v>3407</v>
      </c>
      <c r="AB2" s="1444" t="s">
        <v>2476</v>
      </c>
    </row>
    <row r="3" spans="1:28">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2438</v>
      </c>
      <c r="Z3" s="1444" t="s">
        <v>2451</v>
      </c>
      <c r="AB3" s="1444" t="s">
        <v>2478</v>
      </c>
    </row>
    <row r="4" spans="1:28">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2440</v>
      </c>
      <c r="Z4" s="1444" t="s">
        <v>2453</v>
      </c>
      <c r="AB4" s="1444" t="s">
        <v>2480</v>
      </c>
    </row>
    <row r="5" spans="1:28">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2442</v>
      </c>
      <c r="Z5" s="1444" t="s">
        <v>2455</v>
      </c>
      <c r="AB5" s="1444" t="s">
        <v>3408</v>
      </c>
    </row>
    <row r="6" spans="1:28">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2444</v>
      </c>
      <c r="Z6" s="1444" t="s">
        <v>2457</v>
      </c>
      <c r="AB6" s="1444" t="s">
        <v>2483</v>
      </c>
    </row>
    <row r="7" spans="1:28">
      <c r="A7" s="1440" t="s">
        <v>1023</v>
      </c>
      <c r="B7" s="1443" t="s">
        <v>450</v>
      </c>
      <c r="C7" s="1441" t="s">
        <v>25</v>
      </c>
      <c r="F7" s="1442" t="s">
        <v>1024</v>
      </c>
      <c r="H7" s="1442" t="s">
        <v>1025</v>
      </c>
      <c r="I7" s="1442" t="s">
        <v>3337</v>
      </c>
      <c r="X7" s="1444" t="s">
        <v>2446</v>
      </c>
      <c r="Z7" s="1444" t="s">
        <v>2459</v>
      </c>
      <c r="AB7" s="1444" t="s">
        <v>2485</v>
      </c>
    </row>
    <row r="8" spans="1:28">
      <c r="A8" s="1440" t="s">
        <v>1026</v>
      </c>
      <c r="B8" s="1440" t="s">
        <v>1027</v>
      </c>
      <c r="C8" s="1441" t="s">
        <v>319</v>
      </c>
      <c r="F8" s="1442" t="s">
        <v>1028</v>
      </c>
      <c r="H8" s="1442" t="s">
        <v>2574</v>
      </c>
      <c r="I8" s="1442" t="s">
        <v>3338</v>
      </c>
      <c r="X8" s="1444" t="s">
        <v>3409</v>
      </c>
      <c r="Z8" s="1444" t="s">
        <v>2461</v>
      </c>
      <c r="AB8" s="1444" t="s">
        <v>2487</v>
      </c>
    </row>
    <row r="9" spans="1:28">
      <c r="A9" s="1440" t="s">
        <v>1029</v>
      </c>
      <c r="B9" s="1440" t="s">
        <v>1030</v>
      </c>
      <c r="C9" s="1441" t="s">
        <v>320</v>
      </c>
      <c r="F9" s="1442" t="s">
        <v>1031</v>
      </c>
      <c r="H9" s="1442"/>
      <c r="I9" s="1444" t="s">
        <v>3339</v>
      </c>
      <c r="X9" s="1444" t="s">
        <v>3410</v>
      </c>
      <c r="Z9" s="1444" t="s">
        <v>2463</v>
      </c>
      <c r="AB9" s="1444" t="s">
        <v>2489</v>
      </c>
    </row>
    <row r="10" spans="1:28">
      <c r="A10" s="1440" t="s">
        <v>1032</v>
      </c>
      <c r="B10" s="1440" t="s">
        <v>1033</v>
      </c>
      <c r="C10" s="1441" t="s">
        <v>321</v>
      </c>
      <c r="F10" s="1442" t="s">
        <v>2575</v>
      </c>
      <c r="I10" s="1444" t="s">
        <v>3340</v>
      </c>
      <c r="Z10" s="1444" t="s">
        <v>2465</v>
      </c>
      <c r="AB10" s="1444" t="s">
        <v>2491</v>
      </c>
    </row>
    <row r="11" spans="1:28">
      <c r="A11" s="1440" t="s">
        <v>1034</v>
      </c>
      <c r="B11" s="1440" t="s">
        <v>1035</v>
      </c>
      <c r="C11" s="1441" t="s">
        <v>322</v>
      </c>
      <c r="F11" s="1442" t="s">
        <v>13</v>
      </c>
      <c r="I11" s="1444" t="s">
        <v>3341</v>
      </c>
      <c r="Z11" s="1444" t="s">
        <v>2467</v>
      </c>
      <c r="AB11" s="1444" t="s">
        <v>2493</v>
      </c>
    </row>
    <row r="12" spans="1:28">
      <c r="A12" s="1440" t="s">
        <v>1036</v>
      </c>
      <c r="B12" s="1440" t="s">
        <v>1037</v>
      </c>
      <c r="C12" s="1441" t="s">
        <v>323</v>
      </c>
      <c r="I12" s="1444" t="s">
        <v>3342</v>
      </c>
      <c r="Z12" s="1444" t="s">
        <v>2469</v>
      </c>
      <c r="AB12" s="1444" t="s">
        <v>2495</v>
      </c>
    </row>
    <row r="13" spans="1:28">
      <c r="A13" s="1440" t="s">
        <v>1038</v>
      </c>
      <c r="B13" s="1440" t="s">
        <v>1039</v>
      </c>
      <c r="C13" s="1441" t="s">
        <v>324</v>
      </c>
      <c r="I13" s="1444" t="s">
        <v>3343</v>
      </c>
      <c r="Z13" s="1444" t="s">
        <v>2471</v>
      </c>
    </row>
    <row r="14" spans="1:28">
      <c r="A14" s="1440" t="s">
        <v>1040</v>
      </c>
      <c r="B14" s="1440" t="s">
        <v>1041</v>
      </c>
      <c r="C14" s="1442" t="s">
        <v>13</v>
      </c>
      <c r="I14" s="1444" t="s">
        <v>3344</v>
      </c>
      <c r="Z14" s="1444" t="s">
        <v>2473</v>
      </c>
    </row>
    <row r="15" spans="1:28">
      <c r="A15" s="1440" t="s">
        <v>1042</v>
      </c>
      <c r="B15" s="1440" t="s">
        <v>1043</v>
      </c>
      <c r="C15" s="1441"/>
      <c r="I15" s="1444" t="s">
        <v>3345</v>
      </c>
    </row>
    <row r="16" spans="1:28">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45968</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1.1100000000000001</v>
      </c>
      <c r="D5" s="2766">
        <f>IF(ISERROR(ROUND(POWER(1+E5,A5-C5)*(POWER(1+E5,C5)-1)/(POWER(1+E5,A5)-1),3)),0,ROUND(POWER(1+E5,A5-C5)*(POWER(1+E5,C5)-1)/(POWER(1+E5,A5)-1),4))</f>
        <v>5.3800000000000001E-2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11.12</v>
      </c>
      <c r="D6" s="2766">
        <f>IF(ISERROR(ROUND(POWER(1+E6,A6-C6)*(POWER(1+E6,C6)-1)/(POWER(1+E6,A6)-1),3)),0,ROUND(POWER(1+E6,A6-C6)*(POWER(1+E6,C6)-1)/(POWER(1+E6,A6)-1),4))</f>
        <v>0.41139999999999999</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31.13</v>
      </c>
      <c r="D7" s="2766">
        <f>IF(ISERROR(ROUND(POWER(1+E7,A7-C7)*(POWER(1+E7,C7)-1)/(POWER(1+E7,A7)-1),3)),0,ROUND(POWER(1+E7,A7-C7)*(POWER(1+E7,C7)-1)/(POWER(1+E7,A7)-1),4))</f>
        <v>0.75339999999999996</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4.25" thickBot="1">
      <c r="A18" s="2771" t="s">
        <v>2513</v>
      </c>
      <c r="B18" s="2772">
        <f>ROUND(B17*F11/F12,2)</f>
        <v>5541.87</v>
      </c>
      <c r="C18" s="2772">
        <f>ROUND(F11/F12,4)</f>
        <v>1.1521999999999999</v>
      </c>
      <c r="D18" s="2773"/>
      <c r="E18" s="2773"/>
      <c r="F18" s="2774"/>
    </row>
    <row r="19" spans="1:14" ht="14.25" thickBot="1"/>
    <row r="20" spans="1:14" s="2807" customFormat="1" ht="14.2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4.2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31" t="str">
        <f>IF(B10="北京市","北京市",C10)&amp;F10&amp;IF(结果表!G1="在建","出让国有建设用地使用权及在建建筑物",IF(结果表!G1="土地","出让国有建设用地使用权",))&amp;B9&amp;"预评估"</f>
        <v>北京市大兴区隆华大街55号院67号楼-1至2层01办公楼用房房地产抵押价值预评估</v>
      </c>
      <c r="C1" s="3232"/>
      <c r="D1" s="3232"/>
      <c r="E1" s="3232"/>
      <c r="F1" s="3232"/>
      <c r="G1" s="3232"/>
      <c r="H1" s="3232"/>
      <c r="I1" s="323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北京市大兴区隆华大街55号院67号楼-1至2层01办公楼用房房地产抵押价值</v>
      </c>
      <c r="T1" s="1617"/>
      <c r="U1" s="1617"/>
      <c r="V1" s="1617"/>
      <c r="W1" s="1617"/>
      <c r="X1" s="1617"/>
      <c r="Y1" s="1617"/>
      <c r="Z1" s="1617"/>
      <c r="AA1" s="1617"/>
      <c r="AB1" s="1617"/>
    </row>
    <row r="2" spans="1:30">
      <c r="A2" s="2181" t="s">
        <v>2166</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北京市大兴区隆华大街55号院67号楼-1至2层01办公楼用房房地产</v>
      </c>
      <c r="T2" s="1617"/>
      <c r="U2" s="1617"/>
      <c r="V2" s="1617"/>
      <c r="W2" s="1617"/>
      <c r="X2" s="1617"/>
      <c r="Y2" s="1617"/>
      <c r="Z2" s="1617"/>
      <c r="AA2" s="1617"/>
      <c r="AB2" s="1617"/>
    </row>
    <row r="3" spans="1:30">
      <c r="A3" s="294" t="s">
        <v>2167</v>
      </c>
      <c r="B3" s="2184">
        <v>45968</v>
      </c>
      <c r="C3" s="2185" t="s">
        <v>2168</v>
      </c>
      <c r="D3" s="2184">
        <f>B3</f>
        <v>45968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2172</v>
      </c>
      <c r="B7" s="2197"/>
      <c r="C7" s="2195"/>
      <c r="D7" s="2196"/>
      <c r="E7" s="2440"/>
      <c r="F7" s="2441"/>
      <c r="G7" s="2441"/>
      <c r="H7" s="2441"/>
      <c r="I7" s="2441"/>
      <c r="J7" s="2244"/>
      <c r="K7" s="2401"/>
      <c r="L7" s="2398"/>
      <c r="M7" s="2398"/>
      <c r="N7" s="2244"/>
      <c r="O7" s="1669"/>
      <c r="P7" s="2244"/>
      <c r="Q7" s="2244"/>
      <c r="R7" s="2244"/>
    </row>
    <row r="8" spans="1:30">
      <c r="A8" s="2198" t="s">
        <v>2173</v>
      </c>
      <c r="B8" s="2199" t="s">
        <v>3414</v>
      </c>
      <c r="C8" s="2200"/>
      <c r="D8" s="3234" t="s">
        <v>2174</v>
      </c>
      <c r="E8" s="2201" t="s">
        <v>3415</v>
      </c>
      <c r="F8" s="2202"/>
      <c r="G8" s="2441"/>
      <c r="H8" s="2441"/>
      <c r="I8" s="2441"/>
      <c r="J8" s="2244"/>
      <c r="K8" s="2399"/>
      <c r="L8" s="2398"/>
      <c r="M8" s="2398"/>
      <c r="N8" s="2244"/>
      <c r="O8" s="1669"/>
      <c r="P8" s="2244"/>
      <c r="Q8" s="2244"/>
      <c r="R8" s="2244"/>
    </row>
    <row r="9" spans="1:30" ht="13.5" thickBot="1">
      <c r="A9" s="2203" t="s">
        <v>2175</v>
      </c>
      <c r="B9" s="2204" t="s">
        <v>3415</v>
      </c>
      <c r="C9" s="2205"/>
      <c r="D9" s="3235"/>
      <c r="E9" s="2204"/>
      <c r="F9" s="2206"/>
      <c r="G9" s="2442"/>
      <c r="H9" s="2442"/>
      <c r="I9" s="2442"/>
      <c r="J9" s="2244"/>
      <c r="K9" s="2401"/>
      <c r="L9" s="2398"/>
      <c r="M9" s="2398"/>
      <c r="N9" s="2244"/>
      <c r="O9" s="1669"/>
      <c r="P9" s="2244"/>
      <c r="Q9" s="2244"/>
      <c r="R9" s="2244"/>
    </row>
    <row r="10" spans="1:30" ht="13.5" thickTop="1">
      <c r="A10" s="2207" t="s">
        <v>2176</v>
      </c>
      <c r="B10" s="2208" t="s">
        <v>3416</v>
      </c>
      <c r="C10" s="2209"/>
      <c r="D10" s="2192"/>
      <c r="E10" s="2210" t="s">
        <v>2177</v>
      </c>
      <c r="F10" s="3181" t="s">
        <v>3539</v>
      </c>
      <c r="G10" s="2443"/>
      <c r="H10" s="2444"/>
      <c r="I10" s="2445"/>
      <c r="J10" s="2244"/>
      <c r="K10" s="2401"/>
      <c r="L10" s="2398"/>
      <c r="M10" s="2398"/>
      <c r="N10" s="2244"/>
      <c r="O10" s="1669"/>
      <c r="P10" s="2244"/>
      <c r="Q10" s="2244"/>
      <c r="R10" s="2244"/>
    </row>
    <row r="11" spans="1:30">
      <c r="A11" s="2211" t="s">
        <v>2178</v>
      </c>
      <c r="B11" s="2212" t="s">
        <v>3489</v>
      </c>
      <c r="C11" s="2213"/>
      <c r="D11" s="2214"/>
      <c r="E11" s="2181"/>
      <c r="F11" s="2181"/>
      <c r="G11" s="2181"/>
      <c r="H11" s="2181"/>
      <c r="I11" s="2181"/>
      <c r="J11" s="2800"/>
      <c r="K11" s="2398"/>
      <c r="L11" s="2398"/>
      <c r="M11" s="2398"/>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69"/>
      <c r="O12" s="2244"/>
      <c r="P12" s="2244"/>
      <c r="Q12" s="2244"/>
      <c r="AD12" s="1617"/>
    </row>
    <row r="13" spans="1:30">
      <c r="A13" s="3120" t="s">
        <v>3327</v>
      </c>
      <c r="B13" s="2217" t="s">
        <v>2187</v>
      </c>
      <c r="C13" s="801"/>
      <c r="D13" s="801"/>
      <c r="E13" s="801">
        <v>58927</v>
      </c>
      <c r="F13" s="801"/>
      <c r="G13" s="801">
        <v>58927</v>
      </c>
      <c r="H13" s="801"/>
      <c r="I13" s="801"/>
      <c r="J13" s="2801"/>
      <c r="K13" s="2398"/>
      <c r="L13" s="2398"/>
      <c r="M13" s="2244"/>
      <c r="N13" s="1669"/>
      <c r="O13" s="2244"/>
      <c r="P13" s="2244"/>
      <c r="Q13" s="2244"/>
      <c r="AD13" s="1617"/>
    </row>
    <row r="14" spans="1:30">
      <c r="A14" s="1017"/>
      <c r="B14" s="2217" t="s">
        <v>2188</v>
      </c>
      <c r="C14" s="2218"/>
      <c r="D14" s="2218">
        <v>40</v>
      </c>
      <c r="E14" s="2218">
        <v>50</v>
      </c>
      <c r="F14" s="2218"/>
      <c r="G14" s="2218">
        <v>50</v>
      </c>
      <c r="H14" s="2218"/>
      <c r="I14" s="2218"/>
      <c r="J14" s="2802"/>
      <c r="K14" s="2398"/>
      <c r="L14" s="2398"/>
      <c r="M14" s="2244"/>
      <c r="N14" s="1669"/>
      <c r="O14" s="2244"/>
      <c r="P14" s="2244"/>
      <c r="Q14" s="2244"/>
      <c r="AD14" s="1617"/>
    </row>
    <row r="15" spans="1:30">
      <c r="A15" s="312"/>
      <c r="B15" s="2219" t="s">
        <v>2189</v>
      </c>
      <c r="C15" s="2220" t="str">
        <f>IF(A13="出让",IF(C13="","",ROUNDDOWN(MIN((C13-$D$3)/365,C14),2)),C14)</f>
        <v/>
      </c>
      <c r="D15" s="2220" t="str">
        <f>IF(A13="出让",IF(D13="","",ROUNDDOWN(MIN((D13-$D$3)/365,D14),2)),D14)</f>
        <v/>
      </c>
      <c r="E15" s="2220">
        <f>IF(A13="出让",IF(E13="","",ROUNDDOWN(MIN((E13-$D$3)/365,E14),2)),E14)</f>
        <v>35.5</v>
      </c>
      <c r="F15" s="2220" t="str">
        <f>IF(A13="出让",IF(F13="","",ROUNDDOWN(MIN((F13-$D$3)/365,F14),2)),F14)</f>
        <v/>
      </c>
      <c r="G15" s="2220">
        <f>IF(A13="出让",IF(G13="","",ROUNDDOWN(MIN((G13-$D$3)/365,G14),2)),G14)</f>
        <v>35.5</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2190</v>
      </c>
      <c r="B16" s="3241"/>
      <c r="C16" s="3242"/>
      <c r="D16" s="3243"/>
      <c r="E16" s="2221" t="s">
        <v>2191</v>
      </c>
      <c r="F16" s="3244"/>
      <c r="G16" s="3245"/>
      <c r="H16" s="3245"/>
      <c r="I16" s="3246"/>
      <c r="J16" s="2244"/>
      <c r="K16" s="2402"/>
      <c r="L16" s="1669"/>
      <c r="M16" s="1669"/>
      <c r="N16" s="2244"/>
      <c r="O16" s="1669"/>
      <c r="P16" s="2244"/>
      <c r="Q16" s="2244"/>
      <c r="R16" s="2244"/>
    </row>
    <row r="17" spans="1:28">
      <c r="A17" s="305" t="s">
        <v>2192</v>
      </c>
      <c r="B17" s="294" t="s">
        <v>2193</v>
      </c>
      <c r="C17" s="8">
        <f>'数据-汇总表'!E3</f>
        <v>681.29</v>
      </c>
      <c r="D17" s="1255" t="s">
        <v>2194</v>
      </c>
      <c r="E17" s="3247" t="s">
        <v>2195</v>
      </c>
      <c r="F17" s="3248"/>
      <c r="G17" s="3248"/>
      <c r="H17" s="3248"/>
      <c r="I17" s="3249"/>
      <c r="J17" s="2244"/>
      <c r="K17" s="2403"/>
      <c r="L17" s="1669"/>
      <c r="M17" s="1669"/>
      <c r="N17" s="2244"/>
      <c r="O17" s="1669"/>
      <c r="P17" s="2244"/>
      <c r="Q17" s="2244"/>
      <c r="R17" s="2244"/>
      <c r="S17" s="2244"/>
      <c r="T17" s="2244"/>
      <c r="U17" s="2244"/>
      <c r="V17" s="2244"/>
    </row>
    <row r="18" spans="1:28" ht="24.75" thickBot="1">
      <c r="A18" s="2222" t="s">
        <v>2196</v>
      </c>
      <c r="B18" s="1026" t="s">
        <v>2197</v>
      </c>
      <c r="C18" s="2223">
        <f>'数据-汇总表'!D3</f>
        <v>0</v>
      </c>
      <c r="D18" s="1028" t="s">
        <v>2198</v>
      </c>
      <c r="E18" s="3250" t="s">
        <v>2199</v>
      </c>
      <c r="F18" s="3251"/>
      <c r="G18" s="3251"/>
      <c r="H18" s="3251"/>
      <c r="I18" s="3252"/>
      <c r="J18" s="2244"/>
      <c r="K18" s="2403"/>
      <c r="L18" s="1669"/>
      <c r="M18" s="1669"/>
      <c r="N18" s="2244"/>
      <c r="O18" s="1669"/>
      <c r="P18" s="2244"/>
      <c r="Q18" s="2244"/>
      <c r="R18" s="2244"/>
      <c r="S18" s="2244"/>
      <c r="T18" s="2244"/>
      <c r="U18" s="2244"/>
      <c r="V18" s="2244"/>
    </row>
    <row r="19" spans="1:28" ht="37.5" thickTop="1" thickBot="1">
      <c r="A19" s="319" t="s">
        <v>1055</v>
      </c>
      <c r="B19" s="299" t="s">
        <v>2200</v>
      </c>
      <c r="C19" s="1454"/>
      <c r="D19" s="1455" t="s">
        <v>2201</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2202</v>
      </c>
      <c r="B20" s="3237" t="s">
        <v>2203</v>
      </c>
      <c r="C20" s="3238"/>
      <c r="D20" s="3239" t="s">
        <v>2204</v>
      </c>
      <c r="E20" s="3240"/>
      <c r="F20" s="2429" t="s">
        <v>1056</v>
      </c>
      <c r="G20" s="2441"/>
      <c r="H20" s="2441"/>
      <c r="I20" s="2441"/>
      <c r="J20" s="2244"/>
      <c r="K20" s="3236"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2206</v>
      </c>
      <c r="C21" s="2295" t="s">
        <v>1057</v>
      </c>
      <c r="D21" s="1459" t="s">
        <v>2207</v>
      </c>
      <c r="E21" s="2418" t="s">
        <v>1057</v>
      </c>
      <c r="F21" s="2430"/>
      <c r="G21" s="2441"/>
      <c r="H21" s="2441"/>
      <c r="I21" s="2441"/>
      <c r="J21" s="2244"/>
      <c r="K21" s="323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2208</v>
      </c>
      <c r="C22" s="2295" t="s">
        <v>1058</v>
      </c>
      <c r="D22" s="2441"/>
      <c r="E22" s="2441"/>
      <c r="F22" s="2441"/>
      <c r="G22" s="2441"/>
      <c r="H22" s="2441"/>
      <c r="I22" s="2441"/>
      <c r="J22" s="2244"/>
      <c r="K22" s="323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2209</v>
      </c>
      <c r="B23" s="2292" t="s">
        <v>2210</v>
      </c>
      <c r="C23" s="2421"/>
      <c r="D23" s="2422" t="s">
        <v>2210</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5" t="s">
        <v>2211</v>
      </c>
      <c r="B27" s="312" t="s">
        <v>2212</v>
      </c>
      <c r="C27" s="2224" t="s">
        <v>3504</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5"/>
      <c r="B28" s="294" t="s">
        <v>2213</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5"/>
      <c r="B29" s="294" t="s">
        <v>2214</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6"/>
      <c r="B30" s="294" t="s">
        <v>2215</v>
      </c>
      <c r="C30" s="3227"/>
      <c r="D30" s="3228"/>
      <c r="E30" s="2441"/>
      <c r="F30" s="2441"/>
      <c r="G30" s="2441"/>
      <c r="H30" s="2441"/>
      <c r="I30" s="2441"/>
      <c r="J30" s="2244"/>
      <c r="K30" s="2401"/>
      <c r="L30" s="2398"/>
      <c r="M30" s="2398"/>
      <c r="N30" s="2244"/>
      <c r="O30" s="1669"/>
      <c r="P30" s="2244"/>
      <c r="Q30" s="2244"/>
      <c r="R30" s="2244"/>
      <c r="S30" s="2244"/>
      <c r="T30" s="2244"/>
      <c r="U30" s="2244"/>
      <c r="V30" s="2244"/>
    </row>
    <row r="31" spans="1:28">
      <c r="A31" s="3229" t="s">
        <v>2216</v>
      </c>
      <c r="B31" s="2230" t="s">
        <v>3417</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2217</v>
      </c>
      <c r="B34" s="1869"/>
      <c r="C34" s="1869"/>
      <c r="D34" s="1869"/>
      <c r="E34" s="1869"/>
      <c r="F34" s="1869"/>
      <c r="G34" s="1869"/>
      <c r="H34" s="1869"/>
      <c r="I34" s="2441"/>
      <c r="J34" s="2244"/>
      <c r="K34" s="8">
        <f>COUNTIF(B34:H34,"——")</f>
        <v>0</v>
      </c>
      <c r="L34" s="315" t="s">
        <v>2218</v>
      </c>
      <c r="M34" s="315" t="s">
        <v>2219</v>
      </c>
      <c r="N34" s="315" t="s">
        <v>2220</v>
      </c>
      <c r="O34" s="315" t="s">
        <v>2221</v>
      </c>
      <c r="P34" s="315" t="s">
        <v>2222</v>
      </c>
      <c r="Q34" s="315" t="s">
        <v>2223</v>
      </c>
      <c r="R34" s="315" t="s">
        <v>2224</v>
      </c>
      <c r="S34" s="3224" t="s">
        <v>2225</v>
      </c>
      <c r="T34" s="315" t="str">
        <f>NUMBERSTRING(7-K34,1)&amp;"通"</f>
        <v>七通</v>
      </c>
      <c r="U34" s="2244"/>
      <c r="V34" s="2244"/>
    </row>
    <row r="35" spans="1:30">
      <c r="A35" s="2235"/>
      <c r="B35" s="3224" t="s">
        <v>2226</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2"/>
      <c r="B36" s="8" t="s">
        <v>2182</v>
      </c>
      <c r="C36" s="8" t="s">
        <v>2183</v>
      </c>
      <c r="D36" s="8" t="s">
        <v>2181</v>
      </c>
      <c r="E36" s="8" t="s">
        <v>2186</v>
      </c>
      <c r="F36" s="2799" t="s">
        <v>2576</v>
      </c>
      <c r="G36" s="2441"/>
      <c r="H36" s="2441"/>
      <c r="I36" s="2441"/>
      <c r="J36" s="2244"/>
      <c r="K36" s="2401"/>
      <c r="L36" s="2398"/>
      <c r="M36" s="2398"/>
      <c r="N36" s="2244"/>
      <c r="O36" s="1669"/>
      <c r="P36" s="2244"/>
      <c r="Q36" s="2244"/>
      <c r="R36" s="2244"/>
      <c r="S36" s="2244"/>
      <c r="T36" s="2244"/>
      <c r="U36" s="2244"/>
      <c r="V36" s="2244"/>
    </row>
    <row r="37" spans="1:30">
      <c r="A37" s="2414" t="s">
        <v>2227</v>
      </c>
      <c r="B37" s="2236"/>
      <c r="C37" s="2236" t="s">
        <v>306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2228</v>
      </c>
      <c r="B38" s="2237"/>
      <c r="C38" s="2237" t="s">
        <v>2932</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5" customFormat="1">
      <c r="A43" s="1461"/>
      <c r="B43" s="987"/>
      <c r="C43" s="987"/>
      <c r="D43" s="987"/>
      <c r="E43" s="987"/>
      <c r="F43" s="987"/>
      <c r="G43" s="987"/>
      <c r="H43" s="987"/>
      <c r="I43" s="987"/>
      <c r="J43" s="2242"/>
      <c r="K43" s="2243"/>
      <c r="L43" s="2243"/>
      <c r="M43" s="987"/>
      <c r="N43" s="987"/>
      <c r="O43" s="987"/>
      <c r="P43" s="987"/>
      <c r="Q43" s="987"/>
      <c r="R43" s="987"/>
      <c r="S43" s="2244"/>
      <c r="T43" s="2244"/>
      <c r="U43" s="2244"/>
      <c r="V43" s="2244"/>
    </row>
    <row r="44" spans="1:30" s="1615" customFormat="1">
      <c r="A44" s="1461"/>
      <c r="B44" s="1461"/>
      <c r="C44" s="987"/>
      <c r="D44" s="987"/>
      <c r="E44" s="987"/>
      <c r="F44" s="987"/>
      <c r="G44" s="987"/>
      <c r="H44" s="987"/>
      <c r="I44" s="987"/>
      <c r="J44" s="2242"/>
      <c r="K44" s="2243"/>
      <c r="L44" s="2243"/>
      <c r="M44" s="987"/>
      <c r="N44" s="987"/>
      <c r="O44" s="987"/>
      <c r="P44" s="987"/>
      <c r="Q44" s="987"/>
      <c r="R44" s="987"/>
      <c r="S44" s="2244"/>
      <c r="T44" s="2244"/>
      <c r="U44" s="2244"/>
      <c r="V44" s="2244"/>
    </row>
    <row r="45" spans="1:30" s="1615" customFormat="1">
      <c r="A45" s="1461"/>
      <c r="B45" s="1461"/>
      <c r="C45" s="987"/>
      <c r="D45" s="987"/>
      <c r="E45" s="987"/>
      <c r="F45" s="987"/>
      <c r="G45" s="987"/>
      <c r="H45" s="987"/>
      <c r="I45" s="987"/>
      <c r="J45" s="2242"/>
      <c r="K45" s="2243"/>
      <c r="L45" s="2243"/>
      <c r="M45" s="987"/>
      <c r="N45" s="987"/>
      <c r="O45" s="987"/>
      <c r="P45" s="987"/>
      <c r="Q45" s="987"/>
      <c r="R45" s="987"/>
      <c r="S45" s="2244"/>
      <c r="T45" s="2244"/>
      <c r="U45" s="2244"/>
      <c r="V45" s="2244"/>
    </row>
    <row r="46" spans="1:30" s="1615" customFormat="1">
      <c r="A46" s="1461"/>
      <c r="B46" s="1461"/>
      <c r="C46" s="987"/>
      <c r="D46" s="987"/>
      <c r="E46" s="987"/>
      <c r="F46" s="987"/>
      <c r="G46" s="987"/>
      <c r="H46" s="987"/>
      <c r="I46" s="987"/>
      <c r="J46" s="2242"/>
      <c r="K46" s="2243"/>
      <c r="L46" s="2243"/>
      <c r="M46" s="987"/>
      <c r="N46" s="987"/>
      <c r="O46" s="987"/>
      <c r="P46" s="987"/>
      <c r="Q46" s="987"/>
      <c r="R46" s="987"/>
      <c r="S46" s="2244"/>
      <c r="T46" s="2244"/>
      <c r="U46" s="2244"/>
      <c r="V46" s="2244"/>
    </row>
    <row r="47" spans="1:30" s="1615" customFormat="1">
      <c r="A47" s="1461"/>
      <c r="B47" s="1461"/>
      <c r="C47" s="987"/>
      <c r="D47" s="987"/>
      <c r="E47" s="987"/>
      <c r="F47" s="987"/>
      <c r="G47" s="987"/>
      <c r="H47" s="987"/>
      <c r="I47" s="987"/>
      <c r="J47" s="2242"/>
      <c r="K47" s="2243"/>
      <c r="L47" s="2243"/>
      <c r="M47" s="987"/>
      <c r="N47" s="987"/>
      <c r="O47" s="987"/>
      <c r="P47" s="987"/>
      <c r="Q47" s="987"/>
      <c r="R47" s="987"/>
      <c r="S47" s="2244"/>
      <c r="T47" s="2244"/>
      <c r="U47" s="2244"/>
      <c r="V47" s="2244"/>
    </row>
    <row r="48" spans="1:30" s="1615" customFormat="1">
      <c r="A48" s="1461"/>
      <c r="B48" s="1461"/>
      <c r="C48" s="987"/>
      <c r="D48" s="987"/>
      <c r="E48" s="987"/>
      <c r="F48" s="987"/>
      <c r="G48" s="987"/>
      <c r="H48" s="987"/>
      <c r="I48" s="987"/>
      <c r="J48" s="2242"/>
      <c r="K48" s="2243"/>
      <c r="L48" s="2243"/>
      <c r="M48" s="987"/>
      <c r="N48" s="987"/>
      <c r="O48" s="987"/>
      <c r="P48" s="987"/>
      <c r="Q48" s="987"/>
      <c r="R48" s="987"/>
      <c r="S48" s="2244"/>
      <c r="T48" s="2244"/>
      <c r="U48" s="2244"/>
      <c r="V48" s="2244"/>
    </row>
    <row r="49" spans="1:22" s="1615" customFormat="1">
      <c r="A49" s="1461"/>
      <c r="B49" s="1461"/>
      <c r="C49" s="987"/>
      <c r="D49" s="987"/>
      <c r="E49" s="987"/>
      <c r="F49" s="987"/>
      <c r="G49" s="987"/>
      <c r="H49" s="987"/>
      <c r="I49" s="987"/>
      <c r="J49" s="2242"/>
      <c r="K49" s="2243"/>
      <c r="L49" s="2243"/>
      <c r="M49" s="987"/>
      <c r="N49" s="987"/>
      <c r="O49" s="987"/>
      <c r="P49" s="987"/>
      <c r="Q49" s="987"/>
      <c r="R49" s="987"/>
      <c r="S49" s="2244"/>
      <c r="T49" s="2244"/>
      <c r="U49" s="2244"/>
      <c r="V49" s="2244"/>
    </row>
    <row r="50" spans="1:22" s="1615" customFormat="1">
      <c r="A50" s="1461"/>
      <c r="B50" s="1461"/>
      <c r="C50" s="987"/>
      <c r="D50" s="987"/>
      <c r="E50" s="987"/>
      <c r="F50" s="987"/>
      <c r="G50" s="987"/>
      <c r="H50" s="987"/>
      <c r="I50" s="987"/>
      <c r="J50" s="2242"/>
      <c r="K50" s="2243"/>
      <c r="L50" s="2243"/>
      <c r="M50" s="987"/>
      <c r="N50" s="987"/>
      <c r="O50" s="987"/>
      <c r="P50" s="987"/>
      <c r="Q50" s="987"/>
      <c r="R50" s="987"/>
      <c r="S50" s="2244"/>
      <c r="T50" s="2244"/>
      <c r="U50" s="2244"/>
      <c r="V50" s="2244"/>
    </row>
    <row r="51" spans="1:22" s="1615" customFormat="1">
      <c r="A51" s="1461"/>
      <c r="B51" s="1461"/>
      <c r="C51" s="987"/>
      <c r="D51" s="987"/>
      <c r="E51" s="987"/>
      <c r="F51" s="987"/>
      <c r="G51" s="987"/>
      <c r="H51" s="987"/>
      <c r="I51" s="987"/>
      <c r="J51" s="2242"/>
      <c r="K51" s="2243"/>
      <c r="L51" s="2243"/>
      <c r="M51" s="987"/>
      <c r="N51" s="987"/>
      <c r="O51" s="987"/>
      <c r="P51" s="987"/>
      <c r="Q51" s="987"/>
      <c r="R51" s="987"/>
    </row>
    <row r="52" spans="1:22" s="1615" customFormat="1">
      <c r="A52" s="1461"/>
      <c r="B52" s="1461"/>
      <c r="C52" s="1461"/>
      <c r="D52" s="1461"/>
      <c r="E52" s="1461"/>
      <c r="F52" s="987"/>
      <c r="G52" s="1461"/>
      <c r="H52" s="1461"/>
      <c r="I52" s="1461"/>
      <c r="J52" s="2245"/>
      <c r="K52" s="2243"/>
      <c r="L52" s="2243"/>
      <c r="M52" s="2243"/>
      <c r="N52" s="1461"/>
      <c r="O52" s="1461"/>
      <c r="P52" s="1461"/>
      <c r="Q52" s="1461"/>
      <c r="R52" s="1461"/>
    </row>
    <row r="53" spans="1:22" s="1615" customFormat="1">
      <c r="A53" s="1461"/>
      <c r="B53" s="1461"/>
      <c r="C53" s="1461"/>
      <c r="D53" s="1461"/>
      <c r="E53" s="1461"/>
      <c r="F53" s="987"/>
      <c r="G53" s="1461"/>
      <c r="H53" s="1461"/>
      <c r="I53" s="1461"/>
      <c r="J53" s="2245"/>
      <c r="K53" s="2243"/>
      <c r="L53" s="2243"/>
      <c r="M53" s="2243"/>
      <c r="N53" s="1461"/>
      <c r="O53" s="1461"/>
      <c r="P53" s="1461"/>
      <c r="Q53" s="1461"/>
      <c r="R53" s="1461"/>
    </row>
    <row r="54" spans="1:22" s="1615" customFormat="1">
      <c r="A54" s="1461"/>
      <c r="B54" s="1461"/>
      <c r="C54" s="1461"/>
      <c r="D54" s="1461"/>
      <c r="E54" s="1461"/>
      <c r="F54" s="987"/>
      <c r="G54" s="1461"/>
      <c r="H54" s="1461"/>
      <c r="I54" s="1461"/>
      <c r="J54" s="2245"/>
      <c r="K54" s="2243"/>
      <c r="L54" s="2243"/>
      <c r="M54" s="2243"/>
      <c r="N54" s="1461"/>
      <c r="O54" s="1461"/>
      <c r="P54" s="1461"/>
      <c r="Q54" s="1461"/>
      <c r="R54" s="1461"/>
    </row>
    <row r="55" spans="1:22" s="1615" customFormat="1">
      <c r="A55" s="1461"/>
      <c r="B55" s="1461"/>
      <c r="C55" s="1461"/>
      <c r="D55" s="1461"/>
      <c r="E55" s="1461"/>
      <c r="F55" s="987"/>
      <c r="G55" s="1461"/>
      <c r="H55" s="1461"/>
      <c r="I55" s="1461"/>
      <c r="J55" s="2245"/>
      <c r="K55" s="2243"/>
      <c r="L55" s="2243"/>
      <c r="M55" s="2243"/>
      <c r="N55" s="1461"/>
      <c r="O55" s="1461"/>
      <c r="P55" s="1461"/>
      <c r="Q55" s="1461"/>
      <c r="R55" s="1461"/>
    </row>
    <row r="56" spans="1:22" s="1615" customFormat="1">
      <c r="A56" s="1461"/>
      <c r="B56" s="1461"/>
      <c r="C56" s="1461"/>
      <c r="D56" s="1461"/>
      <c r="E56" s="1461"/>
      <c r="F56" s="98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681.29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681.29</v>
      </c>
      <c r="H5" s="13">
        <f t="shared" ref="H5:AT5" si="0">SUM(H13:H656)</f>
        <v>681.29</v>
      </c>
      <c r="I5" s="13">
        <f t="shared" si="0"/>
        <v>454.18999999999994</v>
      </c>
      <c r="J5" s="13">
        <f t="shared" si="0"/>
        <v>0</v>
      </c>
      <c r="K5" s="13">
        <f t="shared" si="0"/>
        <v>227.1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681.29</v>
      </c>
      <c r="BA5" s="15">
        <f t="shared" si="1"/>
        <v>681.29</v>
      </c>
      <c r="BB5" s="15">
        <f t="shared" si="1"/>
        <v>454.18999999999994</v>
      </c>
      <c r="BC5" s="15">
        <f t="shared" si="1"/>
        <v>227.1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3419</v>
      </c>
      <c r="J9" s="759"/>
      <c r="K9" s="1490" t="s">
        <v>3506</v>
      </c>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59"/>
      <c r="K10" s="1496" t="s">
        <v>21</v>
      </c>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3505</v>
      </c>
      <c r="J11" s="1502"/>
      <c r="K11" s="1501" t="s">
        <v>3505</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独栋</v>
      </c>
      <c r="BC12" s="1511" t="str">
        <f>K11</f>
        <v>独栋</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3168"/>
      <c r="D13" s="1512" t="s">
        <v>3418</v>
      </c>
      <c r="E13" s="13">
        <f>IF($C$3="是",ROUND($A$3*G13/$B$3,2),ROUND($A$3*(G13-AT13)/$B$3,2))</f>
        <v>0</v>
      </c>
      <c r="F13" s="29"/>
      <c r="G13" s="30">
        <f>H13+AC13+AT13</f>
        <v>681.29</v>
      </c>
      <c r="H13" s="17">
        <f>SUMIF(I$12:AB$12,"总值",I13:AB13)</f>
        <v>681.29</v>
      </c>
      <c r="I13" s="1513">
        <f>681.29-K13</f>
        <v>454.18999999999994</v>
      </c>
      <c r="J13" s="1513"/>
      <c r="K13" s="1513">
        <f>ROUND(681.29/3,2)</f>
        <v>227.1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681.29</v>
      </c>
      <c r="BA13" s="13">
        <f>SUM(BB13:BK13)</f>
        <v>681.29</v>
      </c>
      <c r="BB13" s="13">
        <f>IF($D13="是",I13-J13,0)</f>
        <v>454.18999999999994</v>
      </c>
      <c r="BC13" s="13">
        <f>IF($D13="是",K13-L13,0)</f>
        <v>227.1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987"/>
      <c r="C14" s="3169"/>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98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98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98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6" t="s">
        <v>1107</v>
      </c>
      <c r="E2" s="1522" t="s">
        <v>1108</v>
      </c>
      <c r="F2" s="2438"/>
      <c r="G2" s="2431"/>
      <c r="H2" s="2432"/>
      <c r="I2" s="2145" t="s">
        <v>1132</v>
      </c>
      <c r="J2" s="2438"/>
      <c r="K2" s="2438"/>
      <c r="L2" s="2438"/>
      <c r="M2" s="2438"/>
      <c r="N2" s="2439"/>
      <c r="O2" s="2438"/>
      <c r="P2" s="2438"/>
    </row>
    <row r="3" spans="1:16" ht="15.75" thickBot="1">
      <c r="A3" s="3263" t="s">
        <v>1105</v>
      </c>
      <c r="B3" s="3263"/>
      <c r="C3" s="3263"/>
      <c r="D3" s="41">
        <f>'数据-基础表'!AY6</f>
        <v>0</v>
      </c>
      <c r="E3" s="41">
        <f>'数据-基础表'!AZ5</f>
        <v>681.29</v>
      </c>
      <c r="F3" s="2438"/>
      <c r="G3" s="42"/>
      <c r="H3" s="43" t="s">
        <v>1106</v>
      </c>
      <c r="I3" s="800" t="e">
        <f>ROUND('数据-基础表'!B3/'数据-基础表'!A3,2)</f>
        <v>#DIV/0!</v>
      </c>
      <c r="J3" s="2438"/>
      <c r="K3" s="2438"/>
      <c r="L3" s="2438"/>
      <c r="M3" s="2438"/>
      <c r="N3" s="2439"/>
      <c r="O3" s="2438"/>
      <c r="P3" s="2438"/>
    </row>
    <row r="4" spans="1:16" ht="15">
      <c r="A4" s="3264"/>
      <c r="B4" s="3265"/>
      <c r="C4" s="3266"/>
      <c r="D4" s="1523" t="s">
        <v>1107</v>
      </c>
      <c r="E4" s="1524" t="s">
        <v>1108</v>
      </c>
      <c r="F4" s="2438"/>
      <c r="G4" s="2433" t="s">
        <v>1133</v>
      </c>
      <c r="H4" s="43" t="s">
        <v>1113</v>
      </c>
      <c r="I4" s="800"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0" t="e">
        <f>ROUND(E31/D31,2)</f>
        <v>#DIV/0!</v>
      </c>
      <c r="J5" s="2438"/>
      <c r="K5" s="2438"/>
      <c r="L5" s="2438"/>
      <c r="M5" s="2438"/>
      <c r="N5" s="2438"/>
      <c r="O5" s="2438"/>
      <c r="P5" s="2438"/>
    </row>
    <row r="6" spans="1:16" ht="15" thickBot="1">
      <c r="A6" s="1526"/>
      <c r="B6" s="3267" t="s">
        <v>1111</v>
      </c>
      <c r="C6" s="3267"/>
      <c r="D6" s="43">
        <f>ROUND($D$3*E6/$E$3,2)</f>
        <v>0</v>
      </c>
      <c r="E6" s="44">
        <f>E3-E5</f>
        <v>681.29</v>
      </c>
      <c r="F6" s="2438"/>
      <c r="G6" s="1528" t="s">
        <v>1112</v>
      </c>
      <c r="H6" s="45" t="s">
        <v>1113</v>
      </c>
      <c r="I6" s="2434" t="e">
        <f>ROUND(F31/D31,2)</f>
        <v>#DIV/0!</v>
      </c>
      <c r="J6" s="2438"/>
      <c r="K6" s="2438"/>
      <c r="L6" s="2438"/>
      <c r="M6" s="2438"/>
      <c r="N6" s="2438"/>
      <c r="O6" s="2438"/>
      <c r="P6" s="2438"/>
    </row>
    <row r="7" spans="1:16" ht="15.75" thickBot="1">
      <c r="A7" s="3259"/>
      <c r="B7" s="3260"/>
      <c r="C7" s="3261"/>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454.18999999999994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227.1</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681.29</v>
      </c>
      <c r="F16" s="2438"/>
      <c r="G16" s="2438"/>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4" t="s">
        <v>3508</v>
      </c>
      <c r="D19" s="43">
        <f>ROUND($D$3*E19/$E$3,2)</f>
        <v>0</v>
      </c>
      <c r="E19" s="51">
        <f t="shared" ref="E19:E26" si="1">SUM(F19:G19)</f>
        <v>681.29</v>
      </c>
      <c r="F19" s="2556">
        <f>'数据-基础表'!I13</f>
        <v>454.18999999999994</v>
      </c>
      <c r="G19" s="1242">
        <f>'数据-基础表'!K13</f>
        <v>227.1</v>
      </c>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681.29</v>
      </c>
    </row>
    <row r="20" spans="1:19">
      <c r="A20" s="1548"/>
      <c r="B20" s="45" t="s">
        <v>1153</v>
      </c>
      <c r="C20" s="3114"/>
      <c r="D20" s="43">
        <f t="shared" ref="D20:D26" si="6">ROUND($D$3*E20/$E$3,2)</f>
        <v>0</v>
      </c>
      <c r="E20" s="51">
        <f t="shared" si="1"/>
        <v>0</v>
      </c>
      <c r="F20" s="2556"/>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681.29</v>
      </c>
      <c r="F27" s="1071">
        <f>IF(SUM(F19:F26)=E8,SUM(F19:F26),"地上面积有误")</f>
        <v>454.18999999999994</v>
      </c>
      <c r="G27" s="1073">
        <f>SUM(G19:G26)</f>
        <v>227.1</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681.29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3" t="s">
        <v>1158</v>
      </c>
      <c r="D31" s="641">
        <f>D27+D30</f>
        <v>0</v>
      </c>
      <c r="E31" s="641">
        <f>E27+E30</f>
        <v>681.29</v>
      </c>
      <c r="F31" s="642">
        <f>F27+F30</f>
        <v>454.18999999999994</v>
      </c>
      <c r="G31" s="643">
        <f>G27+G30</f>
        <v>227.1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W14" sqref="W1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9" width="6.75" style="1560" customWidth="1"/>
    <col min="30" max="30" width="11.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4"/>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2">
        <f>项目基本情况!D3</f>
        <v>45968</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3" t="s">
        <v>1187</v>
      </c>
      <c r="V5" s="504" t="s">
        <v>1188</v>
      </c>
      <c r="W5" s="504" t="s">
        <v>1189</v>
      </c>
      <c r="X5" s="60"/>
      <c r="Y5" s="59" t="s">
        <v>1190</v>
      </c>
      <c r="Z5" s="1100" t="s">
        <v>1187</v>
      </c>
      <c r="AA5" s="504" t="s">
        <v>1188</v>
      </c>
      <c r="AB5" s="504" t="s">
        <v>1189</v>
      </c>
      <c r="AC5" s="60"/>
      <c r="AD5" s="60" t="s">
        <v>1190</v>
      </c>
      <c r="AE5" s="983" t="s">
        <v>1191</v>
      </c>
      <c r="AF5" s="504" t="s">
        <v>1192</v>
      </c>
      <c r="AG5" s="59" t="s">
        <v>1193</v>
      </c>
      <c r="AH5" s="983" t="s">
        <v>1194</v>
      </c>
      <c r="AI5" s="1100" t="s">
        <v>1195</v>
      </c>
      <c r="AJ5" s="1100" t="s">
        <v>1196</v>
      </c>
      <c r="AK5" s="504" t="s">
        <v>1197</v>
      </c>
      <c r="AL5" s="504" t="s">
        <v>1198</v>
      </c>
      <c r="AM5" s="59" t="s">
        <v>1199</v>
      </c>
      <c r="AN5" s="1583" t="s">
        <v>1200</v>
      </c>
      <c r="AO5" s="1453" t="s">
        <v>1201</v>
      </c>
      <c r="AP5" s="966"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办公-独栋</v>
      </c>
      <c r="B6" s="1586" t="str">
        <f>IF(A6=0,"","经营性")</f>
        <v>经营性</v>
      </c>
      <c r="C6" s="1587" t="s">
        <v>21</v>
      </c>
      <c r="D6" s="803">
        <f>SUMIF(项目基本情况!C$12:I$12,C6,项目基本情况!C$14:I$14)</f>
        <v>50</v>
      </c>
      <c r="E6" s="802">
        <f>IF(B6="","",SUMIF(项目基本情况!C$12:I$12,C6,项目基本情况!C$13:I$13))</f>
        <v>58927</v>
      </c>
      <c r="F6" s="61">
        <f>SUMIF(项目基本情况!C$12:I$12,C6,项目基本情况!C$15:I$15)</f>
        <v>35.5</v>
      </c>
      <c r="G6" s="62">
        <f>IF(ISERROR(ROUND(POWER(1+H6,D6-F6)*(POWER(1+H6,F6)-1)/(POWER(1+H6,D6)-1),3)),0,ROUND(POWER(1+H6,D6-F6)*(POWER(1+H6,F6)-1)/(POWER(1+H6,D6)-1),3))</f>
        <v>0.90200000000000002</v>
      </c>
      <c r="H6" s="689">
        <v>0.05</v>
      </c>
      <c r="I6" s="689">
        <v>5.5E-2</v>
      </c>
      <c r="J6" s="63">
        <v>7.0000000000000007E-2</v>
      </c>
      <c r="K6" s="968">
        <f>SUMIF('数据-汇总表'!C$19:C$33,A6,'数据-汇总表'!E$19:E$33)</f>
        <v>681.29</v>
      </c>
      <c r="L6" s="690">
        <v>3000</v>
      </c>
      <c r="M6" s="64">
        <f t="shared" ref="M6:M14" si="0">ROUND(K6*L6/10000,0)</f>
        <v>204</v>
      </c>
      <c r="N6" s="688">
        <f>N19</f>
        <v>0.82</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1.3</v>
      </c>
      <c r="V6" s="67">
        <v>1.4999999999999999E-2</v>
      </c>
      <c r="W6" s="67">
        <v>0.15</v>
      </c>
      <c r="X6" s="977"/>
      <c r="Y6" s="68">
        <f>N6</f>
        <v>0.82</v>
      </c>
      <c r="Z6" s="69"/>
      <c r="AA6" s="63"/>
      <c r="AB6" s="63"/>
      <c r="AC6" s="977"/>
      <c r="AD6" s="70"/>
      <c r="AE6" s="978">
        <f ca="1">IF(AN6="",0,SUMIF(INDIRECT("'"&amp;AN6&amp;"'"&amp;"!E:E"),$AE$5,INDIRECT("'"&amp;AN6&amp;"'"&amp;"!F:F")))</f>
        <v>35.5</v>
      </c>
      <c r="AF6" s="74"/>
      <c r="AG6" s="130">
        <f>IF(AF6="",0,AE6-AF6)</f>
        <v>0</v>
      </c>
      <c r="AH6" s="71"/>
      <c r="AI6" s="73">
        <v>365</v>
      </c>
      <c r="AJ6" s="74"/>
      <c r="AK6" s="75">
        <v>2E-3</v>
      </c>
      <c r="AL6" s="76">
        <v>1E-3</v>
      </c>
      <c r="AM6" s="77">
        <v>1.4999999999999999E-2</v>
      </c>
      <c r="AN6" s="1588" t="s">
        <v>3422</v>
      </c>
      <c r="AO6" s="50">
        <f ca="1">SUMIF(INDIRECT("'"&amp;AN6&amp;"'"&amp;"!A:A"),"总价",INDIRECT("'"&amp;AN6&amp;"'"&amp;"!B:B"))</f>
        <v>464.81319999999999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6"/>
      <c r="V8" s="692"/>
      <c r="W8" s="692"/>
      <c r="X8" s="977"/>
      <c r="Y8" s="68"/>
      <c r="Z8" s="69"/>
      <c r="AA8" s="63"/>
      <c r="AB8" s="63"/>
      <c r="AC8" s="977"/>
      <c r="AD8" s="70"/>
      <c r="AE8" s="978">
        <f t="shared" ca="1" si="6"/>
        <v>0</v>
      </c>
      <c r="AF8" s="74"/>
      <c r="AG8" s="130">
        <f t="shared" si="7"/>
        <v>0</v>
      </c>
      <c r="AH8" s="693"/>
      <c r="AI8" s="73"/>
      <c r="AJ8" s="74"/>
      <c r="AK8" s="694"/>
      <c r="AL8" s="695"/>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30"/>
      <c r="AH14" s="978"/>
      <c r="AI14" s="1265"/>
      <c r="AJ14" s="50"/>
      <c r="AK14" s="979"/>
      <c r="AL14" s="980"/>
      <c r="AM14" s="981"/>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30"/>
      <c r="AH15" s="978"/>
      <c r="AI15" s="1265"/>
      <c r="AJ15" s="50"/>
      <c r="AK15" s="979"/>
      <c r="AL15" s="980"/>
      <c r="AM15" s="981"/>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0.90200000000000002</v>
      </c>
      <c r="H16" s="84">
        <f>ROUND(SUMPRODUCT(H6:H13,K6:K13)/SUMPRODUCT((H6:H13&gt;0)*(K6:K13)),3)</f>
        <v>0.05</v>
      </c>
      <c r="I16" s="85"/>
      <c r="J16" s="85"/>
      <c r="K16" s="86">
        <f>SUM(K6:K15)</f>
        <v>681.29</v>
      </c>
      <c r="L16" s="87">
        <f>ROUND(M16*10000/SUM(K6:K14),0)</f>
        <v>2994</v>
      </c>
      <c r="M16" s="87">
        <f>SUM(M6:M14)</f>
        <v>204</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2299</v>
      </c>
      <c r="D19" s="2450"/>
      <c r="E19" s="2438"/>
      <c r="F19" s="2438"/>
      <c r="G19" s="2438"/>
      <c r="H19" s="2438"/>
      <c r="I19" s="2438"/>
      <c r="J19" s="2438"/>
      <c r="K19" s="2448"/>
      <c r="L19" s="2448"/>
      <c r="M19" s="3170" t="s">
        <v>3421</v>
      </c>
      <c r="N19" s="2447">
        <f>ROUND(1-(1-0%)*(2025-N18)/60,2)</f>
        <v>0.82</v>
      </c>
      <c r="O19" s="2447"/>
      <c r="P19" s="2447"/>
      <c r="Q19" s="2447"/>
      <c r="R19" s="2447"/>
      <c r="S19" s="2447"/>
      <c r="T19" s="2447"/>
      <c r="U19" s="2447"/>
      <c r="V19" s="2447"/>
      <c r="W19" s="2447"/>
      <c r="X19" s="2447"/>
      <c r="Y19" s="3170"/>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2297</v>
      </c>
      <c r="D20" s="2450"/>
      <c r="E20" s="2438"/>
      <c r="F20" s="2438"/>
      <c r="G20" s="2438"/>
      <c r="H20" s="2438"/>
      <c r="I20" s="2438"/>
      <c r="J20" s="2438"/>
      <c r="K20" s="2448"/>
      <c r="L20" s="2448"/>
      <c r="M20" s="3170" t="s">
        <v>3490</v>
      </c>
      <c r="N20" s="2447"/>
      <c r="O20" s="2447"/>
      <c r="P20" s="2447"/>
      <c r="Q20" s="2447"/>
      <c r="R20" s="2447"/>
      <c r="S20" s="2447"/>
      <c r="T20" s="2447"/>
      <c r="U20" s="2447"/>
      <c r="V20" s="2447"/>
      <c r="W20" s="2447"/>
      <c r="X20" s="2447"/>
      <c r="Y20" s="2447"/>
      <c r="Z20" s="2447"/>
      <c r="AA20" s="2447"/>
      <c r="AB20" s="2447"/>
      <c r="AC20" s="2447"/>
      <c r="AD20" s="3171"/>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70" t="s">
        <v>3491</v>
      </c>
      <c r="N21" s="2447">
        <f>ROUND((N19+N20)/2,2)</f>
        <v>0.41</v>
      </c>
      <c r="O21" s="2447"/>
      <c r="P21" s="2447"/>
      <c r="Q21" s="2447"/>
      <c r="R21" s="2447"/>
      <c r="S21" s="2447"/>
      <c r="T21" s="2447"/>
      <c r="U21" s="2447"/>
      <c r="V21" s="2447"/>
      <c r="W21" s="2447"/>
      <c r="X21" s="2447"/>
      <c r="Y21" s="3170"/>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 (元)'!C10/10000</f>
        <v>13.6258</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6">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7"/>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8">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2307</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49" customWidth="1"/>
    <col min="19" max="29" width="9" style="749"/>
    <col min="30" max="16384" width="9" style="1521"/>
  </cols>
  <sheetData>
    <row r="1" spans="1:29" s="2258" customFormat="1" ht="18.75"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49"/>
      <c r="I2" s="749"/>
      <c r="J2" s="749"/>
      <c r="K2" s="749"/>
      <c r="L2" s="749"/>
      <c r="M2" s="749"/>
      <c r="N2" s="749"/>
      <c r="O2" s="749"/>
      <c r="P2" s="749"/>
      <c r="Q2" s="749"/>
    </row>
    <row r="3" spans="1:29" ht="48">
      <c r="A3" s="2246" t="s">
        <v>2280</v>
      </c>
      <c r="B3" s="2263" t="s">
        <v>2249</v>
      </c>
      <c r="C3" s="2264" t="s">
        <v>2281</v>
      </c>
      <c r="D3" s="2265"/>
      <c r="E3" s="2247" t="s">
        <v>2280</v>
      </c>
      <c r="F3" s="2266" t="s">
        <v>2250</v>
      </c>
      <c r="G3" s="2267" t="s">
        <v>2282</v>
      </c>
      <c r="H3" s="749"/>
      <c r="I3" s="749"/>
      <c r="J3" s="749"/>
      <c r="K3" s="749"/>
      <c r="L3" s="749"/>
      <c r="M3" s="749"/>
      <c r="N3" s="749"/>
      <c r="O3" s="749"/>
      <c r="P3" s="749"/>
      <c r="Q3" s="749"/>
    </row>
    <row r="4" spans="1:29" ht="36.75">
      <c r="A4" s="2247"/>
      <c r="B4" s="315" t="s">
        <v>2251</v>
      </c>
      <c r="C4" s="2268" t="s">
        <v>2252</v>
      </c>
      <c r="D4" s="2265"/>
      <c r="E4" s="2269"/>
      <c r="F4" s="1280" t="s">
        <v>2253</v>
      </c>
      <c r="G4" s="2270" t="s">
        <v>2254</v>
      </c>
      <c r="H4" s="749"/>
      <c r="I4" s="749"/>
      <c r="J4" s="749"/>
      <c r="K4" s="749"/>
      <c r="L4" s="749"/>
      <c r="M4" s="749"/>
      <c r="N4" s="749"/>
      <c r="O4" s="749"/>
      <c r="P4" s="749"/>
      <c r="Q4" s="749"/>
    </row>
    <row r="5" spans="1:29" ht="36.75">
      <c r="A5" s="2247"/>
      <c r="B5" s="315" t="s">
        <v>2255</v>
      </c>
      <c r="C5" s="2268" t="s">
        <v>2256</v>
      </c>
      <c r="D5" s="2265"/>
      <c r="E5" s="2269"/>
      <c r="F5" s="315" t="s">
        <v>2257</v>
      </c>
      <c r="G5" s="2270" t="s">
        <v>2258</v>
      </c>
      <c r="H5" s="749"/>
      <c r="I5" s="749"/>
      <c r="J5" s="749"/>
      <c r="K5" s="749"/>
      <c r="L5" s="749"/>
      <c r="M5" s="749"/>
      <c r="N5" s="749"/>
      <c r="O5" s="749"/>
      <c r="P5" s="749"/>
      <c r="Q5" s="749"/>
    </row>
    <row r="6" spans="1:29" ht="36">
      <c r="A6" s="2247"/>
      <c r="B6" s="315" t="s">
        <v>2259</v>
      </c>
      <c r="C6" s="2270" t="s">
        <v>2254</v>
      </c>
      <c r="D6" s="2265"/>
      <c r="E6" s="2269"/>
      <c r="F6" s="315" t="s">
        <v>2260</v>
      </c>
      <c r="G6" s="2270" t="s">
        <v>2261</v>
      </c>
      <c r="H6" s="749"/>
      <c r="I6" s="749"/>
      <c r="J6" s="749"/>
      <c r="K6" s="749"/>
      <c r="L6" s="749"/>
      <c r="M6" s="749"/>
      <c r="N6" s="749"/>
      <c r="O6" s="749"/>
      <c r="P6" s="749"/>
      <c r="Q6" s="749"/>
    </row>
    <row r="7" spans="1:29" ht="24.75" thickBot="1">
      <c r="A7" s="2247"/>
      <c r="B7" s="315" t="s">
        <v>2257</v>
      </c>
      <c r="C7" s="2270" t="s">
        <v>2258</v>
      </c>
      <c r="D7" s="2244"/>
      <c r="E7" s="2271"/>
      <c r="F7" s="2272" t="s">
        <v>2262</v>
      </c>
      <c r="G7" s="2273" t="s">
        <v>2263</v>
      </c>
      <c r="H7" s="749"/>
      <c r="I7" s="749"/>
      <c r="J7" s="749"/>
      <c r="K7" s="749"/>
      <c r="L7" s="749"/>
      <c r="M7" s="749"/>
      <c r="N7" s="749"/>
      <c r="O7" s="749"/>
      <c r="P7" s="749"/>
      <c r="Q7" s="749"/>
    </row>
    <row r="8" spans="1:29">
      <c r="A8" s="2247"/>
      <c r="B8" s="315" t="s">
        <v>2260</v>
      </c>
      <c r="C8" s="2270" t="s">
        <v>2261</v>
      </c>
      <c r="D8" s="2244"/>
      <c r="E8" s="2244"/>
      <c r="F8" s="121"/>
      <c r="G8" s="121"/>
      <c r="H8" s="749"/>
      <c r="I8" s="749"/>
      <c r="J8" s="749"/>
      <c r="K8" s="749"/>
      <c r="L8" s="749"/>
      <c r="M8" s="749"/>
      <c r="N8" s="749"/>
      <c r="O8" s="749"/>
      <c r="P8" s="749"/>
      <c r="Q8" s="749"/>
    </row>
    <row r="9" spans="1:29" ht="24">
      <c r="A9" s="2247"/>
      <c r="B9" s="315" t="s">
        <v>2264</v>
      </c>
      <c r="C9" s="2268" t="s">
        <v>2265</v>
      </c>
      <c r="D9" s="2265"/>
      <c r="E9" s="2244"/>
      <c r="F9" s="121"/>
      <c r="G9" s="121"/>
      <c r="H9" s="749"/>
      <c r="I9" s="749"/>
      <c r="J9" s="749"/>
      <c r="K9" s="749"/>
      <c r="L9" s="749"/>
      <c r="M9" s="749"/>
      <c r="N9" s="749"/>
      <c r="O9" s="749"/>
      <c r="P9" s="749"/>
      <c r="Q9" s="749"/>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8.25">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8.25">
      <c r="A17" s="2251"/>
      <c r="B17" s="2290" t="s">
        <v>2255</v>
      </c>
      <c r="C17" s="2291" t="str">
        <f>C5</f>
        <v>估价对象位于XX商圈，周边办公楼项目较多，入驻率高，办公集聚程度较好</v>
      </c>
      <c r="D17" s="2244"/>
      <c r="E17" s="2252"/>
      <c r="F17" s="2292" t="s">
        <v>2272</v>
      </c>
      <c r="G17" s="2294"/>
    </row>
    <row r="18" spans="1:17" ht="38.25">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5.5">
      <c r="A19" s="2251"/>
      <c r="B19" s="2292" t="s">
        <v>2273</v>
      </c>
      <c r="C19" s="2294"/>
      <c r="D19" s="2265"/>
      <c r="E19" s="2252"/>
      <c r="F19" s="315" t="s">
        <v>2257</v>
      </c>
      <c r="G19" s="2293" t="str">
        <f>G5</f>
        <v>估价对象所在区域公共配套设施齐备情况</v>
      </c>
    </row>
    <row r="20" spans="1:17" ht="25.5">
      <c r="A20" s="2251"/>
      <c r="B20" s="2292" t="s">
        <v>2274</v>
      </c>
      <c r="C20" s="2291" t="str">
        <f>C9</f>
        <v>区域自然环境：；人文环境；综合评价环境状况一般</v>
      </c>
      <c r="D20" s="2244"/>
      <c r="E20" s="2252"/>
      <c r="F20" s="315" t="s">
        <v>2260</v>
      </c>
      <c r="G20" s="2293" t="str">
        <f>G6</f>
        <v>估价对象所在区域基础设施水平</v>
      </c>
    </row>
    <row r="21" spans="1:17" ht="25.5">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49" customFormat="1" ht="15" thickBot="1">
      <c r="A23" s="2251"/>
      <c r="B23" s="2292" t="s">
        <v>2275</v>
      </c>
      <c r="C23" s="2295"/>
      <c r="D23" s="1613"/>
      <c r="E23" s="2253"/>
      <c r="F23" s="2296" t="s">
        <v>2276</v>
      </c>
      <c r="G23" s="2297"/>
      <c r="H23" s="2276"/>
      <c r="I23" s="2276"/>
      <c r="J23" s="2276"/>
      <c r="K23" s="2276"/>
      <c r="L23" s="2276"/>
      <c r="M23" s="2276"/>
      <c r="N23" s="2276"/>
      <c r="O23" s="2276"/>
      <c r="P23" s="2276"/>
      <c r="Q23" s="2276"/>
    </row>
    <row r="24" spans="1:17" s="749" customFormat="1" ht="15" thickBot="1">
      <c r="A24" s="2254"/>
      <c r="B24" s="2296" t="s">
        <v>2277</v>
      </c>
      <c r="C24" s="2298">
        <f>C10</f>
        <v>0</v>
      </c>
      <c r="D24" s="1613"/>
      <c r="E24" s="2244"/>
      <c r="F24" s="2244"/>
      <c r="G24" s="2244"/>
      <c r="H24" s="2276"/>
      <c r="I24" s="2276"/>
      <c r="J24" s="2276"/>
      <c r="K24" s="2276"/>
      <c r="L24" s="2276"/>
      <c r="M24" s="2276"/>
      <c r="N24" s="2276"/>
      <c r="O24" s="2276"/>
      <c r="P24" s="2276"/>
      <c r="Q24" s="2276"/>
    </row>
    <row r="25" spans="1:17" s="749" customFormat="1">
      <c r="B25" s="2276"/>
      <c r="C25" s="2276"/>
      <c r="D25" s="2276"/>
      <c r="H25" s="2276"/>
      <c r="I25" s="2276"/>
      <c r="J25" s="2276"/>
      <c r="K25" s="2276"/>
      <c r="L25" s="2276"/>
      <c r="M25" s="2276"/>
      <c r="N25" s="2276"/>
      <c r="O25" s="2276"/>
      <c r="P25" s="2276"/>
      <c r="Q25" s="2276"/>
    </row>
    <row r="26" spans="1:17" s="749" customFormat="1">
      <c r="B26" s="2276"/>
      <c r="C26" s="2276"/>
      <c r="D26" s="2276"/>
      <c r="H26" s="2276"/>
      <c r="I26" s="2276"/>
      <c r="J26" s="2276"/>
      <c r="K26" s="2276"/>
      <c r="L26" s="2276"/>
      <c r="M26" s="2276"/>
      <c r="N26" s="2276"/>
      <c r="O26" s="2276"/>
      <c r="P26" s="2276"/>
      <c r="Q26" s="2276"/>
    </row>
    <row r="27" spans="1:17" s="749" customFormat="1">
      <c r="B27" s="2276"/>
      <c r="C27" s="2276"/>
      <c r="D27" s="2276"/>
      <c r="H27" s="2276"/>
      <c r="I27" s="2276"/>
      <c r="J27" s="2276"/>
      <c r="K27" s="2276"/>
      <c r="L27" s="2276"/>
      <c r="M27" s="2276"/>
      <c r="N27" s="2276"/>
      <c r="O27" s="2276"/>
      <c r="P27" s="2276"/>
      <c r="Q27" s="2276"/>
    </row>
    <row r="28" spans="1:17" s="749" customFormat="1">
      <c r="B28" s="2276"/>
      <c r="C28" s="2276"/>
      <c r="D28" s="2276"/>
      <c r="H28" s="2276"/>
      <c r="I28" s="2276"/>
      <c r="J28" s="2276"/>
      <c r="K28" s="2276"/>
      <c r="L28" s="2276"/>
      <c r="M28" s="2276"/>
      <c r="N28" s="2276"/>
      <c r="O28" s="2276"/>
      <c r="P28" s="2276"/>
      <c r="Q28" s="2276"/>
    </row>
    <row r="29" spans="1:17" s="749" customFormat="1">
      <c r="B29" s="2276"/>
      <c r="C29" s="2276"/>
      <c r="D29" s="2276"/>
      <c r="H29" s="2276"/>
      <c r="I29" s="2276"/>
      <c r="J29" s="2276"/>
      <c r="K29" s="2276"/>
      <c r="L29" s="2276"/>
      <c r="M29" s="2276"/>
      <c r="N29" s="2276"/>
      <c r="O29" s="2276"/>
      <c r="P29" s="2276"/>
      <c r="Q29" s="2276"/>
    </row>
    <row r="30" spans="1:17" s="749" customFormat="1">
      <c r="B30" s="2276"/>
      <c r="C30" s="2276"/>
      <c r="D30" s="2276"/>
      <c r="H30" s="2276"/>
      <c r="I30" s="2276"/>
      <c r="J30" s="2276"/>
      <c r="K30" s="2276"/>
      <c r="L30" s="2276"/>
      <c r="M30" s="2276"/>
      <c r="N30" s="2276"/>
      <c r="O30" s="2276"/>
      <c r="P30" s="2276"/>
      <c r="Q30" s="2276"/>
    </row>
    <row r="31" spans="1:17" s="749" customFormat="1">
      <c r="B31" s="2276"/>
      <c r="C31" s="2276"/>
      <c r="D31" s="2276"/>
      <c r="H31" s="2276"/>
      <c r="I31" s="2276"/>
      <c r="J31" s="2276"/>
      <c r="K31" s="2276"/>
      <c r="L31" s="2276"/>
      <c r="M31" s="2276"/>
      <c r="N31" s="2276"/>
      <c r="O31" s="2276"/>
      <c r="P31" s="2276"/>
      <c r="Q31" s="2276"/>
    </row>
    <row r="32" spans="1:17" s="749" customFormat="1">
      <c r="B32" s="2276"/>
      <c r="C32" s="2276"/>
      <c r="D32" s="2276"/>
      <c r="H32" s="2276"/>
      <c r="I32" s="2276"/>
      <c r="J32" s="2276"/>
      <c r="K32" s="2276"/>
      <c r="L32" s="2276"/>
      <c r="M32" s="2276"/>
      <c r="N32" s="2276"/>
      <c r="O32" s="2276"/>
      <c r="P32" s="2276"/>
      <c r="Q32" s="2276"/>
    </row>
    <row r="33" spans="2:17" s="749" customFormat="1">
      <c r="B33" s="2276"/>
      <c r="C33" s="2276"/>
      <c r="D33" s="2276"/>
      <c r="H33" s="2276"/>
      <c r="I33" s="2276"/>
      <c r="J33" s="2276"/>
      <c r="K33" s="2276"/>
      <c r="L33" s="2276"/>
      <c r="M33" s="2276"/>
      <c r="N33" s="2276"/>
      <c r="O33" s="2276"/>
      <c r="P33" s="2276"/>
      <c r="Q33" s="2276"/>
    </row>
    <row r="34" spans="2:17" s="749" customFormat="1">
      <c r="B34" s="2276"/>
      <c r="C34" s="2276"/>
      <c r="D34" s="2276"/>
      <c r="H34" s="2276"/>
      <c r="I34" s="2276"/>
      <c r="J34" s="2276"/>
      <c r="K34" s="2276"/>
      <c r="L34" s="2276"/>
      <c r="M34" s="2276"/>
      <c r="N34" s="2276"/>
      <c r="O34" s="2276"/>
      <c r="P34" s="2276"/>
      <c r="Q34" s="2276"/>
    </row>
    <row r="35" spans="2:17" s="749" customFormat="1">
      <c r="B35" s="2276"/>
      <c r="C35" s="2276"/>
      <c r="D35" s="2276"/>
      <c r="H35" s="2276"/>
      <c r="I35" s="2276"/>
      <c r="J35" s="2276"/>
      <c r="K35" s="2276"/>
      <c r="L35" s="2276"/>
      <c r="M35" s="2276"/>
      <c r="N35" s="2276"/>
      <c r="O35" s="2276"/>
      <c r="P35" s="2276"/>
      <c r="Q35" s="2276"/>
    </row>
    <row r="36" spans="2:17" s="749" customFormat="1">
      <c r="B36" s="2276"/>
      <c r="C36" s="2276"/>
      <c r="D36" s="2276"/>
      <c r="H36" s="2276"/>
      <c r="I36" s="2276"/>
      <c r="J36" s="2276"/>
      <c r="K36" s="2276"/>
      <c r="L36" s="2276"/>
      <c r="M36" s="2276"/>
      <c r="N36" s="2276"/>
      <c r="O36" s="2276"/>
      <c r="P36" s="2276"/>
      <c r="Q36" s="2276"/>
    </row>
    <row r="37" spans="2:17" s="749" customFormat="1">
      <c r="B37" s="2276"/>
      <c r="C37" s="2276"/>
      <c r="D37" s="2276"/>
      <c r="H37" s="2276"/>
      <c r="I37" s="2276"/>
      <c r="J37" s="2276"/>
      <c r="K37" s="2276"/>
      <c r="L37" s="2276"/>
      <c r="M37" s="2276"/>
      <c r="N37" s="2276"/>
      <c r="O37" s="2276"/>
      <c r="P37" s="2276"/>
      <c r="Q37" s="2276"/>
    </row>
    <row r="38" spans="2:17" s="749" customFormat="1">
      <c r="B38" s="2276"/>
      <c r="C38" s="2276"/>
      <c r="D38" s="2276"/>
      <c r="E38" s="2276"/>
      <c r="F38" s="2276"/>
      <c r="G38" s="2276"/>
      <c r="H38" s="2276"/>
      <c r="I38" s="2276"/>
      <c r="J38" s="2276"/>
      <c r="K38" s="2276"/>
      <c r="L38" s="2276"/>
      <c r="M38" s="2276"/>
      <c r="N38" s="2276"/>
      <c r="O38" s="2276"/>
      <c r="P38" s="2276"/>
      <c r="Q38" s="2276"/>
    </row>
    <row r="39" spans="2:17" s="749" customFormat="1">
      <c r="B39" s="2276"/>
      <c r="C39" s="2276"/>
      <c r="D39" s="2276"/>
      <c r="E39" s="2276"/>
      <c r="F39" s="2276"/>
      <c r="G39" s="2276"/>
      <c r="H39" s="2276"/>
      <c r="I39" s="2276"/>
      <c r="J39" s="2276"/>
      <c r="K39" s="2276"/>
      <c r="L39" s="2276"/>
      <c r="M39" s="2276"/>
      <c r="N39" s="2276"/>
      <c r="O39" s="2276"/>
      <c r="P39" s="2276"/>
      <c r="Q39" s="2276"/>
    </row>
    <row r="40" spans="2:17" s="749" customFormat="1">
      <c r="B40" s="2276"/>
      <c r="C40" s="2276"/>
      <c r="D40" s="2276"/>
      <c r="E40" s="2276"/>
      <c r="F40" s="2276"/>
      <c r="G40" s="2276"/>
      <c r="H40" s="2276"/>
      <c r="I40" s="2276"/>
      <c r="J40" s="2276"/>
      <c r="K40" s="2276"/>
      <c r="L40" s="2276"/>
      <c r="M40" s="2276"/>
      <c r="N40" s="2276"/>
      <c r="O40" s="2276"/>
      <c r="P40" s="2276"/>
      <c r="Q40" s="2276"/>
    </row>
    <row r="41" spans="2:17" s="749" customFormat="1">
      <c r="B41" s="2276"/>
      <c r="C41" s="2276"/>
      <c r="D41" s="2276"/>
      <c r="E41" s="2276"/>
      <c r="F41" s="2276"/>
      <c r="G41" s="2276"/>
      <c r="H41" s="2276"/>
      <c r="I41" s="2276"/>
      <c r="J41" s="2276"/>
      <c r="K41" s="2276"/>
      <c r="L41" s="2276"/>
      <c r="M41" s="2276"/>
      <c r="N41" s="2276"/>
      <c r="O41" s="2276"/>
      <c r="P41" s="2276"/>
      <c r="Q41" s="2276"/>
    </row>
    <row r="42" spans="2:17" s="749" customFormat="1">
      <c r="B42" s="2276"/>
      <c r="C42" s="2276"/>
      <c r="D42" s="2276"/>
      <c r="E42" s="2276"/>
      <c r="F42" s="2276"/>
      <c r="G42" s="2276"/>
      <c r="H42" s="2276"/>
      <c r="I42" s="2276"/>
      <c r="J42" s="2276"/>
      <c r="K42" s="2276"/>
      <c r="L42" s="2276"/>
      <c r="M42" s="2276"/>
      <c r="N42" s="2276"/>
      <c r="O42" s="2276"/>
      <c r="P42" s="2276"/>
      <c r="Q42" s="2276"/>
    </row>
    <row r="43" spans="2:17" s="749" customFormat="1">
      <c r="B43" s="2276"/>
      <c r="C43" s="2276"/>
      <c r="D43" s="2276"/>
      <c r="E43" s="2276"/>
      <c r="F43" s="2276"/>
      <c r="G43" s="2276"/>
      <c r="H43" s="2276"/>
      <c r="I43" s="2276"/>
      <c r="J43" s="2276"/>
      <c r="K43" s="2276"/>
      <c r="L43" s="2276"/>
      <c r="M43" s="2276"/>
      <c r="N43" s="2276"/>
      <c r="O43" s="2276"/>
      <c r="P43" s="2276"/>
      <c r="Q43" s="2276"/>
    </row>
    <row r="44" spans="2:17" s="749" customFormat="1">
      <c r="B44" s="2276"/>
      <c r="C44" s="2276"/>
      <c r="D44" s="2276"/>
      <c r="E44" s="2276"/>
      <c r="F44" s="2276"/>
      <c r="G44" s="2276"/>
      <c r="H44" s="2276"/>
      <c r="I44" s="2276"/>
      <c r="J44" s="2276"/>
      <c r="K44" s="2276"/>
      <c r="L44" s="2276"/>
      <c r="M44" s="2276"/>
      <c r="N44" s="2276"/>
      <c r="O44" s="2276"/>
      <c r="P44" s="2276"/>
      <c r="Q44" s="2276"/>
    </row>
    <row r="45" spans="2:17" s="749" customFormat="1">
      <c r="B45" s="2276"/>
      <c r="C45" s="2276"/>
      <c r="D45" s="2276"/>
      <c r="E45" s="2276"/>
      <c r="F45" s="2276"/>
      <c r="G45" s="2276"/>
      <c r="H45" s="2276"/>
      <c r="I45" s="2276"/>
      <c r="J45" s="2276"/>
      <c r="K45" s="2276"/>
      <c r="L45" s="2276"/>
      <c r="M45" s="2276"/>
      <c r="N45" s="2276"/>
      <c r="O45" s="2276"/>
      <c r="P45" s="2276"/>
      <c r="Q45" s="2276"/>
    </row>
    <row r="46" spans="2:17" s="749" customFormat="1">
      <c r="B46" s="2276"/>
      <c r="C46" s="2276"/>
      <c r="D46" s="2276"/>
      <c r="E46" s="2276"/>
      <c r="F46" s="2276"/>
      <c r="G46" s="2276"/>
      <c r="H46" s="2276"/>
      <c r="I46" s="2276"/>
      <c r="J46" s="2276"/>
      <c r="K46" s="2276"/>
      <c r="L46" s="2276"/>
      <c r="M46" s="2276"/>
      <c r="N46" s="2276"/>
      <c r="O46" s="2276"/>
      <c r="P46" s="2276"/>
      <c r="Q46" s="2276"/>
    </row>
    <row r="47" spans="2:17" s="749" customFormat="1">
      <c r="B47" s="2276"/>
      <c r="C47" s="2276"/>
      <c r="D47" s="2276"/>
      <c r="E47" s="2276"/>
      <c r="F47" s="2276"/>
      <c r="G47" s="2276"/>
      <c r="H47" s="2276"/>
      <c r="I47" s="2276"/>
      <c r="J47" s="2276"/>
      <c r="K47" s="2276"/>
      <c r="L47" s="2276"/>
      <c r="M47" s="2276"/>
      <c r="N47" s="2276"/>
      <c r="O47" s="2276"/>
      <c r="P47" s="2276"/>
      <c r="Q47" s="2276"/>
    </row>
    <row r="48" spans="2:17" s="749" customFormat="1">
      <c r="B48" s="2276"/>
      <c r="C48" s="2276"/>
      <c r="D48" s="2276"/>
      <c r="E48" s="2276"/>
      <c r="F48" s="2276"/>
      <c r="G48" s="2276"/>
      <c r="H48" s="2276"/>
      <c r="I48" s="2276"/>
      <c r="J48" s="2276"/>
      <c r="K48" s="2276"/>
      <c r="L48" s="2276"/>
      <c r="M48" s="2276"/>
      <c r="N48" s="2276"/>
      <c r="O48" s="2276"/>
      <c r="P48" s="2276"/>
      <c r="Q48" s="2276"/>
    </row>
    <row r="49" spans="2:17" s="749" customFormat="1">
      <c r="B49" s="2276"/>
      <c r="C49" s="2276"/>
      <c r="D49" s="2276"/>
      <c r="E49" s="2276"/>
      <c r="F49" s="2276"/>
      <c r="G49" s="2276"/>
      <c r="H49" s="2276"/>
      <c r="I49" s="2276"/>
      <c r="J49" s="2276"/>
      <c r="K49" s="2276"/>
      <c r="L49" s="2276"/>
      <c r="M49" s="2276"/>
      <c r="N49" s="2276"/>
      <c r="O49" s="2276"/>
      <c r="P49" s="2276"/>
      <c r="Q49" s="2276"/>
    </row>
    <row r="50" spans="2:17" s="749" customFormat="1">
      <c r="B50" s="2276"/>
      <c r="C50" s="2276"/>
      <c r="D50" s="2276"/>
      <c r="E50" s="2276"/>
      <c r="F50" s="2276"/>
      <c r="G50" s="2276"/>
      <c r="H50" s="2276"/>
      <c r="I50" s="2276"/>
      <c r="J50" s="2276"/>
      <c r="K50" s="2276"/>
      <c r="L50" s="2276"/>
      <c r="M50" s="2276"/>
      <c r="N50" s="2276"/>
      <c r="O50" s="2276"/>
      <c r="P50" s="2276"/>
      <c r="Q50" s="2276"/>
    </row>
    <row r="51" spans="2:17" s="749" customFormat="1">
      <c r="B51" s="2276"/>
      <c r="C51" s="2276"/>
      <c r="D51" s="2276"/>
      <c r="E51" s="2276"/>
      <c r="F51" s="2276"/>
      <c r="G51" s="2276"/>
      <c r="H51" s="2276"/>
      <c r="I51" s="2276"/>
      <c r="J51" s="2276"/>
      <c r="K51" s="2276"/>
      <c r="L51" s="2276"/>
      <c r="M51" s="2276"/>
      <c r="N51" s="2276"/>
      <c r="O51" s="2276"/>
      <c r="P51" s="2276"/>
      <c r="Q51" s="2276"/>
    </row>
    <row r="52" spans="2:17" s="749" customFormat="1">
      <c r="B52" s="2276"/>
      <c r="C52" s="2276"/>
      <c r="D52" s="2276"/>
      <c r="E52" s="2276"/>
      <c r="F52" s="2276"/>
      <c r="G52" s="2276"/>
      <c r="H52" s="2276"/>
      <c r="I52" s="2276"/>
      <c r="J52" s="2276"/>
      <c r="K52" s="2276"/>
      <c r="L52" s="2276"/>
      <c r="M52" s="2276"/>
      <c r="N52" s="2276"/>
      <c r="O52" s="2276"/>
      <c r="P52" s="2276"/>
      <c r="Q52" s="2276"/>
    </row>
    <row r="53" spans="2:17" s="749" customFormat="1">
      <c r="B53" s="2276"/>
      <c r="C53" s="2276"/>
      <c r="D53" s="2276"/>
      <c r="E53" s="2276"/>
      <c r="F53" s="2276"/>
      <c r="G53" s="2276"/>
      <c r="H53" s="2276"/>
      <c r="I53" s="2276"/>
      <c r="J53" s="2276"/>
      <c r="K53" s="2276"/>
      <c r="L53" s="2276"/>
      <c r="M53" s="2276"/>
      <c r="N53" s="2276"/>
      <c r="O53" s="2276"/>
      <c r="P53" s="2276"/>
      <c r="Q53" s="2276"/>
    </row>
    <row r="54" spans="2:17" s="749" customFormat="1">
      <c r="B54" s="2276"/>
      <c r="C54" s="2276"/>
      <c r="D54" s="2276"/>
      <c r="E54" s="2276"/>
      <c r="F54" s="2276"/>
      <c r="G54" s="2276"/>
      <c r="H54" s="2276"/>
      <c r="I54" s="2276"/>
      <c r="J54" s="2276"/>
      <c r="K54" s="2276"/>
      <c r="L54" s="2276"/>
      <c r="M54" s="2276"/>
      <c r="N54" s="2276"/>
      <c r="O54" s="2276"/>
      <c r="P54" s="2276"/>
      <c r="Q54" s="2276"/>
    </row>
    <row r="55" spans="2:17" s="749" customFormat="1">
      <c r="B55" s="2276"/>
      <c r="C55" s="2276"/>
      <c r="D55" s="2276"/>
      <c r="E55" s="2276"/>
      <c r="F55" s="2276"/>
      <c r="G55" s="2276"/>
      <c r="H55" s="2276"/>
      <c r="I55" s="2276"/>
      <c r="J55" s="2276"/>
      <c r="K55" s="2276"/>
      <c r="L55" s="2276"/>
      <c r="M55" s="2276"/>
      <c r="N55" s="2276"/>
      <c r="O55" s="2276"/>
      <c r="P55" s="2276"/>
      <c r="Q55" s="2276"/>
    </row>
    <row r="56" spans="2:17" s="749" customFormat="1">
      <c r="B56" s="2276"/>
      <c r="C56" s="2276"/>
      <c r="D56" s="2276"/>
      <c r="E56" s="2276"/>
      <c r="F56" s="2276"/>
      <c r="G56" s="2276"/>
      <c r="H56" s="2276"/>
      <c r="I56" s="2276"/>
      <c r="J56" s="2276"/>
      <c r="K56" s="2276"/>
      <c r="L56" s="2276"/>
      <c r="M56" s="2276"/>
      <c r="N56" s="2276"/>
      <c r="O56" s="2276"/>
      <c r="P56" s="2276"/>
      <c r="Q56" s="2276"/>
    </row>
    <row r="57" spans="2:17" s="749" customFormat="1">
      <c r="B57" s="2276"/>
      <c r="C57" s="2276"/>
      <c r="D57" s="2276"/>
      <c r="E57" s="2276"/>
      <c r="F57" s="2276"/>
      <c r="G57" s="2276"/>
      <c r="H57" s="2276"/>
      <c r="I57" s="2276"/>
      <c r="J57" s="2276"/>
      <c r="K57" s="2276"/>
      <c r="L57" s="2276"/>
      <c r="M57" s="2276"/>
      <c r="N57" s="2276"/>
      <c r="O57" s="2276"/>
      <c r="P57" s="2276"/>
      <c r="Q57" s="2276"/>
    </row>
    <row r="58" spans="2:17" s="749" customFormat="1">
      <c r="B58" s="2276"/>
      <c r="C58" s="2276"/>
      <c r="D58" s="2276"/>
      <c r="E58" s="2276"/>
      <c r="F58" s="2276"/>
      <c r="G58" s="2276"/>
      <c r="H58" s="2276"/>
      <c r="I58" s="2276"/>
      <c r="J58" s="2276"/>
      <c r="K58" s="2276"/>
      <c r="L58" s="2276"/>
      <c r="M58" s="2276"/>
      <c r="N58" s="2276"/>
      <c r="O58" s="2276"/>
      <c r="P58" s="2276"/>
      <c r="Q58" s="2276"/>
    </row>
    <row r="59" spans="2:17" s="749" customFormat="1">
      <c r="B59" s="2276"/>
      <c r="C59" s="2276"/>
      <c r="D59" s="2276"/>
      <c r="E59" s="2276"/>
      <c r="F59" s="2276"/>
      <c r="G59" s="2276"/>
      <c r="H59" s="2276"/>
      <c r="I59" s="2276"/>
      <c r="J59" s="2276"/>
      <c r="K59" s="2276"/>
      <c r="L59" s="2276"/>
      <c r="M59" s="2276"/>
      <c r="N59" s="2276"/>
      <c r="O59" s="2276"/>
      <c r="P59" s="2276"/>
      <c r="Q59" s="2276"/>
    </row>
    <row r="60" spans="2:17" s="749" customFormat="1">
      <c r="B60" s="2276"/>
      <c r="C60" s="2276"/>
      <c r="D60" s="2276"/>
      <c r="E60" s="2276"/>
      <c r="F60" s="2276"/>
      <c r="G60" s="2276"/>
      <c r="H60" s="2276"/>
      <c r="I60" s="2276"/>
      <c r="J60" s="2276"/>
      <c r="K60" s="2276"/>
      <c r="L60" s="2276"/>
      <c r="M60" s="2276"/>
      <c r="N60" s="2276"/>
      <c r="O60" s="2276"/>
      <c r="P60" s="2276"/>
      <c r="Q60" s="2276"/>
    </row>
    <row r="61" spans="2:17" s="749" customFormat="1">
      <c r="B61" s="2276"/>
      <c r="C61" s="2276"/>
      <c r="D61" s="2276"/>
      <c r="E61" s="2276"/>
      <c r="F61" s="2276"/>
      <c r="G61" s="2276"/>
      <c r="H61" s="2276"/>
      <c r="I61" s="2276"/>
      <c r="J61" s="2276"/>
      <c r="K61" s="2276"/>
      <c r="L61" s="2276"/>
      <c r="M61" s="2276"/>
      <c r="N61" s="2276"/>
      <c r="O61" s="2276"/>
      <c r="P61" s="2276"/>
      <c r="Q61" s="2276"/>
    </row>
    <row r="62" spans="2:17" s="749" customFormat="1">
      <c r="B62" s="2276"/>
      <c r="C62" s="2276"/>
      <c r="D62" s="2276"/>
      <c r="E62" s="2276"/>
      <c r="F62" s="2276"/>
      <c r="G62" s="2276"/>
      <c r="H62" s="2276"/>
      <c r="I62" s="2276"/>
      <c r="J62" s="2276"/>
      <c r="K62" s="2276"/>
      <c r="L62" s="2276"/>
      <c r="M62" s="2276"/>
      <c r="N62" s="2276"/>
      <c r="O62" s="2276"/>
      <c r="P62" s="2276"/>
      <c r="Q62" s="2276"/>
    </row>
    <row r="63" spans="2:17" s="749" customFormat="1">
      <c r="B63" s="2276"/>
      <c r="C63" s="2276"/>
      <c r="D63" s="2276"/>
      <c r="E63" s="2276"/>
      <c r="F63" s="2276"/>
      <c r="G63" s="2276"/>
      <c r="H63" s="2276"/>
      <c r="I63" s="2276"/>
      <c r="J63" s="2276"/>
      <c r="K63" s="2276"/>
      <c r="L63" s="2276"/>
      <c r="M63" s="2276"/>
      <c r="N63" s="2276"/>
      <c r="O63" s="2276"/>
      <c r="P63" s="2276"/>
      <c r="Q63" s="2276"/>
    </row>
    <row r="64" spans="2:17" s="749" customFormat="1">
      <c r="B64" s="2276"/>
      <c r="C64" s="2276"/>
      <c r="D64" s="2276"/>
      <c r="E64" s="2276"/>
      <c r="F64" s="2276"/>
      <c r="G64" s="2276"/>
      <c r="H64" s="2276"/>
      <c r="I64" s="2276"/>
      <c r="J64" s="2276"/>
      <c r="K64" s="2276"/>
      <c r="L64" s="2276"/>
      <c r="M64" s="2276"/>
      <c r="N64" s="2276"/>
      <c r="O64" s="2276"/>
      <c r="P64" s="2276"/>
      <c r="Q64" s="2276"/>
    </row>
    <row r="65" spans="2:17" s="749" customFormat="1">
      <c r="B65" s="2276"/>
      <c r="C65" s="2276"/>
      <c r="D65" s="2276"/>
      <c r="E65" s="2276"/>
      <c r="F65" s="2276"/>
      <c r="G65" s="2276"/>
      <c r="H65" s="2276"/>
      <c r="I65" s="2276"/>
      <c r="J65" s="2276"/>
      <c r="K65" s="2276"/>
      <c r="L65" s="2276"/>
      <c r="M65" s="2276"/>
      <c r="N65" s="2276"/>
      <c r="O65" s="2276"/>
      <c r="P65" s="2276"/>
      <c r="Q65" s="2276"/>
    </row>
    <row r="66" spans="2:17" s="749" customFormat="1">
      <c r="B66" s="2276"/>
      <c r="C66" s="2276"/>
      <c r="D66" s="2276"/>
      <c r="E66" s="2276"/>
      <c r="F66" s="2276"/>
      <c r="G66" s="2276"/>
      <c r="H66" s="2276"/>
      <c r="I66" s="2276"/>
      <c r="J66" s="2276"/>
      <c r="K66" s="2276"/>
      <c r="L66" s="2276"/>
      <c r="M66" s="2276"/>
      <c r="N66" s="2276"/>
      <c r="O66" s="2276"/>
      <c r="P66" s="2276"/>
      <c r="Q66" s="2276"/>
    </row>
    <row r="67" spans="2:17" s="749" customFormat="1">
      <c r="B67" s="2276"/>
      <c r="C67" s="2276"/>
      <c r="D67" s="2276"/>
      <c r="E67" s="2276"/>
      <c r="F67" s="2276"/>
      <c r="G67" s="2276"/>
      <c r="H67" s="2276"/>
      <c r="I67" s="2276"/>
      <c r="J67" s="2276"/>
      <c r="K67" s="2276"/>
      <c r="L67" s="2276"/>
      <c r="M67" s="2276"/>
      <c r="N67" s="2276"/>
      <c r="O67" s="2276"/>
      <c r="P67" s="2276"/>
      <c r="Q67" s="2276"/>
    </row>
    <row r="68" spans="2:17" s="749" customFormat="1">
      <c r="B68" s="2276"/>
      <c r="C68" s="2276"/>
      <c r="D68" s="2276"/>
      <c r="E68" s="2276"/>
      <c r="F68" s="2276"/>
      <c r="G68" s="2276"/>
      <c r="H68" s="2276"/>
      <c r="I68" s="2276"/>
      <c r="J68" s="2276"/>
      <c r="K68" s="2276"/>
      <c r="L68" s="2276"/>
      <c r="M68" s="2276"/>
      <c r="N68" s="2276"/>
      <c r="O68" s="2276"/>
      <c r="P68" s="2276"/>
      <c r="Q68" s="2276"/>
    </row>
    <row r="69" spans="2:17" s="749" customFormat="1">
      <c r="B69" s="2276"/>
      <c r="C69" s="2276"/>
      <c r="D69" s="2276"/>
      <c r="E69" s="2276"/>
      <c r="F69" s="2276"/>
      <c r="G69" s="2276"/>
      <c r="H69" s="2276"/>
      <c r="I69" s="2276"/>
      <c r="J69" s="2276"/>
      <c r="K69" s="2276"/>
      <c r="L69" s="2276"/>
      <c r="M69" s="2276"/>
      <c r="N69" s="2276"/>
      <c r="O69" s="2276"/>
      <c r="P69" s="2276"/>
      <c r="Q69" s="2276"/>
    </row>
    <row r="70" spans="2:17" s="749" customFormat="1">
      <c r="B70" s="2276"/>
      <c r="C70" s="2276"/>
      <c r="D70" s="2276"/>
      <c r="E70" s="2276"/>
      <c r="F70" s="2276"/>
      <c r="G70" s="2276"/>
      <c r="H70" s="2276"/>
      <c r="I70" s="2276"/>
      <c r="J70" s="2276"/>
      <c r="K70" s="2276"/>
      <c r="L70" s="2276"/>
      <c r="M70" s="2276"/>
      <c r="N70" s="2276"/>
      <c r="O70" s="2276"/>
      <c r="P70" s="2276"/>
      <c r="Q70" s="2276"/>
    </row>
    <row r="71" spans="2:17" s="749" customFormat="1">
      <c r="B71" s="2276"/>
      <c r="C71" s="2276"/>
      <c r="D71" s="2276"/>
      <c r="E71" s="2276"/>
      <c r="F71" s="2276"/>
      <c r="G71" s="2276"/>
      <c r="H71" s="2276"/>
      <c r="I71" s="2276"/>
      <c r="J71" s="2276"/>
      <c r="K71" s="2276"/>
      <c r="L71" s="2276"/>
      <c r="M71" s="2276"/>
      <c r="N71" s="2276"/>
      <c r="O71" s="2276"/>
      <c r="P71" s="2276"/>
      <c r="Q71" s="2276"/>
    </row>
    <row r="72" spans="2:17" s="749" customFormat="1">
      <c r="B72" s="2276"/>
      <c r="C72" s="2276"/>
      <c r="D72" s="2276"/>
      <c r="E72" s="2276"/>
      <c r="F72" s="2276"/>
      <c r="G72" s="2276"/>
      <c r="H72" s="2276"/>
      <c r="I72" s="2276"/>
      <c r="J72" s="2276"/>
      <c r="K72" s="2276"/>
      <c r="L72" s="2276"/>
      <c r="M72" s="2276"/>
      <c r="N72" s="2276"/>
      <c r="O72" s="2276"/>
      <c r="P72" s="2276"/>
      <c r="Q72" s="2276"/>
    </row>
    <row r="73" spans="2:17" s="749" customFormat="1">
      <c r="B73" s="2276"/>
      <c r="C73" s="2276"/>
      <c r="D73" s="2276"/>
      <c r="E73" s="2276"/>
      <c r="F73" s="2276"/>
      <c r="G73" s="2276"/>
      <c r="H73" s="2276"/>
      <c r="I73" s="2276"/>
      <c r="J73" s="2276"/>
      <c r="K73" s="2276"/>
      <c r="L73" s="2276"/>
      <c r="M73" s="2276"/>
      <c r="N73" s="2276"/>
      <c r="O73" s="2276"/>
      <c r="P73" s="2276"/>
      <c r="Q73" s="2276"/>
    </row>
    <row r="74" spans="2:17" s="749" customFormat="1">
      <c r="B74" s="2276"/>
      <c r="C74" s="2276"/>
      <c r="D74" s="2276"/>
      <c r="E74" s="2276"/>
      <c r="F74" s="2276"/>
      <c r="G74" s="2276"/>
      <c r="H74" s="2276"/>
      <c r="I74" s="2276"/>
      <c r="J74" s="2276"/>
      <c r="K74" s="2276"/>
      <c r="L74" s="2276"/>
      <c r="M74" s="2276"/>
      <c r="N74" s="2276"/>
      <c r="O74" s="2276"/>
      <c r="P74" s="2276"/>
      <c r="Q74" s="2276"/>
    </row>
    <row r="75" spans="2:17" s="749" customFormat="1">
      <c r="B75" s="2276"/>
      <c r="C75" s="2276"/>
      <c r="D75" s="2276"/>
      <c r="E75" s="2276"/>
      <c r="F75" s="2276"/>
      <c r="G75" s="2276"/>
      <c r="H75" s="2276"/>
      <c r="I75" s="2276"/>
      <c r="J75" s="2276"/>
      <c r="K75" s="2276"/>
      <c r="L75" s="2276"/>
      <c r="M75" s="2276"/>
      <c r="N75" s="2276"/>
      <c r="O75" s="2276"/>
      <c r="P75" s="2276"/>
      <c r="Q75" s="2276"/>
    </row>
    <row r="76" spans="2:17" s="749" customFormat="1">
      <c r="B76" s="2276"/>
      <c r="C76" s="2276"/>
      <c r="D76" s="2276"/>
      <c r="E76" s="2276"/>
      <c r="F76" s="2276"/>
      <c r="G76" s="2276"/>
      <c r="H76" s="2276"/>
      <c r="I76" s="2276"/>
      <c r="J76" s="2276"/>
      <c r="K76" s="2276"/>
      <c r="L76" s="2276"/>
      <c r="M76" s="2276"/>
      <c r="N76" s="2276"/>
      <c r="O76" s="2276"/>
      <c r="P76" s="2276"/>
      <c r="Q76" s="2276"/>
    </row>
    <row r="77" spans="2:17" s="749" customFormat="1">
      <c r="B77" s="2276"/>
      <c r="C77" s="2276"/>
      <c r="D77" s="2276"/>
      <c r="E77" s="2276"/>
      <c r="F77" s="2276"/>
      <c r="G77" s="2276"/>
      <c r="H77" s="2276"/>
      <c r="I77" s="2276"/>
      <c r="J77" s="2276"/>
      <c r="K77" s="2276"/>
      <c r="L77" s="2276"/>
      <c r="M77" s="2276"/>
      <c r="N77" s="2276"/>
      <c r="O77" s="2276"/>
      <c r="P77" s="2276"/>
      <c r="Q77" s="2276"/>
    </row>
    <row r="78" spans="2:17" s="749" customFormat="1">
      <c r="B78" s="2276"/>
      <c r="C78" s="2276"/>
      <c r="D78" s="2276"/>
      <c r="E78" s="2276"/>
      <c r="F78" s="2276"/>
      <c r="G78" s="2276"/>
      <c r="H78" s="2276"/>
      <c r="I78" s="2276"/>
      <c r="J78" s="2276"/>
      <c r="K78" s="2276"/>
      <c r="L78" s="2276"/>
      <c r="M78" s="2276"/>
      <c r="N78" s="2276"/>
      <c r="O78" s="2276"/>
      <c r="P78" s="2276"/>
      <c r="Q78" s="2276"/>
    </row>
    <row r="79" spans="2:17" s="749" customFormat="1">
      <c r="B79" s="2276"/>
      <c r="C79" s="2276"/>
      <c r="D79" s="2276"/>
      <c r="E79" s="2276"/>
      <c r="F79" s="2276"/>
      <c r="G79" s="2276"/>
      <c r="H79" s="2276"/>
      <c r="I79" s="2276"/>
      <c r="J79" s="2276"/>
      <c r="K79" s="2276"/>
      <c r="L79" s="2276"/>
      <c r="M79" s="2276"/>
      <c r="N79" s="2276"/>
      <c r="O79" s="2276"/>
      <c r="P79" s="2276"/>
      <c r="Q79" s="2276"/>
    </row>
    <row r="80" spans="2:17" s="749" customFormat="1">
      <c r="B80" s="2276"/>
      <c r="C80" s="2276"/>
      <c r="D80" s="2276"/>
      <c r="E80" s="2276"/>
      <c r="F80" s="2276"/>
      <c r="G80" s="2276"/>
      <c r="H80" s="2276"/>
      <c r="I80" s="2276"/>
      <c r="J80" s="2276"/>
      <c r="K80" s="2276"/>
      <c r="L80" s="2276"/>
      <c r="M80" s="2276"/>
      <c r="N80" s="2276"/>
      <c r="O80" s="2276"/>
      <c r="P80" s="2276"/>
      <c r="Q80" s="2276"/>
    </row>
    <row r="81" spans="2:17" s="749" customFormat="1">
      <c r="B81" s="2276"/>
      <c r="C81" s="2276"/>
      <c r="D81" s="2276"/>
      <c r="E81" s="2276"/>
      <c r="F81" s="2276"/>
      <c r="G81" s="2276"/>
      <c r="H81" s="2276"/>
      <c r="I81" s="2276"/>
      <c r="J81" s="2276"/>
      <c r="K81" s="2276"/>
      <c r="L81" s="2276"/>
      <c r="M81" s="2276"/>
      <c r="N81" s="2276"/>
      <c r="O81" s="2276"/>
      <c r="P81" s="2276"/>
      <c r="Q81" s="2276"/>
    </row>
    <row r="82" spans="2:17" s="749" customFormat="1">
      <c r="B82" s="2276"/>
      <c r="C82" s="2276"/>
      <c r="D82" s="2276"/>
      <c r="E82" s="2276"/>
      <c r="F82" s="2276"/>
      <c r="G82" s="2276"/>
      <c r="H82" s="2276"/>
      <c r="I82" s="2276"/>
      <c r="J82" s="2276"/>
      <c r="K82" s="2276"/>
      <c r="L82" s="2276"/>
      <c r="M82" s="2276"/>
      <c r="N82" s="2276"/>
      <c r="O82" s="2276"/>
      <c r="P82" s="2276"/>
      <c r="Q82" s="2276"/>
    </row>
    <row r="83" spans="2:17" s="749" customFormat="1">
      <c r="B83" s="2276"/>
      <c r="C83" s="2276"/>
      <c r="D83" s="2276"/>
      <c r="E83" s="2276"/>
      <c r="F83" s="2276"/>
      <c r="G83" s="2276"/>
      <c r="H83" s="2276"/>
      <c r="I83" s="2276"/>
      <c r="J83" s="2276"/>
      <c r="K83" s="2276"/>
      <c r="L83" s="2276"/>
      <c r="M83" s="2276"/>
      <c r="N83" s="2276"/>
      <c r="O83" s="2276"/>
      <c r="P83" s="2276"/>
      <c r="Q83" s="2276"/>
    </row>
    <row r="84" spans="2:17" s="749" customFormat="1">
      <c r="B84" s="2276"/>
      <c r="C84" s="2276"/>
      <c r="D84" s="2276"/>
      <c r="E84" s="2276"/>
      <c r="F84" s="2276"/>
      <c r="G84" s="2276"/>
      <c r="H84" s="2276"/>
      <c r="I84" s="2276"/>
      <c r="J84" s="2276"/>
      <c r="K84" s="2276"/>
      <c r="L84" s="2276"/>
      <c r="M84" s="2276"/>
      <c r="N84" s="2276"/>
      <c r="O84" s="2276"/>
      <c r="P84" s="2276"/>
      <c r="Q84" s="2276"/>
    </row>
    <row r="85" spans="2:17" s="749" customFormat="1">
      <c r="B85" s="2276"/>
      <c r="C85" s="2276"/>
      <c r="D85" s="2276"/>
      <c r="E85" s="2276"/>
      <c r="F85" s="2276"/>
      <c r="G85" s="2276"/>
      <c r="H85" s="2276"/>
      <c r="I85" s="2276"/>
      <c r="J85" s="2276"/>
      <c r="K85" s="2276"/>
      <c r="L85" s="2276"/>
      <c r="M85" s="2276"/>
      <c r="N85" s="2276"/>
      <c r="O85" s="2276"/>
      <c r="P85" s="2276"/>
      <c r="Q85" s="2276"/>
    </row>
    <row r="86" spans="2:17" s="749" customFormat="1">
      <c r="B86" s="2276"/>
      <c r="C86" s="2276"/>
      <c r="D86" s="2276"/>
      <c r="E86" s="2276"/>
      <c r="F86" s="2276"/>
      <c r="G86" s="2276"/>
      <c r="H86" s="2276"/>
      <c r="I86" s="2276"/>
      <c r="J86" s="2276"/>
      <c r="K86" s="2276"/>
      <c r="L86" s="2276"/>
      <c r="M86" s="2276"/>
      <c r="N86" s="2276"/>
      <c r="O86" s="2276"/>
      <c r="P86" s="2276"/>
      <c r="Q86" s="2276"/>
    </row>
    <row r="87" spans="2:17" s="749" customFormat="1">
      <c r="B87" s="2276"/>
      <c r="C87" s="2276"/>
      <c r="D87" s="2276"/>
      <c r="E87" s="2276"/>
      <c r="F87" s="2276"/>
      <c r="G87" s="2276"/>
      <c r="H87" s="2276"/>
      <c r="I87" s="2276"/>
      <c r="J87" s="2276"/>
      <c r="K87" s="2276"/>
      <c r="L87" s="2276"/>
      <c r="M87" s="2276"/>
      <c r="N87" s="2276"/>
      <c r="O87" s="2276"/>
      <c r="P87" s="2276"/>
      <c r="Q87" s="2276"/>
    </row>
    <row r="88" spans="2:17" s="749" customFormat="1">
      <c r="B88" s="2276"/>
      <c r="C88" s="2276"/>
      <c r="D88" s="2276"/>
      <c r="E88" s="2276"/>
      <c r="F88" s="2276"/>
      <c r="G88" s="2276"/>
      <c r="H88" s="2276"/>
      <c r="I88" s="2276"/>
      <c r="J88" s="2276"/>
      <c r="K88" s="2276"/>
      <c r="L88" s="2276"/>
      <c r="M88" s="2276"/>
      <c r="N88" s="2276"/>
      <c r="O88" s="2276"/>
      <c r="P88" s="2276"/>
      <c r="Q88" s="2276"/>
    </row>
    <row r="89" spans="2:17" s="749" customFormat="1">
      <c r="B89" s="2276"/>
      <c r="C89" s="2276"/>
      <c r="D89" s="2276"/>
      <c r="E89" s="2276"/>
      <c r="F89" s="2276"/>
      <c r="G89" s="2276"/>
      <c r="H89" s="2276"/>
      <c r="I89" s="2276"/>
      <c r="J89" s="2276"/>
      <c r="K89" s="2276"/>
      <c r="L89" s="2276"/>
      <c r="M89" s="2276"/>
      <c r="N89" s="2276"/>
      <c r="O89" s="2276"/>
      <c r="P89" s="2276"/>
      <c r="Q89" s="2276"/>
    </row>
    <row r="90" spans="2:17" s="749" customFormat="1">
      <c r="B90" s="2276"/>
      <c r="C90" s="2276"/>
      <c r="D90" s="2276"/>
      <c r="E90" s="2276"/>
      <c r="F90" s="2276"/>
      <c r="G90" s="2276"/>
      <c r="H90" s="2276"/>
      <c r="I90" s="2276"/>
      <c r="J90" s="2276"/>
      <c r="K90" s="2276"/>
      <c r="L90" s="2276"/>
      <c r="M90" s="2276"/>
      <c r="N90" s="2276"/>
      <c r="O90" s="2276"/>
      <c r="P90" s="2276"/>
      <c r="Q90" s="2276"/>
    </row>
    <row r="91" spans="2:17" s="749" customFormat="1">
      <c r="B91" s="2276"/>
      <c r="C91" s="2276"/>
      <c r="D91" s="2276"/>
      <c r="E91" s="2276"/>
      <c r="F91" s="2276"/>
      <c r="G91" s="2276"/>
      <c r="H91" s="2276"/>
      <c r="I91" s="2276"/>
      <c r="J91" s="2276"/>
      <c r="K91" s="2276"/>
      <c r="L91" s="2276"/>
      <c r="M91" s="2276"/>
      <c r="N91" s="2276"/>
      <c r="O91" s="2276"/>
      <c r="P91" s="2276"/>
      <c r="Q91" s="2276"/>
    </row>
    <row r="92" spans="2:17" s="749" customFormat="1">
      <c r="B92" s="2276"/>
      <c r="C92" s="2276"/>
      <c r="D92" s="2276"/>
      <c r="E92" s="2276"/>
      <c r="F92" s="2276"/>
      <c r="G92" s="2276"/>
      <c r="H92" s="2276"/>
      <c r="I92" s="2276"/>
      <c r="J92" s="2276"/>
      <c r="K92" s="2276"/>
      <c r="L92" s="2276"/>
      <c r="M92" s="2276"/>
      <c r="N92" s="2276"/>
      <c r="O92" s="2276"/>
      <c r="P92" s="2276"/>
      <c r="Q92" s="2276"/>
    </row>
    <row r="93" spans="2:17" s="749" customFormat="1">
      <c r="B93" s="2276"/>
      <c r="C93" s="2276"/>
      <c r="D93" s="2276"/>
      <c r="E93" s="2276"/>
      <c r="F93" s="2276"/>
      <c r="G93" s="2276"/>
      <c r="H93" s="2276"/>
      <c r="I93" s="2276"/>
      <c r="J93" s="2276"/>
      <c r="K93" s="2276"/>
      <c r="L93" s="2276"/>
      <c r="M93" s="2276"/>
      <c r="N93" s="2276"/>
      <c r="O93" s="2276"/>
      <c r="P93" s="2276"/>
      <c r="Q93" s="2276"/>
    </row>
    <row r="94" spans="2:17" s="749" customFormat="1">
      <c r="B94" s="2276"/>
      <c r="C94" s="2276"/>
      <c r="D94" s="2276"/>
      <c r="E94" s="2276"/>
      <c r="F94" s="2276"/>
      <c r="G94" s="2276"/>
      <c r="H94" s="2276"/>
      <c r="I94" s="2276"/>
      <c r="J94" s="2276"/>
      <c r="K94" s="2276"/>
      <c r="L94" s="2276"/>
      <c r="M94" s="2276"/>
      <c r="N94" s="2276"/>
      <c r="O94" s="2276"/>
      <c r="P94" s="2276"/>
      <c r="Q94" s="2276"/>
    </row>
    <row r="95" spans="2:17" s="749" customFormat="1">
      <c r="B95" s="2276"/>
      <c r="C95" s="2276"/>
      <c r="D95" s="2276"/>
      <c r="E95" s="2276"/>
      <c r="F95" s="2276"/>
      <c r="G95" s="2276"/>
      <c r="H95" s="2276"/>
      <c r="I95" s="2276"/>
      <c r="J95" s="2276"/>
      <c r="K95" s="2276"/>
      <c r="L95" s="2276"/>
      <c r="M95" s="2276"/>
      <c r="N95" s="2276"/>
      <c r="O95" s="2276"/>
      <c r="P95" s="2276"/>
      <c r="Q95" s="2276"/>
    </row>
    <row r="96" spans="2:17" s="749" customFormat="1">
      <c r="B96" s="2276"/>
      <c r="C96" s="2276"/>
      <c r="D96" s="2276"/>
      <c r="E96" s="2276"/>
      <c r="F96" s="2276"/>
      <c r="G96" s="2276"/>
      <c r="H96" s="2276"/>
      <c r="I96" s="2276"/>
      <c r="J96" s="2276"/>
      <c r="K96" s="2276"/>
      <c r="L96" s="2276"/>
      <c r="M96" s="2276"/>
      <c r="N96" s="2276"/>
      <c r="O96" s="2276"/>
      <c r="P96" s="2276"/>
      <c r="Q96" s="2276"/>
    </row>
    <row r="97" spans="2:17" s="749" customFormat="1">
      <c r="B97" s="2276"/>
      <c r="C97" s="2276"/>
      <c r="D97" s="2276"/>
      <c r="E97" s="2276"/>
      <c r="F97" s="2276"/>
      <c r="G97" s="2276"/>
      <c r="H97" s="2276"/>
      <c r="I97" s="2276"/>
      <c r="J97" s="2276"/>
      <c r="K97" s="2276"/>
      <c r="L97" s="2276"/>
      <c r="M97" s="2276"/>
      <c r="N97" s="2276"/>
      <c r="O97" s="2276"/>
      <c r="P97" s="2276"/>
      <c r="Q97" s="2276"/>
    </row>
    <row r="98" spans="2:17" s="749" customFormat="1">
      <c r="B98" s="2276"/>
      <c r="C98" s="2276"/>
      <c r="D98" s="2276"/>
      <c r="E98" s="2276"/>
      <c r="F98" s="2276"/>
      <c r="G98" s="2276"/>
      <c r="H98" s="2276"/>
      <c r="I98" s="2276"/>
      <c r="J98" s="2276"/>
      <c r="K98" s="2276"/>
      <c r="L98" s="2276"/>
      <c r="M98" s="2276"/>
      <c r="N98" s="2276"/>
      <c r="O98" s="2276"/>
      <c r="P98" s="2276"/>
      <c r="Q98" s="2276"/>
    </row>
    <row r="99" spans="2:17" s="749" customFormat="1">
      <c r="B99" s="2276"/>
      <c r="C99" s="2276"/>
      <c r="D99" s="2276"/>
      <c r="E99" s="2276"/>
      <c r="F99" s="2276"/>
      <c r="G99" s="2276"/>
      <c r="H99" s="2276"/>
      <c r="I99" s="2276"/>
      <c r="J99" s="2276"/>
      <c r="K99" s="2276"/>
      <c r="L99" s="2276"/>
      <c r="M99" s="2276"/>
      <c r="N99" s="2276"/>
      <c r="O99" s="2276"/>
      <c r="P99" s="2276"/>
      <c r="Q99" s="2276"/>
    </row>
    <row r="100" spans="2:17" s="749" customFormat="1">
      <c r="B100" s="2276"/>
      <c r="C100" s="2276"/>
      <c r="D100" s="2276"/>
      <c r="E100" s="2276"/>
      <c r="F100" s="2276"/>
      <c r="G100" s="2276"/>
      <c r="H100" s="2276"/>
      <c r="I100" s="2276"/>
      <c r="J100" s="2276"/>
      <c r="K100" s="2276"/>
      <c r="L100" s="2276"/>
      <c r="M100" s="2276"/>
      <c r="N100" s="2276"/>
      <c r="O100" s="2276"/>
      <c r="P100" s="2276"/>
      <c r="Q100" s="2276"/>
    </row>
    <row r="101" spans="2:17" s="749" customFormat="1">
      <c r="B101" s="2276"/>
      <c r="C101" s="2276"/>
      <c r="D101" s="2276"/>
      <c r="E101" s="2276"/>
      <c r="F101" s="2276"/>
      <c r="G101" s="2276"/>
      <c r="H101" s="2276"/>
      <c r="I101" s="2276"/>
      <c r="J101" s="2276"/>
      <c r="K101" s="2276"/>
      <c r="L101" s="2276"/>
      <c r="M101" s="2276"/>
      <c r="N101" s="2276"/>
      <c r="O101" s="2276"/>
      <c r="P101" s="2276"/>
      <c r="Q101" s="2276"/>
    </row>
    <row r="102" spans="2:17" s="749" customFormat="1">
      <c r="B102" s="2276"/>
      <c r="C102" s="2276"/>
      <c r="D102" s="2276"/>
      <c r="E102" s="2276"/>
      <c r="F102" s="2276"/>
      <c r="G102" s="2276"/>
      <c r="H102" s="2276"/>
      <c r="I102" s="2276"/>
      <c r="J102" s="2276"/>
      <c r="K102" s="2276"/>
      <c r="L102" s="2276"/>
      <c r="M102" s="2276"/>
      <c r="N102" s="2276"/>
      <c r="O102" s="2276"/>
      <c r="P102" s="2276"/>
      <c r="Q102" s="2276"/>
    </row>
    <row r="103" spans="2:17" s="749" customFormat="1">
      <c r="B103" s="2276"/>
      <c r="C103" s="2276"/>
      <c r="D103" s="2276"/>
      <c r="E103" s="2276"/>
      <c r="F103" s="2276"/>
      <c r="G103" s="2276"/>
      <c r="H103" s="2276"/>
      <c r="I103" s="2276"/>
      <c r="J103" s="2276"/>
      <c r="K103" s="2276"/>
      <c r="L103" s="2276"/>
      <c r="M103" s="2276"/>
      <c r="N103" s="2276"/>
      <c r="O103" s="2276"/>
      <c r="P103" s="2276"/>
      <c r="Q103" s="2276"/>
    </row>
    <row r="104" spans="2:17" s="749" customFormat="1">
      <c r="B104" s="2276"/>
      <c r="C104" s="2276"/>
      <c r="D104" s="2276"/>
      <c r="E104" s="2276"/>
      <c r="F104" s="2276"/>
      <c r="G104" s="2276"/>
      <c r="H104" s="2276"/>
      <c r="I104" s="2276"/>
      <c r="J104" s="2276"/>
      <c r="K104" s="2276"/>
      <c r="L104" s="2276"/>
      <c r="M104" s="2276"/>
      <c r="N104" s="2276"/>
      <c r="O104" s="2276"/>
      <c r="P104" s="2276"/>
      <c r="Q104" s="2276"/>
    </row>
    <row r="105" spans="2:17" s="749" customFormat="1">
      <c r="B105" s="2276"/>
      <c r="C105" s="2276"/>
      <c r="D105" s="2276"/>
      <c r="E105" s="2276"/>
      <c r="F105" s="2276"/>
      <c r="G105" s="2276"/>
      <c r="H105" s="2276"/>
      <c r="I105" s="2276"/>
      <c r="J105" s="2276"/>
      <c r="K105" s="2276"/>
      <c r="L105" s="2276"/>
      <c r="M105" s="2276"/>
      <c r="N105" s="2276"/>
      <c r="O105" s="2276"/>
      <c r="P105" s="2276"/>
      <c r="Q105" s="2276"/>
    </row>
    <row r="106" spans="2:17" s="749" customFormat="1">
      <c r="B106" s="2276"/>
      <c r="C106" s="2276"/>
      <c r="D106" s="2276"/>
      <c r="E106" s="2276"/>
      <c r="F106" s="2276"/>
      <c r="G106" s="2276"/>
      <c r="H106" s="2276"/>
      <c r="I106" s="2276"/>
      <c r="J106" s="2276"/>
      <c r="K106" s="2276"/>
      <c r="L106" s="2276"/>
      <c r="M106" s="2276"/>
      <c r="N106" s="2276"/>
      <c r="O106" s="2276"/>
      <c r="P106" s="2276"/>
      <c r="Q106" s="2276"/>
    </row>
    <row r="107" spans="2:17" s="749" customFormat="1">
      <c r="B107" s="2276"/>
      <c r="C107" s="2276"/>
      <c r="D107" s="2276"/>
      <c r="E107" s="2276"/>
      <c r="F107" s="2276"/>
      <c r="G107" s="2276"/>
      <c r="H107" s="2276"/>
      <c r="I107" s="2276"/>
      <c r="J107" s="2276"/>
      <c r="K107" s="2276"/>
      <c r="L107" s="2276"/>
      <c r="M107" s="2276"/>
      <c r="N107" s="2276"/>
      <c r="O107" s="2276"/>
      <c r="P107" s="2276"/>
      <c r="Q107" s="2276"/>
    </row>
    <row r="108" spans="2:17" s="749" customFormat="1">
      <c r="B108" s="2276"/>
      <c r="C108" s="2276"/>
      <c r="D108" s="2276"/>
      <c r="E108" s="2276"/>
      <c r="F108" s="2276"/>
      <c r="G108" s="2276"/>
      <c r="H108" s="2276"/>
      <c r="I108" s="2276"/>
      <c r="J108" s="2276"/>
      <c r="K108" s="2276"/>
      <c r="L108" s="2276"/>
      <c r="M108" s="2276"/>
      <c r="N108" s="2276"/>
      <c r="O108" s="2276"/>
      <c r="P108" s="2276"/>
      <c r="Q108" s="2276"/>
    </row>
    <row r="109" spans="2:17" s="749" customFormat="1">
      <c r="B109" s="2276"/>
      <c r="C109" s="2276"/>
      <c r="D109" s="2276"/>
      <c r="E109" s="2276"/>
      <c r="F109" s="2276"/>
      <c r="G109" s="2276"/>
      <c r="H109" s="2276"/>
      <c r="I109" s="2276"/>
      <c r="J109" s="2276"/>
      <c r="K109" s="2276"/>
      <c r="L109" s="2276"/>
      <c r="M109" s="2276"/>
      <c r="N109" s="2276"/>
      <c r="O109" s="2276"/>
      <c r="P109" s="2276"/>
      <c r="Q109" s="2276"/>
    </row>
    <row r="110" spans="2:17" s="749" customFormat="1">
      <c r="B110" s="2276"/>
      <c r="C110" s="2276"/>
      <c r="D110" s="2276"/>
      <c r="E110" s="2276"/>
      <c r="F110" s="2276"/>
      <c r="G110" s="2276"/>
      <c r="H110" s="2276"/>
      <c r="I110" s="2276"/>
      <c r="J110" s="2276"/>
      <c r="K110" s="2276"/>
      <c r="L110" s="2276"/>
      <c r="M110" s="2276"/>
      <c r="N110" s="2276"/>
      <c r="O110" s="2276"/>
      <c r="P110" s="2276"/>
      <c r="Q110" s="2276"/>
    </row>
    <row r="111" spans="2:17" s="749" customFormat="1">
      <c r="B111" s="2276"/>
      <c r="C111" s="2276"/>
      <c r="D111" s="2276"/>
      <c r="E111" s="2276"/>
      <c r="F111" s="2276"/>
      <c r="G111" s="2276"/>
      <c r="H111" s="2276"/>
      <c r="I111" s="2276"/>
      <c r="J111" s="2276"/>
      <c r="K111" s="2276"/>
      <c r="L111" s="2276"/>
      <c r="M111" s="2276"/>
      <c r="N111" s="2276"/>
      <c r="O111" s="2276"/>
      <c r="P111" s="2276"/>
      <c r="Q111" s="2276"/>
    </row>
    <row r="112" spans="2:17" s="749" customFormat="1">
      <c r="B112" s="2276"/>
      <c r="C112" s="2276"/>
      <c r="D112" s="2276"/>
      <c r="E112" s="2276"/>
      <c r="F112" s="2276"/>
      <c r="G112" s="2276"/>
      <c r="H112" s="2276"/>
      <c r="I112" s="2276"/>
      <c r="J112" s="2276"/>
      <c r="K112" s="2276"/>
      <c r="L112" s="2276"/>
      <c r="M112" s="2276"/>
      <c r="N112" s="2276"/>
      <c r="O112" s="2276"/>
      <c r="P112" s="2276"/>
      <c r="Q112" s="2276"/>
    </row>
    <row r="113" spans="2:17" s="749" customFormat="1">
      <c r="B113" s="2276"/>
      <c r="C113" s="2276"/>
      <c r="D113" s="2276"/>
      <c r="E113" s="2276"/>
      <c r="F113" s="2276"/>
      <c r="G113" s="2276"/>
      <c r="H113" s="2276"/>
      <c r="I113" s="2276"/>
      <c r="J113" s="2276"/>
      <c r="K113" s="2276"/>
      <c r="L113" s="2276"/>
      <c r="M113" s="2276"/>
      <c r="N113" s="2276"/>
      <c r="O113" s="2276"/>
      <c r="P113" s="2276"/>
      <c r="Q113" s="2276"/>
    </row>
    <row r="114" spans="2:17" s="749" customFormat="1">
      <c r="B114" s="2276"/>
      <c r="C114" s="2276"/>
      <c r="D114" s="2276"/>
      <c r="E114" s="2276"/>
      <c r="F114" s="2276"/>
      <c r="G114" s="2276"/>
      <c r="H114" s="2276"/>
      <c r="I114" s="2276"/>
      <c r="J114" s="2276"/>
      <c r="K114" s="2276"/>
      <c r="L114" s="2276"/>
      <c r="M114" s="2276"/>
      <c r="N114" s="2276"/>
      <c r="O114" s="2276"/>
      <c r="P114" s="2276"/>
      <c r="Q114" s="2276"/>
    </row>
    <row r="115" spans="2:17" s="749" customFormat="1">
      <c r="B115" s="2276"/>
      <c r="C115" s="2276"/>
      <c r="D115" s="2276"/>
      <c r="E115" s="2276"/>
      <c r="F115" s="2276"/>
      <c r="G115" s="2276"/>
      <c r="H115" s="2276"/>
      <c r="I115" s="2276"/>
      <c r="J115" s="2276"/>
      <c r="K115" s="2276"/>
      <c r="L115" s="2276"/>
      <c r="M115" s="2276"/>
      <c r="N115" s="2276"/>
      <c r="O115" s="2276"/>
      <c r="P115" s="2276"/>
      <c r="Q115" s="2276"/>
    </row>
    <row r="116" spans="2:17" s="749" customFormat="1">
      <c r="B116" s="2276"/>
      <c r="C116" s="2276"/>
      <c r="D116" s="2276"/>
      <c r="E116" s="2276"/>
      <c r="F116" s="2276"/>
      <c r="G116" s="2276"/>
      <c r="H116" s="2276"/>
      <c r="I116" s="2276"/>
      <c r="J116" s="2276"/>
      <c r="K116" s="2276"/>
      <c r="L116" s="2276"/>
      <c r="M116" s="2276"/>
      <c r="N116" s="2276"/>
      <c r="O116" s="2276"/>
      <c r="P116" s="2276"/>
      <c r="Q116" s="2276"/>
    </row>
    <row r="117" spans="2:17" s="749" customFormat="1">
      <c r="B117" s="2276"/>
      <c r="C117" s="2276"/>
      <c r="D117" s="2276"/>
      <c r="E117" s="2276"/>
      <c r="F117" s="2276"/>
      <c r="G117" s="2276"/>
      <c r="H117" s="2276"/>
      <c r="I117" s="2276"/>
      <c r="J117" s="2276"/>
      <c r="K117" s="2276"/>
      <c r="L117" s="2276"/>
      <c r="M117" s="2276"/>
      <c r="N117" s="2276"/>
      <c r="O117" s="2276"/>
      <c r="P117" s="2276"/>
      <c r="Q117" s="2276"/>
    </row>
    <row r="118" spans="2:17" s="749" customFormat="1">
      <c r="B118" s="2276"/>
      <c r="C118" s="2276"/>
      <c r="D118" s="2276"/>
      <c r="E118" s="2276"/>
      <c r="F118" s="2276"/>
      <c r="G118" s="2276"/>
      <c r="H118" s="2276"/>
      <c r="I118" s="2276"/>
      <c r="J118" s="2276"/>
      <c r="K118" s="2276"/>
      <c r="L118" s="2276"/>
      <c r="M118" s="2276"/>
      <c r="N118" s="2276"/>
      <c r="O118" s="2276"/>
      <c r="P118" s="2276"/>
      <c r="Q118" s="2276"/>
    </row>
    <row r="119" spans="2:17" s="749" customFormat="1">
      <c r="B119" s="2276"/>
      <c r="C119" s="2276"/>
      <c r="D119" s="2276"/>
      <c r="E119" s="2276"/>
      <c r="F119" s="2276"/>
      <c r="G119" s="2276"/>
      <c r="H119" s="2276"/>
      <c r="I119" s="2276"/>
      <c r="J119" s="2276"/>
      <c r="K119" s="2276"/>
      <c r="L119" s="2276"/>
      <c r="M119" s="2276"/>
      <c r="N119" s="2276"/>
      <c r="O119" s="2276"/>
      <c r="P119" s="2276"/>
      <c r="Q119" s="2276"/>
    </row>
    <row r="120" spans="2:17" s="749" customFormat="1">
      <c r="B120" s="2276"/>
      <c r="C120" s="2276"/>
      <c r="D120" s="2276"/>
      <c r="E120" s="2276"/>
      <c r="F120" s="2276"/>
      <c r="G120" s="2276"/>
      <c r="H120" s="2276"/>
      <c r="I120" s="2276"/>
      <c r="J120" s="2276"/>
      <c r="K120" s="2276"/>
      <c r="L120" s="2276"/>
      <c r="M120" s="2276"/>
      <c r="N120" s="2276"/>
      <c r="O120" s="2276"/>
      <c r="P120" s="2276"/>
      <c r="Q120" s="2276"/>
    </row>
    <row r="121" spans="2:17" s="749" customFormat="1">
      <c r="B121" s="2276"/>
      <c r="C121" s="2276"/>
      <c r="D121" s="2276"/>
      <c r="E121" s="2276"/>
      <c r="F121" s="2276"/>
      <c r="G121" s="2276"/>
      <c r="H121" s="2276"/>
      <c r="I121" s="2276"/>
      <c r="J121" s="2276"/>
      <c r="K121" s="2276"/>
      <c r="L121" s="2276"/>
      <c r="M121" s="2276"/>
      <c r="N121" s="2276"/>
      <c r="O121" s="2276"/>
      <c r="P121" s="2276"/>
      <c r="Q121" s="2276"/>
    </row>
    <row r="122" spans="2:17" s="749" customFormat="1">
      <c r="B122" s="2276"/>
      <c r="C122" s="2276"/>
      <c r="D122" s="2276"/>
      <c r="E122" s="2276"/>
      <c r="F122" s="2276"/>
      <c r="G122" s="2276"/>
      <c r="H122" s="2276"/>
      <c r="I122" s="2276"/>
      <c r="J122" s="2276"/>
      <c r="K122" s="2276"/>
      <c r="L122" s="2276"/>
      <c r="M122" s="2276"/>
      <c r="N122" s="2276"/>
      <c r="O122" s="2276"/>
      <c r="P122" s="2276"/>
      <c r="Q122" s="2276"/>
    </row>
    <row r="123" spans="2:17" s="749" customFormat="1">
      <c r="B123" s="2276"/>
      <c r="C123" s="2276"/>
      <c r="D123" s="2276"/>
      <c r="E123" s="2276"/>
      <c r="F123" s="2276"/>
      <c r="G123" s="2276"/>
      <c r="H123" s="2276"/>
      <c r="I123" s="2276"/>
      <c r="J123" s="2276"/>
      <c r="K123" s="2276"/>
      <c r="L123" s="2276"/>
      <c r="M123" s="2276"/>
      <c r="N123" s="2276"/>
      <c r="O123" s="2276"/>
      <c r="P123" s="2276"/>
      <c r="Q123" s="2276"/>
    </row>
    <row r="124" spans="2:17" s="749" customFormat="1">
      <c r="B124" s="2276"/>
      <c r="C124" s="2276"/>
      <c r="D124" s="2276"/>
      <c r="E124" s="2276"/>
      <c r="F124" s="2276"/>
      <c r="G124" s="2276"/>
      <c r="H124" s="2276"/>
      <c r="I124" s="2276"/>
      <c r="J124" s="2276"/>
      <c r="K124" s="2276"/>
      <c r="L124" s="2276"/>
      <c r="M124" s="2276"/>
      <c r="N124" s="2276"/>
      <c r="O124" s="2276"/>
      <c r="P124" s="2276"/>
      <c r="Q124" s="2276"/>
    </row>
    <row r="125" spans="2:17" s="749" customFormat="1">
      <c r="B125" s="2276"/>
      <c r="C125" s="2276"/>
      <c r="D125" s="2276"/>
      <c r="E125" s="2276"/>
      <c r="F125" s="2276"/>
      <c r="G125" s="2276"/>
      <c r="H125" s="2276"/>
      <c r="I125" s="2276"/>
      <c r="J125" s="2276"/>
      <c r="K125" s="2276"/>
      <c r="L125" s="2276"/>
      <c r="M125" s="2276"/>
      <c r="N125" s="2276"/>
      <c r="O125" s="2276"/>
      <c r="P125" s="2276"/>
      <c r="Q125" s="2276"/>
    </row>
    <row r="126" spans="2:17" s="749" customFormat="1">
      <c r="B126" s="2276"/>
      <c r="C126" s="2276"/>
      <c r="D126" s="2276"/>
      <c r="E126" s="2276"/>
      <c r="F126" s="2276"/>
      <c r="G126" s="2276"/>
      <c r="H126" s="2276"/>
      <c r="I126" s="2276"/>
      <c r="J126" s="2276"/>
      <c r="K126" s="2276"/>
      <c r="L126" s="2276"/>
      <c r="M126" s="2276"/>
      <c r="N126" s="2276"/>
      <c r="O126" s="2276"/>
      <c r="P126" s="2276"/>
      <c r="Q126" s="2276"/>
    </row>
    <row r="127" spans="2:17" s="749" customFormat="1">
      <c r="B127" s="2276"/>
      <c r="C127" s="2276"/>
      <c r="D127" s="2276"/>
      <c r="E127" s="2276"/>
      <c r="F127" s="2276"/>
      <c r="G127" s="2276"/>
      <c r="H127" s="2276"/>
      <c r="I127" s="2276"/>
      <c r="J127" s="2276"/>
      <c r="K127" s="2276"/>
      <c r="L127" s="2276"/>
      <c r="M127" s="2276"/>
      <c r="N127" s="2276"/>
      <c r="O127" s="2276"/>
      <c r="P127" s="2276"/>
      <c r="Q127" s="2276"/>
    </row>
    <row r="128" spans="2:17" s="749" customFormat="1">
      <c r="B128" s="2276"/>
      <c r="C128" s="2276"/>
      <c r="D128" s="2276"/>
      <c r="E128" s="2276"/>
      <c r="F128" s="2276"/>
      <c r="G128" s="2276"/>
      <c r="H128" s="2276"/>
      <c r="I128" s="2276"/>
      <c r="J128" s="2276"/>
      <c r="K128" s="2276"/>
      <c r="L128" s="2276"/>
      <c r="M128" s="2276"/>
      <c r="N128" s="2276"/>
      <c r="O128" s="2276"/>
      <c r="P128" s="2276"/>
      <c r="Q128" s="2276"/>
    </row>
    <row r="129" spans="2:17" s="749" customFormat="1">
      <c r="B129" s="2276"/>
      <c r="C129" s="2276"/>
      <c r="D129" s="2276"/>
      <c r="E129" s="2276"/>
      <c r="F129" s="2276"/>
      <c r="G129" s="2276"/>
      <c r="H129" s="2276"/>
      <c r="I129" s="2276"/>
      <c r="J129" s="2276"/>
      <c r="K129" s="2276"/>
      <c r="L129" s="2276"/>
      <c r="M129" s="2276"/>
      <c r="N129" s="2276"/>
      <c r="O129" s="2276"/>
      <c r="P129" s="2276"/>
      <c r="Q129" s="2276"/>
    </row>
    <row r="130" spans="2:17" s="749" customFormat="1">
      <c r="B130" s="2276"/>
      <c r="C130" s="2276"/>
      <c r="D130" s="2276"/>
      <c r="E130" s="2276"/>
      <c r="F130" s="2276"/>
      <c r="G130" s="2276"/>
      <c r="H130" s="2276"/>
      <c r="I130" s="2276"/>
      <c r="J130" s="2276"/>
      <c r="K130" s="2276"/>
      <c r="L130" s="2276"/>
      <c r="M130" s="2276"/>
      <c r="N130" s="2276"/>
      <c r="O130" s="2276"/>
      <c r="P130" s="2276"/>
      <c r="Q130" s="2276"/>
    </row>
    <row r="131" spans="2:17" s="749" customFormat="1">
      <c r="B131" s="2276"/>
      <c r="C131" s="2276"/>
      <c r="D131" s="2276"/>
      <c r="E131" s="2276"/>
      <c r="F131" s="2276"/>
      <c r="G131" s="2276"/>
      <c r="H131" s="2276"/>
      <c r="I131" s="2276"/>
      <c r="J131" s="2276"/>
      <c r="K131" s="2276"/>
      <c r="L131" s="2276"/>
      <c r="M131" s="2276"/>
      <c r="N131" s="2276"/>
      <c r="O131" s="2276"/>
      <c r="P131" s="2276"/>
      <c r="Q131" s="2276"/>
    </row>
    <row r="132" spans="2:17" s="749" customFormat="1">
      <c r="B132" s="2276"/>
      <c r="C132" s="2276"/>
      <c r="D132" s="2276"/>
      <c r="E132" s="2276"/>
      <c r="F132" s="2276"/>
      <c r="G132" s="2276"/>
      <c r="H132" s="2276"/>
      <c r="I132" s="2276"/>
      <c r="J132" s="2276"/>
      <c r="K132" s="2276"/>
      <c r="L132" s="2276"/>
      <c r="M132" s="2276"/>
      <c r="N132" s="2276"/>
      <c r="O132" s="2276"/>
      <c r="P132" s="2276"/>
      <c r="Q132" s="2276"/>
    </row>
    <row r="133" spans="2:17" s="749" customFormat="1">
      <c r="B133" s="2276"/>
      <c r="C133" s="2276"/>
      <c r="D133" s="2276"/>
      <c r="E133" s="2276"/>
      <c r="F133" s="2276"/>
      <c r="G133" s="2276"/>
      <c r="H133" s="2276"/>
      <c r="I133" s="2276"/>
      <c r="J133" s="2276"/>
      <c r="K133" s="2276"/>
      <c r="L133" s="2276"/>
      <c r="M133" s="2276"/>
      <c r="N133" s="2276"/>
      <c r="O133" s="2276"/>
      <c r="P133" s="2276"/>
      <c r="Q133" s="2276"/>
    </row>
    <row r="134" spans="2:17" s="749" customFormat="1">
      <c r="B134" s="2276"/>
      <c r="C134" s="2276"/>
      <c r="D134" s="2276"/>
      <c r="E134" s="2276"/>
      <c r="F134" s="2276"/>
      <c r="G134" s="2276"/>
      <c r="H134" s="2276"/>
      <c r="I134" s="2276"/>
      <c r="J134" s="2276"/>
      <c r="K134" s="2276"/>
      <c r="L134" s="2276"/>
      <c r="M134" s="2276"/>
      <c r="N134" s="2276"/>
      <c r="O134" s="2276"/>
      <c r="P134" s="2276"/>
      <c r="Q134" s="2276"/>
    </row>
    <row r="135" spans="2:17" s="749" customFormat="1">
      <c r="B135" s="2276"/>
      <c r="C135" s="2276"/>
      <c r="D135" s="2276"/>
      <c r="E135" s="2276"/>
      <c r="F135" s="2276"/>
      <c r="G135" s="2276"/>
      <c r="H135" s="2276"/>
      <c r="I135" s="2276"/>
      <c r="J135" s="2276"/>
      <c r="K135" s="2276"/>
      <c r="L135" s="2276"/>
      <c r="M135" s="2276"/>
      <c r="N135" s="2276"/>
      <c r="O135" s="2276"/>
      <c r="P135" s="2276"/>
      <c r="Q135" s="2276"/>
    </row>
    <row r="136" spans="2:17" s="749" customFormat="1">
      <c r="B136" s="2276"/>
      <c r="C136" s="2276"/>
      <c r="D136" s="2276"/>
      <c r="E136" s="2276"/>
      <c r="F136" s="2276"/>
      <c r="G136" s="2276"/>
      <c r="H136" s="2276"/>
      <c r="I136" s="2276"/>
      <c r="J136" s="2276"/>
      <c r="K136" s="2276"/>
      <c r="L136" s="2276"/>
      <c r="M136" s="2276"/>
      <c r="N136" s="2276"/>
      <c r="O136" s="2276"/>
      <c r="P136" s="2276"/>
      <c r="Q136" s="2276"/>
    </row>
    <row r="137" spans="2:17" s="749" customFormat="1">
      <c r="B137" s="2276"/>
      <c r="C137" s="2276"/>
      <c r="D137" s="2276"/>
      <c r="E137" s="2276"/>
      <c r="F137" s="2276"/>
      <c r="G137" s="2276"/>
      <c r="H137" s="2276"/>
      <c r="I137" s="2276"/>
      <c r="J137" s="2276"/>
      <c r="K137" s="2276"/>
      <c r="L137" s="2276"/>
      <c r="M137" s="2276"/>
      <c r="N137" s="2276"/>
      <c r="O137" s="2276"/>
      <c r="P137" s="2276"/>
      <c r="Q137" s="2276"/>
    </row>
    <row r="138" spans="2:17" s="749" customFormat="1">
      <c r="B138" s="2276"/>
      <c r="C138" s="2276"/>
      <c r="D138" s="2276"/>
      <c r="E138" s="2276"/>
      <c r="F138" s="2276"/>
      <c r="G138" s="2276"/>
      <c r="H138" s="2276"/>
      <c r="I138" s="2276"/>
      <c r="J138" s="2276"/>
      <c r="K138" s="2276"/>
      <c r="L138" s="2276"/>
      <c r="M138" s="2276"/>
      <c r="N138" s="2276"/>
      <c r="O138" s="2276"/>
      <c r="P138" s="2276"/>
      <c r="Q138" s="2276"/>
    </row>
    <row r="139" spans="2:17" s="749" customFormat="1">
      <c r="B139" s="2276"/>
      <c r="C139" s="2276"/>
      <c r="D139" s="2276"/>
      <c r="E139" s="2276"/>
      <c r="F139" s="2276"/>
      <c r="G139" s="2276"/>
      <c r="H139" s="2276"/>
      <c r="I139" s="2276"/>
      <c r="J139" s="2276"/>
      <c r="K139" s="2276"/>
      <c r="L139" s="2276"/>
      <c r="M139" s="2276"/>
      <c r="N139" s="2276"/>
      <c r="O139" s="2276"/>
      <c r="P139" s="2276"/>
      <c r="Q139" s="2276"/>
    </row>
    <row r="140" spans="2:17" s="749" customFormat="1">
      <c r="B140" s="2276"/>
      <c r="C140" s="2276"/>
      <c r="D140" s="2276"/>
      <c r="E140" s="2276"/>
      <c r="F140" s="2276"/>
      <c r="G140" s="2276"/>
      <c r="H140" s="2276"/>
      <c r="I140" s="2276"/>
      <c r="J140" s="2276"/>
      <c r="K140" s="2276"/>
      <c r="L140" s="2276"/>
      <c r="M140" s="2276"/>
      <c r="N140" s="2276"/>
      <c r="O140" s="2276"/>
      <c r="P140" s="2276"/>
      <c r="Q140" s="2276"/>
    </row>
    <row r="141" spans="2:17" s="749" customFormat="1">
      <c r="B141" s="2276"/>
      <c r="C141" s="2276"/>
      <c r="D141" s="2276"/>
      <c r="E141" s="2276"/>
      <c r="F141" s="2276"/>
      <c r="G141" s="2276"/>
      <c r="H141" s="2276"/>
      <c r="I141" s="2276"/>
      <c r="J141" s="2276"/>
      <c r="K141" s="2276"/>
      <c r="L141" s="2276"/>
      <c r="M141" s="2276"/>
      <c r="N141" s="2276"/>
      <c r="O141" s="2276"/>
      <c r="P141" s="2276"/>
      <c r="Q141" s="2276"/>
    </row>
    <row r="142" spans="2:17" s="749" customFormat="1">
      <c r="B142" s="2276"/>
      <c r="C142" s="2276"/>
      <c r="D142" s="2276"/>
      <c r="E142" s="2276"/>
      <c r="F142" s="2276"/>
      <c r="G142" s="2276"/>
      <c r="H142" s="2276"/>
      <c r="I142" s="2276"/>
      <c r="J142" s="2276"/>
      <c r="K142" s="2276"/>
      <c r="L142" s="2276"/>
      <c r="M142" s="2276"/>
      <c r="N142" s="2276"/>
      <c r="O142" s="2276"/>
      <c r="P142" s="2276"/>
      <c r="Q142" s="2276"/>
    </row>
    <row r="143" spans="2:17" s="749" customFormat="1">
      <c r="B143" s="2276"/>
      <c r="C143" s="2276"/>
      <c r="D143" s="2276"/>
      <c r="E143" s="2276"/>
      <c r="F143" s="2276"/>
      <c r="G143" s="2276"/>
      <c r="H143" s="2276"/>
      <c r="I143" s="2276"/>
      <c r="J143" s="2276"/>
      <c r="K143" s="2276"/>
      <c r="L143" s="2276"/>
      <c r="M143" s="2276"/>
      <c r="N143" s="2276"/>
      <c r="O143" s="2276"/>
      <c r="P143" s="2276"/>
      <c r="Q143" s="2276"/>
    </row>
    <row r="144" spans="2:17" s="749" customFormat="1">
      <c r="B144" s="2276"/>
      <c r="C144" s="2276"/>
      <c r="D144" s="2276"/>
      <c r="E144" s="2276"/>
      <c r="F144" s="2276"/>
      <c r="G144" s="2276"/>
      <c r="H144" s="2276"/>
      <c r="I144" s="2276"/>
      <c r="J144" s="2276"/>
      <c r="K144" s="2276"/>
      <c r="L144" s="2276"/>
      <c r="M144" s="2276"/>
      <c r="N144" s="2276"/>
      <c r="O144" s="2276"/>
      <c r="P144" s="2276"/>
      <c r="Q144" s="2276"/>
    </row>
    <row r="145" spans="2:17" s="749" customFormat="1">
      <c r="B145" s="2276"/>
      <c r="C145" s="2276"/>
      <c r="D145" s="2276"/>
      <c r="E145" s="2276"/>
      <c r="F145" s="2276"/>
      <c r="G145" s="2276"/>
      <c r="H145" s="2276"/>
      <c r="I145" s="2276"/>
      <c r="J145" s="2276"/>
      <c r="K145" s="2276"/>
      <c r="L145" s="2276"/>
      <c r="M145" s="2276"/>
      <c r="N145" s="2276"/>
      <c r="O145" s="2276"/>
      <c r="P145" s="2276"/>
      <c r="Q145" s="2276"/>
    </row>
    <row r="146" spans="2:17" s="749" customFormat="1">
      <c r="B146" s="2276"/>
      <c r="C146" s="2276"/>
      <c r="D146" s="2276"/>
      <c r="E146" s="2276"/>
      <c r="F146" s="2276"/>
      <c r="G146" s="2276"/>
      <c r="H146" s="2276"/>
      <c r="I146" s="2276"/>
      <c r="J146" s="2276"/>
      <c r="K146" s="2276"/>
      <c r="L146" s="2276"/>
      <c r="M146" s="2276"/>
      <c r="N146" s="2276"/>
      <c r="O146" s="2276"/>
      <c r="P146" s="2276"/>
      <c r="Q146" s="2276"/>
    </row>
    <row r="147" spans="2:17" s="749" customFormat="1">
      <c r="B147" s="2276"/>
      <c r="C147" s="2276"/>
      <c r="D147" s="2276"/>
      <c r="E147" s="2276"/>
      <c r="F147" s="2276"/>
      <c r="G147" s="2276"/>
      <c r="H147" s="2276"/>
      <c r="I147" s="2276"/>
      <c r="J147" s="2276"/>
      <c r="K147" s="2276"/>
      <c r="L147" s="2276"/>
      <c r="M147" s="2276"/>
      <c r="N147" s="2276"/>
      <c r="O147" s="2276"/>
      <c r="P147" s="2276"/>
      <c r="Q147" s="2276"/>
    </row>
    <row r="148" spans="2:17" s="749" customFormat="1">
      <c r="B148" s="2276"/>
      <c r="C148" s="2276"/>
      <c r="D148" s="2276"/>
      <c r="E148" s="2276"/>
      <c r="F148" s="2276"/>
      <c r="G148" s="2276"/>
      <c r="H148" s="2276"/>
      <c r="I148" s="2276"/>
      <c r="J148" s="2276"/>
      <c r="K148" s="2276"/>
      <c r="L148" s="2276"/>
      <c r="M148" s="2276"/>
      <c r="N148" s="2276"/>
      <c r="O148" s="2276"/>
      <c r="P148" s="2276"/>
      <c r="Q148" s="2276"/>
    </row>
    <row r="149" spans="2:17" s="749" customFormat="1">
      <c r="B149" s="2276"/>
      <c r="C149" s="2276"/>
      <c r="D149" s="2276"/>
      <c r="E149" s="2276"/>
      <c r="F149" s="2276"/>
      <c r="G149" s="2276"/>
      <c r="H149" s="2276"/>
      <c r="I149" s="2276"/>
      <c r="J149" s="2276"/>
      <c r="K149" s="2276"/>
      <c r="L149" s="2276"/>
      <c r="M149" s="2276"/>
      <c r="N149" s="2276"/>
      <c r="O149" s="2276"/>
      <c r="P149" s="2276"/>
      <c r="Q149" s="2276"/>
    </row>
    <row r="150" spans="2:17" s="749" customFormat="1">
      <c r="B150" s="2276"/>
      <c r="C150" s="2276"/>
      <c r="D150" s="2276"/>
      <c r="E150" s="2276"/>
      <c r="F150" s="2276"/>
      <c r="G150" s="2276"/>
      <c r="H150" s="2276"/>
      <c r="I150" s="2276"/>
      <c r="J150" s="2276"/>
      <c r="K150" s="2276"/>
      <c r="L150" s="2276"/>
      <c r="M150" s="2276"/>
      <c r="N150" s="2276"/>
      <c r="O150" s="2276"/>
      <c r="P150" s="2276"/>
      <c r="Q150" s="2276"/>
    </row>
    <row r="151" spans="2:17" s="749" customFormat="1">
      <c r="B151" s="2276"/>
      <c r="C151" s="2276"/>
      <c r="D151" s="2276"/>
      <c r="E151" s="2276"/>
      <c r="F151" s="2276"/>
      <c r="G151" s="2276"/>
      <c r="H151" s="2276"/>
      <c r="I151" s="2276"/>
      <c r="J151" s="2276"/>
      <c r="K151" s="2276"/>
      <c r="L151" s="2276"/>
      <c r="M151" s="2276"/>
      <c r="N151" s="2276"/>
      <c r="O151" s="2276"/>
      <c r="P151" s="2276"/>
      <c r="Q151" s="2276"/>
    </row>
    <row r="152" spans="2:17" s="749" customFormat="1">
      <c r="B152" s="2276"/>
      <c r="C152" s="2276"/>
      <c r="D152" s="2276"/>
      <c r="E152" s="2276"/>
      <c r="F152" s="2276"/>
      <c r="G152" s="2276"/>
      <c r="H152" s="2276"/>
      <c r="I152" s="2276"/>
      <c r="J152" s="2276"/>
      <c r="K152" s="2276"/>
      <c r="L152" s="2276"/>
      <c r="M152" s="2276"/>
      <c r="N152" s="2276"/>
      <c r="O152" s="2276"/>
      <c r="P152" s="2276"/>
      <c r="Q152" s="2276"/>
    </row>
    <row r="153" spans="2:17" s="749" customFormat="1">
      <c r="B153" s="2276"/>
      <c r="C153" s="2276"/>
      <c r="D153" s="2276"/>
      <c r="E153" s="2276"/>
      <c r="F153" s="2276"/>
      <c r="G153" s="2276"/>
      <c r="H153" s="2276"/>
      <c r="I153" s="2276"/>
      <c r="J153" s="2276"/>
      <c r="K153" s="2276"/>
      <c r="L153" s="2276"/>
      <c r="M153" s="2276"/>
      <c r="N153" s="2276"/>
      <c r="O153" s="2276"/>
      <c r="P153" s="2276"/>
      <c r="Q153" s="2276"/>
    </row>
    <row r="154" spans="2:17" s="749" customFormat="1">
      <c r="B154" s="2276"/>
      <c r="C154" s="2276"/>
      <c r="D154" s="2276"/>
      <c r="E154" s="2276"/>
      <c r="F154" s="2276"/>
      <c r="G154" s="2276"/>
      <c r="H154" s="2276"/>
      <c r="I154" s="2276"/>
      <c r="J154" s="2276"/>
      <c r="K154" s="2276"/>
      <c r="L154" s="2276"/>
      <c r="M154" s="2276"/>
      <c r="N154" s="2276"/>
      <c r="O154" s="2276"/>
      <c r="P154" s="2276"/>
      <c r="Q154" s="2276"/>
    </row>
    <row r="155" spans="2:17" s="749" customFormat="1">
      <c r="B155" s="2276"/>
      <c r="C155" s="2276"/>
      <c r="D155" s="2276"/>
      <c r="E155" s="2276"/>
      <c r="F155" s="2276"/>
      <c r="G155" s="2276"/>
      <c r="H155" s="2276"/>
      <c r="I155" s="2276"/>
      <c r="J155" s="2276"/>
      <c r="K155" s="2276"/>
      <c r="L155" s="2276"/>
      <c r="M155" s="2276"/>
      <c r="N155" s="2276"/>
      <c r="O155" s="2276"/>
      <c r="P155" s="2276"/>
      <c r="Q155" s="2276"/>
    </row>
    <row r="156" spans="2:17" s="749" customFormat="1">
      <c r="B156" s="2276"/>
      <c r="C156" s="2276"/>
      <c r="D156" s="2276"/>
      <c r="E156" s="2276"/>
      <c r="F156" s="2276"/>
      <c r="G156" s="2276"/>
      <c r="H156" s="2276"/>
      <c r="I156" s="2276"/>
      <c r="J156" s="2276"/>
      <c r="K156" s="2276"/>
      <c r="L156" s="2276"/>
      <c r="M156" s="2276"/>
      <c r="N156" s="2276"/>
      <c r="O156" s="2276"/>
      <c r="P156" s="2276"/>
      <c r="Q156" s="2276"/>
    </row>
    <row r="157" spans="2:17" s="749" customFormat="1">
      <c r="B157" s="2276"/>
      <c r="C157" s="2276"/>
      <c r="D157" s="2276"/>
      <c r="E157" s="2276"/>
      <c r="F157" s="2276"/>
      <c r="G157" s="2276"/>
      <c r="H157" s="2276"/>
      <c r="I157" s="2276"/>
      <c r="J157" s="2276"/>
      <c r="K157" s="2276"/>
      <c r="L157" s="2276"/>
      <c r="M157" s="2276"/>
      <c r="N157" s="2276"/>
      <c r="O157" s="2276"/>
      <c r="P157" s="2276"/>
      <c r="Q157" s="2276"/>
    </row>
    <row r="158" spans="2:17" s="749" customFormat="1">
      <c r="B158" s="2276"/>
      <c r="C158" s="2276"/>
      <c r="D158" s="2276"/>
      <c r="E158" s="2276"/>
      <c r="F158" s="2276"/>
      <c r="G158" s="2276"/>
      <c r="H158" s="2276"/>
      <c r="I158" s="2276"/>
      <c r="J158" s="2276"/>
      <c r="K158" s="2276"/>
      <c r="L158" s="2276"/>
      <c r="M158" s="2276"/>
      <c r="N158" s="2276"/>
      <c r="O158" s="2276"/>
      <c r="P158" s="2276"/>
      <c r="Q158" s="2276"/>
    </row>
    <row r="159" spans="2:17" s="749" customFormat="1">
      <c r="B159" s="2276"/>
      <c r="C159" s="2276"/>
      <c r="D159" s="2276"/>
      <c r="E159" s="2276"/>
      <c r="F159" s="2276"/>
      <c r="G159" s="2276"/>
      <c r="H159" s="2276"/>
      <c r="I159" s="2276"/>
      <c r="J159" s="2276"/>
      <c r="K159" s="2276"/>
      <c r="L159" s="2276"/>
      <c r="M159" s="2276"/>
      <c r="N159" s="2276"/>
      <c r="O159" s="2276"/>
      <c r="P159" s="2276"/>
      <c r="Q159" s="2276"/>
    </row>
    <row r="160" spans="2:17" s="749" customFormat="1">
      <c r="B160" s="2276"/>
      <c r="C160" s="2276"/>
      <c r="D160" s="2276"/>
      <c r="E160" s="2276"/>
      <c r="F160" s="2276"/>
      <c r="G160" s="2276"/>
      <c r="H160" s="2276"/>
      <c r="I160" s="2276"/>
      <c r="J160" s="2276"/>
      <c r="K160" s="2276"/>
      <c r="L160" s="2276"/>
      <c r="M160" s="2276"/>
      <c r="N160" s="2276"/>
      <c r="O160" s="2276"/>
      <c r="P160" s="2276"/>
      <c r="Q160" s="2276"/>
    </row>
    <row r="161" spans="2:17" s="749" customFormat="1">
      <c r="B161" s="2276"/>
      <c r="C161" s="2276"/>
      <c r="D161" s="2276"/>
      <c r="E161" s="2276"/>
      <c r="F161" s="2276"/>
      <c r="G161" s="2276"/>
      <c r="H161" s="2276"/>
      <c r="I161" s="2276"/>
      <c r="J161" s="2276"/>
      <c r="K161" s="2276"/>
      <c r="L161" s="2276"/>
      <c r="M161" s="2276"/>
      <c r="N161" s="2276"/>
      <c r="O161" s="2276"/>
      <c r="P161" s="2276"/>
      <c r="Q161" s="2276"/>
    </row>
    <row r="162" spans="2:17" s="749" customFormat="1">
      <c r="B162" s="2276"/>
      <c r="C162" s="2276"/>
      <c r="D162" s="2276"/>
      <c r="E162" s="2276"/>
      <c r="F162" s="2276"/>
      <c r="G162" s="2276"/>
      <c r="H162" s="2276"/>
      <c r="I162" s="2276"/>
      <c r="J162" s="2276"/>
      <c r="K162" s="2276"/>
      <c r="L162" s="2276"/>
      <c r="M162" s="2276"/>
      <c r="N162" s="2276"/>
      <c r="O162" s="2276"/>
      <c r="P162" s="2276"/>
      <c r="Q162" s="2276"/>
    </row>
    <row r="163" spans="2:17" s="749" customFormat="1">
      <c r="B163" s="2276"/>
      <c r="C163" s="2276"/>
      <c r="D163" s="2276"/>
      <c r="E163" s="2276"/>
      <c r="F163" s="2276"/>
      <c r="G163" s="2276"/>
      <c r="H163" s="2276"/>
      <c r="I163" s="2276"/>
      <c r="J163" s="2276"/>
      <c r="K163" s="2276"/>
      <c r="L163" s="2276"/>
      <c r="M163" s="2276"/>
      <c r="N163" s="2276"/>
      <c r="O163" s="2276"/>
      <c r="P163" s="2276"/>
      <c r="Q163" s="2276"/>
    </row>
    <row r="164" spans="2:17" s="749" customFormat="1">
      <c r="B164" s="2276"/>
      <c r="C164" s="2276"/>
      <c r="D164" s="2276"/>
      <c r="E164" s="2276"/>
      <c r="F164" s="2276"/>
      <c r="G164" s="2276"/>
      <c r="H164" s="2276"/>
      <c r="I164" s="2276"/>
      <c r="J164" s="2276"/>
      <c r="K164" s="2276"/>
      <c r="L164" s="2276"/>
      <c r="M164" s="2276"/>
      <c r="N164" s="2276"/>
      <c r="O164" s="2276"/>
      <c r="P164" s="2276"/>
      <c r="Q164" s="2276"/>
    </row>
    <row r="165" spans="2:17" s="749" customFormat="1">
      <c r="B165" s="2276"/>
      <c r="C165" s="2276"/>
      <c r="D165" s="2276"/>
      <c r="E165" s="2276"/>
      <c r="F165" s="2276"/>
      <c r="G165" s="2276"/>
      <c r="H165" s="2276"/>
      <c r="I165" s="2276"/>
      <c r="J165" s="2276"/>
      <c r="K165" s="2276"/>
      <c r="L165" s="2276"/>
      <c r="M165" s="2276"/>
      <c r="N165" s="2276"/>
      <c r="O165" s="2276"/>
      <c r="P165" s="2276"/>
      <c r="Q165" s="2276"/>
    </row>
    <row r="166" spans="2:17" s="749" customFormat="1">
      <c r="B166" s="2276"/>
      <c r="C166" s="2276"/>
      <c r="D166" s="2276"/>
      <c r="E166" s="2276"/>
      <c r="F166" s="2276"/>
      <c r="G166" s="2276"/>
      <c r="H166" s="2276"/>
      <c r="I166" s="2276"/>
      <c r="J166" s="2276"/>
      <c r="K166" s="2276"/>
      <c r="L166" s="2276"/>
      <c r="M166" s="2276"/>
      <c r="N166" s="2276"/>
      <c r="O166" s="2276"/>
      <c r="P166" s="2276"/>
      <c r="Q166" s="2276"/>
    </row>
    <row r="167" spans="2:17" s="749" customFormat="1">
      <c r="B167" s="2276"/>
      <c r="C167" s="2276"/>
      <c r="D167" s="2276"/>
      <c r="E167" s="2276"/>
      <c r="F167" s="2276"/>
      <c r="G167" s="2276"/>
      <c r="H167" s="2276"/>
      <c r="I167" s="2276"/>
      <c r="J167" s="2276"/>
      <c r="K167" s="2276"/>
      <c r="L167" s="2276"/>
      <c r="M167" s="2276"/>
      <c r="N167" s="2276"/>
      <c r="O167" s="2276"/>
      <c r="P167" s="2276"/>
      <c r="Q167" s="2276"/>
    </row>
    <row r="168" spans="2:17" s="749" customFormat="1">
      <c r="B168" s="2276"/>
      <c r="C168" s="2276"/>
      <c r="D168" s="2276"/>
      <c r="E168" s="2276"/>
      <c r="F168" s="2276"/>
      <c r="G168" s="2276"/>
      <c r="H168" s="2276"/>
      <c r="I168" s="2276"/>
      <c r="J168" s="2276"/>
      <c r="K168" s="2276"/>
      <c r="L168" s="2276"/>
      <c r="M168" s="2276"/>
      <c r="N168" s="2276"/>
      <c r="O168" s="2276"/>
      <c r="P168" s="2276"/>
      <c r="Q168" s="2276"/>
    </row>
    <row r="169" spans="2:17" s="749" customFormat="1">
      <c r="B169" s="2276"/>
      <c r="C169" s="2276"/>
      <c r="D169" s="2276"/>
      <c r="E169" s="2276"/>
      <c r="F169" s="2276"/>
      <c r="G169" s="2276"/>
      <c r="H169" s="2276"/>
      <c r="I169" s="2276"/>
      <c r="J169" s="2276"/>
      <c r="K169" s="2276"/>
      <c r="L169" s="2276"/>
      <c r="M169" s="2276"/>
      <c r="N169" s="2276"/>
      <c r="O169" s="2276"/>
      <c r="P169" s="2276"/>
      <c r="Q169" s="2276"/>
    </row>
    <row r="170" spans="2:17" s="749" customFormat="1">
      <c r="B170" s="2276"/>
      <c r="C170" s="2276"/>
      <c r="D170" s="2276"/>
      <c r="E170" s="2276"/>
      <c r="F170" s="2276"/>
      <c r="G170" s="2276"/>
      <c r="H170" s="2276"/>
      <c r="I170" s="2276"/>
      <c r="J170" s="2276"/>
      <c r="K170" s="2276"/>
      <c r="L170" s="2276"/>
      <c r="M170" s="2276"/>
      <c r="N170" s="2276"/>
      <c r="O170" s="2276"/>
      <c r="P170" s="2276"/>
      <c r="Q170" s="2276"/>
    </row>
    <row r="171" spans="2:17" s="749" customFormat="1">
      <c r="B171" s="2276"/>
      <c r="C171" s="2276"/>
      <c r="D171" s="2276"/>
      <c r="E171" s="2276"/>
      <c r="F171" s="2276"/>
      <c r="G171" s="2276"/>
      <c r="H171" s="2276"/>
      <c r="I171" s="2276"/>
      <c r="J171" s="2276"/>
      <c r="K171" s="2276"/>
      <c r="L171" s="2276"/>
      <c r="M171" s="2276"/>
      <c r="N171" s="2276"/>
      <c r="O171" s="2276"/>
      <c r="P171" s="2276"/>
      <c r="Q171" s="2276"/>
    </row>
    <row r="172" spans="2:17" s="749" customFormat="1">
      <c r="B172" s="2276"/>
      <c r="C172" s="2276"/>
      <c r="D172" s="2276"/>
      <c r="E172" s="2276"/>
      <c r="F172" s="2276"/>
      <c r="G172" s="2276"/>
      <c r="H172" s="2276"/>
      <c r="I172" s="2276"/>
      <c r="J172" s="2276"/>
      <c r="K172" s="2276"/>
      <c r="L172" s="2276"/>
      <c r="M172" s="2276"/>
      <c r="N172" s="2276"/>
      <c r="O172" s="2276"/>
      <c r="P172" s="2276"/>
      <c r="Q172" s="2276"/>
    </row>
    <row r="173" spans="2:17" s="749" customFormat="1">
      <c r="B173" s="2276"/>
      <c r="C173" s="2276"/>
      <c r="D173" s="2276"/>
      <c r="E173" s="2276"/>
      <c r="F173" s="2276"/>
      <c r="G173" s="2276"/>
      <c r="H173" s="2276"/>
      <c r="I173" s="2276"/>
      <c r="J173" s="2276"/>
      <c r="K173" s="2276"/>
      <c r="L173" s="2276"/>
      <c r="M173" s="2276"/>
      <c r="N173" s="2276"/>
      <c r="O173" s="2276"/>
      <c r="P173" s="2276"/>
      <c r="Q173" s="2276"/>
    </row>
    <row r="174" spans="2:17" s="749" customFormat="1">
      <c r="B174" s="2276"/>
      <c r="C174" s="2276"/>
      <c r="D174" s="2276"/>
      <c r="E174" s="2276"/>
      <c r="F174" s="2276"/>
      <c r="G174" s="2276"/>
      <c r="H174" s="2276"/>
      <c r="I174" s="2276"/>
      <c r="J174" s="2276"/>
      <c r="K174" s="2276"/>
      <c r="L174" s="2276"/>
      <c r="M174" s="2276"/>
      <c r="N174" s="2276"/>
      <c r="O174" s="2276"/>
      <c r="P174" s="2276"/>
      <c r="Q174" s="2276"/>
    </row>
    <row r="175" spans="2:17" s="749" customFormat="1">
      <c r="B175" s="2276"/>
      <c r="C175" s="2276"/>
      <c r="D175" s="2276"/>
      <c r="E175" s="2276"/>
      <c r="F175" s="2276"/>
      <c r="G175" s="2276"/>
      <c r="H175" s="2276"/>
      <c r="I175" s="2276"/>
      <c r="J175" s="2276"/>
      <c r="K175" s="2276"/>
      <c r="L175" s="2276"/>
      <c r="M175" s="2276"/>
      <c r="N175" s="2276"/>
      <c r="O175" s="2276"/>
      <c r="P175" s="2276"/>
      <c r="Q175" s="2276"/>
    </row>
    <row r="176" spans="2:17" s="749" customFormat="1">
      <c r="B176" s="2276"/>
      <c r="C176" s="2276"/>
      <c r="D176" s="2276"/>
      <c r="E176" s="2276"/>
      <c r="F176" s="2276"/>
      <c r="G176" s="2276"/>
      <c r="H176" s="2276"/>
      <c r="I176" s="2276"/>
      <c r="J176" s="2276"/>
      <c r="K176" s="2276"/>
      <c r="L176" s="2276"/>
      <c r="M176" s="2276"/>
      <c r="N176" s="2276"/>
      <c r="O176" s="2276"/>
      <c r="P176" s="2276"/>
      <c r="Q176" s="2276"/>
    </row>
    <row r="177" spans="1:17" s="749" customFormat="1">
      <c r="B177" s="2276"/>
      <c r="C177" s="2276"/>
      <c r="D177" s="2276"/>
      <c r="E177" s="2276"/>
      <c r="F177" s="2276"/>
      <c r="G177" s="2276"/>
      <c r="H177" s="2276"/>
      <c r="I177" s="2276"/>
      <c r="J177" s="2276"/>
      <c r="K177" s="2276"/>
      <c r="L177" s="2276"/>
      <c r="M177" s="2276"/>
      <c r="N177" s="2276"/>
      <c r="O177" s="2276"/>
      <c r="P177" s="2276"/>
      <c r="Q177" s="2276"/>
    </row>
    <row r="178" spans="1:17" s="749" customFormat="1">
      <c r="B178" s="2276"/>
      <c r="C178" s="2276"/>
      <c r="D178" s="2276"/>
      <c r="E178" s="2276"/>
      <c r="F178" s="2276"/>
      <c r="G178" s="2276"/>
      <c r="H178" s="2276"/>
      <c r="I178" s="2276"/>
      <c r="J178" s="2276"/>
      <c r="K178" s="2276"/>
      <c r="L178" s="2276"/>
      <c r="M178" s="2276"/>
      <c r="N178" s="2276"/>
      <c r="O178" s="2276"/>
      <c r="P178" s="2276"/>
      <c r="Q178" s="2276"/>
    </row>
    <row r="179" spans="1:17" s="749" customFormat="1">
      <c r="B179" s="2276"/>
      <c r="C179" s="2276"/>
      <c r="D179" s="2276"/>
      <c r="E179" s="2276"/>
      <c r="F179" s="2276"/>
      <c r="G179" s="2276"/>
      <c r="H179" s="2276"/>
      <c r="I179" s="2276"/>
      <c r="J179" s="2276"/>
      <c r="K179" s="2276"/>
      <c r="L179" s="2276"/>
      <c r="M179" s="2276"/>
      <c r="N179" s="2276"/>
      <c r="O179" s="2276"/>
      <c r="P179" s="2276"/>
      <c r="Q179" s="2276"/>
    </row>
    <row r="180" spans="1:17" s="749" customFormat="1">
      <c r="B180" s="2276"/>
      <c r="C180" s="2276"/>
      <c r="D180" s="2276"/>
      <c r="E180" s="2276"/>
      <c r="F180" s="2276"/>
      <c r="G180" s="2276"/>
      <c r="H180" s="2276"/>
      <c r="I180" s="2276"/>
      <c r="J180" s="2276"/>
      <c r="K180" s="2276"/>
      <c r="L180" s="2276"/>
      <c r="M180" s="2276"/>
      <c r="N180" s="2276"/>
      <c r="O180" s="2276"/>
      <c r="P180" s="2276"/>
      <c r="Q180" s="2276"/>
    </row>
    <row r="181" spans="1:17" s="749" customFormat="1">
      <c r="B181" s="2276"/>
      <c r="C181" s="2276"/>
      <c r="D181" s="2276"/>
      <c r="E181" s="2276"/>
      <c r="F181" s="2276"/>
      <c r="G181" s="2276"/>
      <c r="H181" s="2276"/>
      <c r="I181" s="2276"/>
      <c r="J181" s="2276"/>
      <c r="K181" s="2276"/>
      <c r="L181" s="2276"/>
      <c r="M181" s="2276"/>
      <c r="N181" s="2276"/>
      <c r="O181" s="2276"/>
      <c r="P181" s="2276"/>
      <c r="Q181" s="2276"/>
    </row>
    <row r="182" spans="1:17" s="749" customFormat="1">
      <c r="B182" s="2276"/>
      <c r="C182" s="2276"/>
      <c r="D182" s="2276"/>
      <c r="E182" s="2276"/>
      <c r="F182" s="2276"/>
      <c r="G182" s="2276"/>
      <c r="H182" s="2276"/>
      <c r="I182" s="2276"/>
      <c r="J182" s="2276"/>
      <c r="K182" s="2276"/>
      <c r="L182" s="2276"/>
      <c r="M182" s="2276"/>
      <c r="N182" s="2276"/>
      <c r="O182" s="2276"/>
      <c r="P182" s="2276"/>
      <c r="Q182" s="2276"/>
    </row>
    <row r="183" spans="1:17" s="749" customFormat="1">
      <c r="B183" s="2276"/>
      <c r="C183" s="2276"/>
      <c r="D183" s="2276"/>
      <c r="E183" s="2276"/>
      <c r="F183" s="2276"/>
      <c r="G183" s="2276"/>
      <c r="H183" s="2276"/>
      <c r="I183" s="2276"/>
      <c r="J183" s="2276"/>
      <c r="K183" s="2276"/>
      <c r="L183" s="2276"/>
      <c r="M183" s="2276"/>
      <c r="N183" s="2276"/>
      <c r="O183" s="2276"/>
      <c r="P183" s="2276"/>
      <c r="Q183" s="2276"/>
    </row>
    <row r="184" spans="1:17" s="749" customFormat="1">
      <c r="B184" s="2276"/>
      <c r="C184" s="2276"/>
      <c r="D184" s="2276"/>
      <c r="E184" s="2276"/>
      <c r="F184" s="2276"/>
      <c r="G184" s="2276"/>
      <c r="H184" s="2276"/>
      <c r="I184" s="2276"/>
      <c r="J184" s="2276"/>
      <c r="K184" s="2276"/>
      <c r="L184" s="2276"/>
      <c r="M184" s="2276"/>
      <c r="N184" s="2276"/>
      <c r="O184" s="2276"/>
      <c r="P184" s="2276"/>
      <c r="Q184" s="2276"/>
    </row>
    <row r="185" spans="1:17" s="749" customFormat="1">
      <c r="B185" s="2276"/>
      <c r="C185" s="2276"/>
      <c r="D185" s="2276"/>
      <c r="E185" s="2276"/>
      <c r="F185" s="2276"/>
      <c r="G185" s="2276"/>
      <c r="H185" s="2276"/>
      <c r="I185" s="2276"/>
      <c r="J185" s="2276"/>
      <c r="K185" s="2276"/>
      <c r="L185" s="2276"/>
      <c r="M185" s="2276"/>
      <c r="N185" s="2276"/>
      <c r="O185" s="2276"/>
      <c r="P185" s="2276"/>
      <c r="Q185" s="2276"/>
    </row>
    <row r="186" spans="1:17">
      <c r="A186" s="749"/>
      <c r="B186" s="2276"/>
      <c r="C186" s="2276"/>
      <c r="E186" s="2276"/>
      <c r="F186" s="2276"/>
      <c r="G186" s="2276"/>
    </row>
    <row r="187" spans="1:17">
      <c r="A187" s="749"/>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7" sqref="B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681.29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45968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969</v>
      </c>
      <c r="C5" s="2299">
        <f ca="1">IF(B5=D14,结果表!H102,ROUND(B5*10000/$B$1,0))</f>
        <v>14221</v>
      </c>
      <c r="D5" s="2299" t="e">
        <f ca="1">ROUND(B5*10000/$B$2,0)</f>
        <v>#DIV/0!</v>
      </c>
      <c r="E5" s="2460"/>
      <c r="F5" s="2461"/>
      <c r="G5" s="2461"/>
      <c r="H5" s="2461"/>
      <c r="I5" s="2461"/>
      <c r="J5" s="2461"/>
      <c r="K5" s="2461"/>
    </row>
    <row r="6" spans="1:11" ht="16.5">
      <c r="A6" s="2299" t="s">
        <v>656</v>
      </c>
      <c r="B6" s="2299">
        <f ca="1">SUM(G14:G23)</f>
        <v>969</v>
      </c>
      <c r="C6" s="2299">
        <f ca="1">IF(B6=G14,结果表!H108,ROUND(B6*10000/$B$1,0))</f>
        <v>14221</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3351</v>
      </c>
      <c r="D10" s="2299" t="s">
        <v>3352</v>
      </c>
      <c r="E10" s="3135"/>
      <c r="F10" s="3139" t="s">
        <v>3353</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681.29</v>
      </c>
      <c r="C14" s="2305"/>
      <c r="D14" s="2305">
        <f ca="1">结果表!G19</f>
        <v>969</v>
      </c>
      <c r="E14" s="2305">
        <f ca="1">结果表!G20</f>
        <v>14221</v>
      </c>
      <c r="F14" s="2305" t="e">
        <f ca="1">ROUND(D14*10000/C14,0)</f>
        <v>#DIV/0!</v>
      </c>
      <c r="G14" s="2305">
        <f ca="1">D14</f>
        <v>969</v>
      </c>
      <c r="H14" s="2305"/>
      <c r="I14" s="2305"/>
      <c r="J14" s="2461"/>
      <c r="K14" s="2461"/>
    </row>
    <row r="15" spans="1:11" ht="16.5">
      <c r="A15" s="2304" t="s">
        <v>649</v>
      </c>
      <c r="B15" s="2306"/>
      <c r="C15" s="2306"/>
      <c r="D15" s="2306"/>
      <c r="E15" s="2305">
        <f>典型户型修正!R25</f>
        <v>0</v>
      </c>
      <c r="F15" s="2305" t="e">
        <f t="shared" ref="F15:F23" si="0">ROUND(D15*10000/C15,0)</f>
        <v>#DIV/0!</v>
      </c>
      <c r="G15" s="2305"/>
      <c r="H15" s="1243"/>
      <c r="I15" s="2306"/>
      <c r="J15" s="2461"/>
      <c r="K15" s="2461"/>
    </row>
    <row r="16" spans="1:11" ht="16.5">
      <c r="A16" s="2304" t="s">
        <v>648</v>
      </c>
      <c r="B16" s="2306"/>
      <c r="C16" s="2306"/>
      <c r="D16" s="2306"/>
      <c r="E16" s="2305" t="e">
        <f t="shared" ref="E16:E23" si="1">ROUND(D16*10000/B16,0)</f>
        <v>#DIV/0!</v>
      </c>
      <c r="F16" s="2305" t="e">
        <f t="shared" si="0"/>
        <v>#DIV/0!</v>
      </c>
      <c r="G16" s="1243"/>
      <c r="H16" s="1243"/>
      <c r="I16" s="2306"/>
      <c r="J16" s="2461"/>
      <c r="K16" s="2461"/>
    </row>
    <row r="17" spans="1:11" ht="16.5">
      <c r="A17" s="2304" t="s">
        <v>647</v>
      </c>
      <c r="B17" s="2306"/>
      <c r="C17" s="2306"/>
      <c r="D17" s="2306"/>
      <c r="E17" s="2305" t="e">
        <f t="shared" si="1"/>
        <v>#DIV/0!</v>
      </c>
      <c r="F17" s="2305" t="e">
        <f t="shared" si="0"/>
        <v>#DIV/0!</v>
      </c>
      <c r="G17" s="1243"/>
      <c r="H17" s="1243"/>
      <c r="I17" s="2306"/>
      <c r="J17" s="2461"/>
      <c r="K17" s="2461"/>
    </row>
    <row r="18" spans="1:11" ht="16.5">
      <c r="A18" s="2304" t="s">
        <v>646</v>
      </c>
      <c r="B18" s="2306"/>
      <c r="C18" s="2306"/>
      <c r="D18" s="2306"/>
      <c r="E18" s="2305" t="e">
        <f t="shared" si="1"/>
        <v>#DIV/0!</v>
      </c>
      <c r="F18" s="2305" t="e">
        <f t="shared" si="0"/>
        <v>#DIV/0!</v>
      </c>
      <c r="G18" s="2306"/>
      <c r="H18" s="2306"/>
      <c r="I18" s="2306"/>
      <c r="J18" s="2461"/>
      <c r="K18" s="2461"/>
    </row>
    <row r="19" spans="1:11" ht="16.5">
      <c r="A19" s="2304" t="s">
        <v>645</v>
      </c>
      <c r="B19" s="2306"/>
      <c r="C19" s="2306"/>
      <c r="D19" s="2306"/>
      <c r="E19" s="2305" t="e">
        <f t="shared" si="1"/>
        <v>#DIV/0!</v>
      </c>
      <c r="F19" s="2305" t="e">
        <f t="shared" si="0"/>
        <v>#DIV/0!</v>
      </c>
      <c r="G19" s="2306"/>
      <c r="H19" s="2306"/>
      <c r="I19" s="2306"/>
      <c r="J19" s="2461"/>
      <c r="K19" s="2461"/>
    </row>
    <row r="20" spans="1:11" ht="16.5">
      <c r="A20" s="2304" t="s">
        <v>644</v>
      </c>
      <c r="B20" s="2306"/>
      <c r="C20" s="2306"/>
      <c r="D20" s="2306"/>
      <c r="E20" s="2305" t="e">
        <f t="shared" si="1"/>
        <v>#DIV/0!</v>
      </c>
      <c r="F20" s="2305" t="e">
        <f t="shared" si="0"/>
        <v>#DIV/0!</v>
      </c>
      <c r="G20" s="2306"/>
      <c r="H20" s="2306"/>
      <c r="I20" s="2306"/>
      <c r="J20" s="2461"/>
      <c r="K20" s="2461"/>
    </row>
    <row r="21" spans="1:11" ht="16.5">
      <c r="A21" s="2304" t="s">
        <v>643</v>
      </c>
      <c r="B21" s="2306"/>
      <c r="C21" s="2306"/>
      <c r="D21" s="2306"/>
      <c r="E21" s="2305" t="e">
        <f t="shared" si="1"/>
        <v>#DIV/0!</v>
      </c>
      <c r="F21" s="2305" t="e">
        <f t="shared" si="0"/>
        <v>#DIV/0!</v>
      </c>
      <c r="G21" s="2306"/>
      <c r="H21" s="2306"/>
      <c r="I21" s="2306"/>
      <c r="J21" s="2461"/>
      <c r="K21" s="2461"/>
    </row>
    <row r="22" spans="1:11" ht="16.5">
      <c r="A22" s="2304" t="s">
        <v>642</v>
      </c>
      <c r="B22" s="2306"/>
      <c r="C22" s="2306"/>
      <c r="D22" s="2306"/>
      <c r="E22" s="2305" t="e">
        <f t="shared" si="1"/>
        <v>#DIV/0!</v>
      </c>
      <c r="F22" s="2305" t="e">
        <f t="shared" si="0"/>
        <v>#DIV/0!</v>
      </c>
      <c r="G22" s="2306"/>
      <c r="H22" s="2306"/>
      <c r="I22" s="2306"/>
      <c r="J22" s="2461"/>
      <c r="K22" s="2461"/>
    </row>
    <row r="23" spans="1:11" ht="16.5">
      <c r="A23" s="2304" t="s">
        <v>641</v>
      </c>
      <c r="B23" s="2306"/>
      <c r="C23" s="2306"/>
      <c r="D23" s="2306"/>
      <c r="E23" s="1243" t="e">
        <f t="shared" si="1"/>
        <v>#DIV/0!</v>
      </c>
      <c r="F23" s="1243" t="e">
        <f t="shared" si="0"/>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04" t="str">
        <f>项目基本情况!S2</f>
        <v>北京市大兴区隆华大街55号院67号楼-1至2层01办公楼用房房地产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3493</v>
      </c>
      <c r="D4" s="1625" t="s">
        <v>3422</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287"/>
      <c r="D5" s="3307"/>
      <c r="E5" s="123" t="s">
        <v>1269</v>
      </c>
      <c r="F5" s="1626"/>
      <c r="G5" s="1626"/>
      <c r="H5" s="1626"/>
      <c r="I5" s="1280"/>
    </row>
    <row r="6" spans="1:12" ht="12.75">
      <c r="A6" s="3284"/>
      <c r="B6" s="3271"/>
      <c r="C6" s="3288"/>
      <c r="D6" s="3307"/>
      <c r="E6" s="123" t="s">
        <v>1270</v>
      </c>
      <c r="F6" s="1626"/>
      <c r="G6" s="1626"/>
      <c r="H6" s="1626"/>
      <c r="I6" s="1280"/>
    </row>
    <row r="7" spans="1:12" ht="12.75">
      <c r="A7" s="3284"/>
      <c r="B7" s="3271"/>
      <c r="C7" s="3289"/>
      <c r="D7" s="3307"/>
      <c r="E7" s="123" t="s">
        <v>1271</v>
      </c>
      <c r="F7" s="1626"/>
      <c r="G7" s="1626"/>
      <c r="H7" s="1626"/>
      <c r="I7" s="1280"/>
    </row>
    <row r="8" spans="1:12" ht="12.75">
      <c r="A8" s="3284" t="s">
        <v>1272</v>
      </c>
      <c r="B8" s="3271">
        <v>15</v>
      </c>
      <c r="C8" s="3287"/>
      <c r="D8" s="3307"/>
      <c r="E8" s="123" t="s">
        <v>1273</v>
      </c>
      <c r="F8" s="1626"/>
      <c r="G8" s="1626"/>
      <c r="H8" s="1626"/>
      <c r="I8" s="1280"/>
    </row>
    <row r="9" spans="1:12" ht="12.75">
      <c r="A9" s="3284"/>
      <c r="B9" s="3271"/>
      <c r="C9" s="3289"/>
      <c r="D9" s="3307"/>
      <c r="E9" s="123" t="s">
        <v>1274</v>
      </c>
      <c r="F9" s="1626"/>
      <c r="G9" s="1626"/>
      <c r="H9" s="1626"/>
      <c r="I9" s="1280"/>
    </row>
    <row r="10" spans="1:12" ht="12.75">
      <c r="A10" s="3284" t="s">
        <v>1275</v>
      </c>
      <c r="B10" s="3271">
        <v>15</v>
      </c>
      <c r="C10" s="3287"/>
      <c r="D10" s="3307"/>
      <c r="E10" s="123" t="s">
        <v>1276</v>
      </c>
      <c r="F10" s="1626"/>
      <c r="G10" s="1626"/>
      <c r="H10" s="1626"/>
      <c r="I10" s="1280"/>
    </row>
    <row r="11" spans="1:12" ht="12.75">
      <c r="A11" s="3284"/>
      <c r="B11" s="3271"/>
      <c r="C11" s="3289"/>
      <c r="D11" s="3307"/>
      <c r="E11" s="123" t="s">
        <v>1277</v>
      </c>
      <c r="F11" s="1626"/>
      <c r="G11" s="1626"/>
      <c r="H11" s="1626"/>
      <c r="I11" s="1280"/>
    </row>
    <row r="12" spans="1:12" ht="12.75">
      <c r="A12" s="3284" t="s">
        <v>1278</v>
      </c>
      <c r="B12" s="3271">
        <v>15</v>
      </c>
      <c r="C12" s="3287"/>
      <c r="D12" s="3307"/>
      <c r="E12" s="123" t="s">
        <v>1279</v>
      </c>
      <c r="F12" s="1626"/>
      <c r="G12" s="1626"/>
      <c r="H12" s="1626"/>
      <c r="I12" s="1280"/>
    </row>
    <row r="13" spans="1:12" ht="12.75">
      <c r="A13" s="3284"/>
      <c r="B13" s="3271"/>
      <c r="C13" s="3289"/>
      <c r="D13" s="3307"/>
      <c r="E13" s="123" t="s">
        <v>1280</v>
      </c>
      <c r="F13" s="1626"/>
      <c r="G13" s="1626"/>
      <c r="H13" s="1626"/>
      <c r="I13" s="1280"/>
    </row>
    <row r="14" spans="1:12" ht="12.75">
      <c r="A14" s="3284" t="s">
        <v>1281</v>
      </c>
      <c r="B14" s="3271">
        <v>30</v>
      </c>
      <c r="C14" s="3287">
        <v>7</v>
      </c>
      <c r="D14" s="3307">
        <v>3</v>
      </c>
      <c r="E14" s="123" t="s">
        <v>1282</v>
      </c>
      <c r="F14" s="1626"/>
      <c r="G14" s="1626"/>
      <c r="H14" s="1626"/>
      <c r="I14" s="1280"/>
    </row>
    <row r="15" spans="1:12" ht="12.75">
      <c r="A15" s="3284"/>
      <c r="B15" s="3271"/>
      <c r="C15" s="3288"/>
      <c r="D15" s="3307"/>
      <c r="E15" s="123" t="s">
        <v>1283</v>
      </c>
      <c r="F15" s="1626"/>
      <c r="G15" s="1626"/>
      <c r="H15" s="1626"/>
      <c r="I15" s="1280"/>
    </row>
    <row r="16" spans="1:12" ht="12.75">
      <c r="A16" s="3284"/>
      <c r="B16" s="3271"/>
      <c r="C16" s="3289"/>
      <c r="D16" s="3307"/>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4" t="s">
        <v>2128</v>
      </c>
      <c r="F18" s="3295"/>
      <c r="G18" s="3295"/>
      <c r="H18" s="3295"/>
      <c r="I18" s="3295"/>
      <c r="K18" s="294" t="s">
        <v>1289</v>
      </c>
      <c r="L18" s="294">
        <f>IF(C1="",'数据-汇总表'!E3,SUMIF(项目类型,C1,'数据-汇总表'!E17:E26)+SUMIF(项目类型,C1,'数据-汇总表'!I17:I26))</f>
        <v>681.29</v>
      </c>
      <c r="M18" s="294">
        <f>IF(C1="",'数据-汇总表'!E3,SUMIF(项目类型,C1,'数据-汇总表'!E17:E26))</f>
        <v>681.29</v>
      </c>
    </row>
    <row r="19" spans="1:36" ht="15">
      <c r="A19" s="1629" t="s">
        <v>1290</v>
      </c>
      <c r="B19" s="1630" t="s">
        <v>1291</v>
      </c>
      <c r="C19" s="126">
        <f ca="1">SUMIF(INDIRECT("'"&amp;C4&amp;"'"&amp;"!A:A"),结果表!B19,INDIRECT("'"&amp;C4&amp;"'"&amp;"!B:B"))</f>
        <v>1184.8314</v>
      </c>
      <c r="D19" s="127">
        <f ca="1">SUMIF(INDIRECT("'"&amp;D4&amp;"'"&amp;"!A:A"),结果表!B19,INDIRECT("'"&amp;D4&amp;"'"&amp;"!B:B"))</f>
        <v>464.81319999999999</v>
      </c>
      <c r="E19" s="1629" t="s">
        <v>1292</v>
      </c>
      <c r="F19" s="1630" t="s">
        <v>1291</v>
      </c>
      <c r="G19" s="128">
        <f ca="1">ROUND(C19*$C$18+D19*$D$18,0)</f>
        <v>969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17391</v>
      </c>
      <c r="D20" s="130">
        <f ca="1">SUMIF(INDIRECT("'"&amp;D4&amp;"'"&amp;"!A:A"),结果表!B20,INDIRECT("'"&amp;D4&amp;"'"&amp;"!B:B"))</f>
        <v>6823</v>
      </c>
      <c r="E20" s="1632"/>
      <c r="F20" s="43" t="s">
        <v>1295</v>
      </c>
      <c r="G20" s="131">
        <f ca="1">ROUND(C20*$C$18+D20*$D$18,0)</f>
        <v>14221</v>
      </c>
      <c r="H20" s="758" t="s">
        <v>1296</v>
      </c>
      <c r="I20" s="121"/>
      <c r="J20" s="682" t="s">
        <v>3524</v>
      </c>
    </row>
    <row r="21" spans="1:36" ht="15" customHeight="1" thickBot="1">
      <c r="A21" s="449"/>
      <c r="B21" s="93" t="s">
        <v>1297</v>
      </c>
      <c r="C21" s="676" t="e">
        <f ca="1">ROUND(C19*10000/L19,0)</f>
        <v>#DIV/0!</v>
      </c>
      <c r="D21" s="677" t="e">
        <f ca="1">ROUND(D19*10000/L19,0)</f>
        <v>#DIV/0!</v>
      </c>
      <c r="E21" s="449"/>
      <c r="F21" s="93" t="s">
        <v>1297</v>
      </c>
      <c r="G21" s="132" t="e">
        <f ca="1">ROUND(G19*10000/L19,0)</f>
        <v>#DIV/0!</v>
      </c>
      <c r="H21" s="1633" t="s">
        <v>1296</v>
      </c>
      <c r="I21" s="121"/>
    </row>
    <row r="22" spans="1:36" ht="15" thickBot="1">
      <c r="A22" s="1563" t="s">
        <v>1298</v>
      </c>
      <c r="B22" s="1634"/>
      <c r="C22" s="1635"/>
      <c r="D22" s="678">
        <f ca="1">IF(C19&lt;D19,D19/C19-1,C19/D19-1)</f>
        <v>1.5490485209972524</v>
      </c>
      <c r="E22" s="121"/>
      <c r="F22" s="121"/>
      <c r="G22" s="121"/>
      <c r="H22" s="121"/>
      <c r="I22" s="121"/>
    </row>
    <row r="23" spans="1:36" ht="13.5" thickBot="1">
      <c r="A23" s="644"/>
      <c r="B23" s="644"/>
      <c r="C23" s="644"/>
      <c r="D23" s="644"/>
      <c r="E23" s="121"/>
      <c r="F23" s="121"/>
      <c r="G23" s="121"/>
      <c r="H23" s="121"/>
      <c r="I23" s="121"/>
    </row>
    <row r="24" spans="1:36" ht="14.25">
      <c r="A24" s="3278" t="s">
        <v>1299</v>
      </c>
      <c r="B24" s="1630" t="s">
        <v>1291</v>
      </c>
      <c r="C24" s="128">
        <f>IF(B30=0,0,D30)</f>
        <v>0</v>
      </c>
      <c r="D24" s="1636"/>
      <c r="E24" s="121"/>
      <c r="F24" s="121"/>
      <c r="G24" s="121"/>
      <c r="H24" s="121"/>
      <c r="I24" s="121"/>
    </row>
    <row r="25" spans="1:36" ht="14.25">
      <c r="A25" s="327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14221</v>
      </c>
      <c r="D32" s="1640" t="s">
        <v>3466</v>
      </c>
      <c r="E32" s="121"/>
      <c r="F32" s="121"/>
      <c r="G32" s="121"/>
      <c r="H32" s="121"/>
      <c r="I32" s="121"/>
    </row>
    <row r="33" spans="1:15" ht="15">
      <c r="A33" s="738" t="s">
        <v>1306</v>
      </c>
      <c r="B33" s="123"/>
      <c r="C33" s="1641" t="s">
        <v>3465</v>
      </c>
      <c r="D33" s="1642" t="s">
        <v>3422</v>
      </c>
      <c r="E33" s="1643" t="s">
        <v>1307</v>
      </c>
      <c r="F33" s="1644" t="str">
        <f>IF(D32="楼面单价","取值（单价）","取值（总价）")</f>
        <v>取值（单价）</v>
      </c>
      <c r="G33" s="121"/>
      <c r="H33" s="121"/>
      <c r="I33" s="121"/>
    </row>
    <row r="34" spans="1:15" ht="15">
      <c r="A34" s="1645"/>
      <c r="B34" s="1646" t="s">
        <v>1308</v>
      </c>
      <c r="C34" s="140">
        <f ca="1">IF(C33="自定义",F34,C32-C35)</f>
        <v>6385</v>
      </c>
      <c r="D34" s="806">
        <f ca="1">IF(C33="自定义",ROUND(C34/C32,3),IF(C33="收益比率",SUMIF(INDIRECT("'"&amp;D33&amp;"'"&amp;"!b:b"),"土地收益比率",INDIRECT("'"&amp;D33&amp;"'"&amp;"!c:c")),SUMIF(INDIRECT("'"&amp;D33&amp;"'"&amp;"!b:b"),"土地成本比率",INDIRECT("'"&amp;D33&amp;"'"&amp;"!c:c"))))</f>
        <v>0.44899999999999995</v>
      </c>
      <c r="E34" s="1647" t="s">
        <v>1309</v>
      </c>
      <c r="F34" s="1242"/>
      <c r="G34" s="121"/>
      <c r="H34" s="121"/>
      <c r="I34" s="121"/>
    </row>
    <row r="35" spans="1:15" ht="15.75" thickBot="1">
      <c r="A35" s="1648"/>
      <c r="B35" s="1649" t="s">
        <v>1310</v>
      </c>
      <c r="C35" s="1089">
        <f ca="1">IF(C33="自定义",F35,ROUND(C32*D35,0))</f>
        <v>7836</v>
      </c>
      <c r="D35" s="1090">
        <f ca="1">IF(C33="自定义",ROUND(C35/C32,3),IF(C33="收益比率",SUMIF(INDIRECT("'"&amp;D33&amp;"'"&amp;"!b:b"),"建筑物收益比率",INDIRECT("'"&amp;D33&amp;"'"&amp;"!c:c")),SUMIF(INDIRECT("'"&amp;D33&amp;"'"&amp;"!b:b"),"建筑物成本比率",INDIRECT("'"&amp;D33&amp;"'"&amp;"!c:c"))))</f>
        <v>0.55100000000000005</v>
      </c>
      <c r="E35" s="1650" t="s">
        <v>1311</v>
      </c>
      <c r="F35" s="146"/>
      <c r="G35" s="121"/>
      <c r="H35" s="121"/>
      <c r="I35" s="121"/>
    </row>
    <row r="36" spans="1:15" ht="15.75" thickBot="1">
      <c r="A36" s="3298" t="s">
        <v>1312</v>
      </c>
      <c r="B36" s="1651" t="s">
        <v>1313</v>
      </c>
      <c r="C36" s="137"/>
      <c r="D36" s="1652"/>
      <c r="E36" s="1566"/>
      <c r="F36" s="1653"/>
      <c r="G36" s="121"/>
      <c r="H36" s="121"/>
      <c r="I36" s="121"/>
    </row>
    <row r="37" spans="1:15" ht="15.75" thickBot="1">
      <c r="A37" s="3299"/>
      <c r="B37" s="1554" t="s">
        <v>1314</v>
      </c>
      <c r="C37" s="139"/>
      <c r="D37" s="1070"/>
      <c r="E37" s="1070"/>
      <c r="F37" s="1653"/>
      <c r="G37" s="121"/>
      <c r="H37" s="121"/>
      <c r="I37" s="121"/>
    </row>
    <row r="38" spans="1:15" ht="15.75" thickBot="1">
      <c r="A38" s="3300"/>
      <c r="B38" s="1654" t="s">
        <v>1315</v>
      </c>
      <c r="C38" s="639"/>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7">
        <f ca="1">ROUND(H101*F45,0)</f>
        <v>969</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7"/>
      <c r="I46" s="151"/>
      <c r="J46" s="2309">
        <v>1</v>
      </c>
      <c r="K46" s="3334" t="s">
        <v>1331</v>
      </c>
      <c r="L46" s="3334"/>
      <c r="M46" s="3354"/>
      <c r="N46" s="3354"/>
      <c r="O46" s="3354"/>
    </row>
    <row r="47" spans="1:15" ht="12" customHeight="1">
      <c r="A47" s="152" t="s">
        <v>1332</v>
      </c>
      <c r="B47" s="153"/>
      <c r="C47" s="154"/>
      <c r="D47" s="1023" t="s">
        <v>1333</v>
      </c>
      <c r="E47" s="294" t="s">
        <v>1334</v>
      </c>
      <c r="F47" s="155" t="s">
        <v>1335</v>
      </c>
      <c r="G47" s="2332" t="s">
        <v>1336</v>
      </c>
      <c r="H47" s="2333"/>
      <c r="I47" s="151"/>
      <c r="J47" s="2309">
        <v>2</v>
      </c>
      <c r="K47" s="3334" t="s">
        <v>1337</v>
      </c>
      <c r="L47" s="3334"/>
      <c r="M47" s="3355">
        <f>'数据-取费表'!B2</f>
        <v>45968</v>
      </c>
      <c r="N47" s="3355"/>
      <c r="O47" s="3355"/>
    </row>
    <row r="48" spans="1:15" ht="25.5">
      <c r="A48" s="3303" t="s">
        <v>1338</v>
      </c>
      <c r="B48" s="3286"/>
      <c r="C48" s="3286"/>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34" t="s">
        <v>1340</v>
      </c>
      <c r="L48" s="3334"/>
      <c r="M48" s="3356">
        <f ca="1">H101</f>
        <v>969</v>
      </c>
      <c r="N48" s="3356"/>
      <c r="O48" s="3356"/>
    </row>
    <row r="49" spans="1:35" ht="25.5" customHeight="1">
      <c r="A49" s="2151" t="s">
        <v>1341</v>
      </c>
      <c r="B49" s="3270" t="s">
        <v>1342</v>
      </c>
      <c r="C49" s="3270"/>
      <c r="D49" s="1477">
        <v>0</v>
      </c>
      <c r="E49" s="316" t="s">
        <v>1343</v>
      </c>
      <c r="F49" s="2232" t="s">
        <v>28</v>
      </c>
      <c r="G49" s="3340"/>
      <c r="H49" s="2133" t="s">
        <v>2131</v>
      </c>
      <c r="I49" s="2134"/>
      <c r="J49" s="2309">
        <v>4</v>
      </c>
      <c r="K49" s="3334" t="str">
        <f>IF(项目基本情况!E8="房地产抵押价值","房地产抵押价值","抵押担保权已注销时的房地产抵押价值")</f>
        <v>房地产抵押价值</v>
      </c>
      <c r="L49" s="3334"/>
      <c r="M49" s="3356">
        <f ca="1">IF(项目基本情况!E8="房地产抵押价值",H107,H109)</f>
        <v>969</v>
      </c>
      <c r="N49" s="3356"/>
      <c r="O49" s="3356"/>
    </row>
    <row r="50" spans="1:35" ht="25.5" customHeight="1">
      <c r="A50" s="2337"/>
      <c r="B50" s="3270" t="s">
        <v>1344</v>
      </c>
      <c r="C50" s="3270"/>
      <c r="D50" s="2188"/>
      <c r="E50" s="323"/>
      <c r="F50" s="2232"/>
      <c r="G50" s="3341"/>
      <c r="H50" s="2135" t="s">
        <v>2132</v>
      </c>
      <c r="I50" s="2134"/>
      <c r="J50" s="3353" t="s">
        <v>1345</v>
      </c>
      <c r="K50" s="3353"/>
      <c r="L50" s="3353"/>
      <c r="M50" s="3353"/>
      <c r="N50" s="3353"/>
      <c r="O50" s="3353"/>
    </row>
    <row r="51" spans="1:35" ht="20.45" customHeight="1">
      <c r="A51" s="2338"/>
      <c r="B51" s="3270" t="s">
        <v>1346</v>
      </c>
      <c r="C51" s="3270"/>
      <c r="D51" s="1023"/>
      <c r="E51" s="319"/>
      <c r="F51" s="2232"/>
      <c r="G51" s="3342"/>
      <c r="H51" s="2135" t="s">
        <v>2133</v>
      </c>
      <c r="I51" s="2134"/>
      <c r="J51" s="2310" t="s">
        <v>1347</v>
      </c>
      <c r="K51" s="3334" t="s">
        <v>1348</v>
      </c>
      <c r="L51" s="3334"/>
      <c r="M51" s="2310" t="s">
        <v>1349</v>
      </c>
      <c r="N51" s="2310" t="s">
        <v>1350</v>
      </c>
      <c r="O51" s="2310" t="s">
        <v>1351</v>
      </c>
    </row>
    <row r="52" spans="1:35" ht="24" customHeight="1">
      <c r="A52" s="2152" t="s">
        <v>1352</v>
      </c>
      <c r="B52" s="3270" t="s">
        <v>1353</v>
      </c>
      <c r="C52" s="3270"/>
      <c r="D52" s="1023">
        <f ca="1">ROUND(D45*'数据-取费表'!B41/(1+'数据-取费表'!C42),0)</f>
        <v>51</v>
      </c>
      <c r="E52" s="1255" t="s">
        <v>1354</v>
      </c>
      <c r="F52" s="2339">
        <f>'数据-取费表'!B41</f>
        <v>5.5000000000000007E-2</v>
      </c>
      <c r="G52" s="2340"/>
      <c r="H52" s="2330"/>
      <c r="I52" s="1668"/>
      <c r="J52" s="2309">
        <v>1</v>
      </c>
      <c r="K52" s="3335" t="s">
        <v>1355</v>
      </c>
      <c r="L52" s="3335"/>
      <c r="M52" s="2311" t="b">
        <f>D48</f>
        <v>0</v>
      </c>
      <c r="N52" s="2309" t="str">
        <f>E48</f>
        <v>销售额×税（费）率</v>
      </c>
      <c r="O52" s="2312">
        <f>F48</f>
        <v>5.5000000000000007E-2</v>
      </c>
    </row>
    <row r="53" spans="1:35" ht="12" customHeight="1">
      <c r="A53" s="2152" t="s">
        <v>1356</v>
      </c>
      <c r="B53" s="3296" t="s">
        <v>2288</v>
      </c>
      <c r="C53" s="3297"/>
      <c r="D53" s="1023">
        <f ca="1">ROUND(D45*'数据-取费表'!B41/(1+'数据-取费表'!C42),0)</f>
        <v>51</v>
      </c>
      <c r="E53" s="1255" t="s">
        <v>1354</v>
      </c>
      <c r="F53" s="2339">
        <f>'数据-取费表'!B41</f>
        <v>5.5000000000000007E-2</v>
      </c>
      <c r="G53" s="2340"/>
      <c r="H53" s="2330"/>
      <c r="I53" s="1668"/>
      <c r="J53" s="2309">
        <v>2</v>
      </c>
      <c r="K53" s="3335" t="s">
        <v>1357</v>
      </c>
      <c r="L53" s="3335"/>
      <c r="M53" s="2311">
        <f t="shared" ref="M53:O54" ca="1" si="0">D55</f>
        <v>0</v>
      </c>
      <c r="N53" s="2309" t="str">
        <f t="shared" si="0"/>
        <v>销售额×税（费）率</v>
      </c>
      <c r="O53" s="2312" t="str">
        <f t="shared" si="0"/>
        <v>免征</v>
      </c>
    </row>
    <row r="54" spans="1:35" ht="12" customHeight="1">
      <c r="A54" s="2152" t="s">
        <v>1358</v>
      </c>
      <c r="B54" s="3296" t="s">
        <v>2289</v>
      </c>
      <c r="C54" s="3297"/>
      <c r="D54" s="1023">
        <f ca="1">C68</f>
        <v>51</v>
      </c>
      <c r="E54" s="319" t="s">
        <v>1359</v>
      </c>
      <c r="F54" s="2339">
        <f>'数据-取费表'!B41</f>
        <v>5.5000000000000007E-2</v>
      </c>
      <c r="G54" s="2340"/>
      <c r="H54" s="2341"/>
      <c r="I54" s="1668"/>
      <c r="J54" s="2309">
        <v>3</v>
      </c>
      <c r="K54" s="3335" t="s">
        <v>1360</v>
      </c>
      <c r="L54" s="3335"/>
      <c r="M54" s="2311">
        <f t="shared" ca="1" si="0"/>
        <v>549</v>
      </c>
      <c r="N54" s="2309" t="str">
        <f t="shared" si="0"/>
        <v>增值额×税（费）率</v>
      </c>
      <c r="O54" s="2313" t="str">
        <f t="shared" si="0"/>
        <v>免征</v>
      </c>
    </row>
    <row r="55" spans="1:35" ht="24" customHeight="1">
      <c r="A55" s="3285" t="s">
        <v>1361</v>
      </c>
      <c r="B55" s="3286"/>
      <c r="C55" s="3286"/>
      <c r="D55" s="12">
        <f ca="1">IF(H55="个人住宅",0,ROUND(D45*I55,0))</f>
        <v>0</v>
      </c>
      <c r="E55" s="1255" t="s">
        <v>1362</v>
      </c>
      <c r="F55" s="2339" t="str">
        <f>IF(H55="正常",I55,"免征")</f>
        <v>免征</v>
      </c>
      <c r="G55" s="2340"/>
      <c r="H55" s="2336"/>
      <c r="I55" s="157">
        <f>'数据-取费表'!B49</f>
        <v>5.0000000000000001E-4</v>
      </c>
      <c r="J55" s="2309">
        <f>IF(H59="非个人房产","",4)</f>
        <v>4</v>
      </c>
      <c r="K55" s="3335" t="str">
        <f>IF(H59="非个人房产","——","个人所得税")</f>
        <v>个人所得税</v>
      </c>
      <c r="L55" s="3335"/>
      <c r="M55" s="2314">
        <f ca="1">D59</f>
        <v>9</v>
      </c>
      <c r="N55" s="1882" t="str">
        <f>E59</f>
        <v>差额计税</v>
      </c>
      <c r="O55" s="2315">
        <f>F59</f>
        <v>0.01</v>
      </c>
    </row>
    <row r="56" spans="1:35" ht="24.75">
      <c r="A56" s="3285" t="s">
        <v>1363</v>
      </c>
      <c r="B56" s="3286"/>
      <c r="C56" s="3286"/>
      <c r="D56" s="12">
        <f ca="1">IF(H56="个人住宅",D57,D58)</f>
        <v>549</v>
      </c>
      <c r="E56" s="1255" t="s">
        <v>1364</v>
      </c>
      <c r="F56" s="2339" t="str">
        <f>IF(H56="正常",F58,"免征")</f>
        <v>免征</v>
      </c>
      <c r="G56" s="2342" t="s">
        <v>1365</v>
      </c>
      <c r="H56" s="2343"/>
      <c r="I56" s="1669"/>
      <c r="J56" s="2309" t="str">
        <f>IF(项目基本情况!K6="上海银行",IF(J55="",4,J55+1),"")</f>
        <v/>
      </c>
      <c r="K56" s="3358" t="str">
        <f>IF(项目基本情况!K6="上海银行","其他处置费用","")</f>
        <v/>
      </c>
      <c r="L56" s="3359"/>
      <c r="M56" s="2311" t="str">
        <f>IF(项目基本情况!K6="上海银行",M69,"")</f>
        <v/>
      </c>
      <c r="N56" s="3358" t="str">
        <f>IF(项目基本情况!K6="上海银行","包含处置中涉及的律师、诉讼、拍卖、评估等费用","")</f>
        <v/>
      </c>
      <c r="O56" s="3361"/>
    </row>
    <row r="57" spans="1:35" ht="12.75">
      <c r="A57" s="2152" t="s">
        <v>1341</v>
      </c>
      <c r="B57" s="3296" t="s">
        <v>1366</v>
      </c>
      <c r="C57" s="3297"/>
      <c r="D57" s="1477">
        <v>0</v>
      </c>
      <c r="E57" s="316" t="s">
        <v>1343</v>
      </c>
      <c r="F57" s="294"/>
      <c r="G57" s="2340"/>
      <c r="H57" s="2344"/>
      <c r="I57" s="1669"/>
      <c r="J57" s="3335">
        <f>IF(AND(J55="",J56=""),4,IF(项目基本情况!K6="上海银行",结果表!J56+1,结果表!J55+1))</f>
        <v>5</v>
      </c>
      <c r="K57" s="3335" t="s">
        <v>1367</v>
      </c>
      <c r="L57" s="2316" t="s">
        <v>1368</v>
      </c>
      <c r="M57" s="2317"/>
      <c r="N57" s="2318">
        <f ca="1">SUMIF(M52:M56,"&lt;9e307")</f>
        <v>558</v>
      </c>
      <c r="O57" s="2319"/>
      <c r="P57" s="2463">
        <f ca="1">N57/M49</f>
        <v>0.57585139318885448</v>
      </c>
    </row>
    <row r="58" spans="1:35" ht="24.75">
      <c r="A58" s="2152" t="s">
        <v>1352</v>
      </c>
      <c r="B58" s="3296" t="s">
        <v>1369</v>
      </c>
      <c r="C58" s="3270"/>
      <c r="D58" s="12">
        <f ca="1">IF(H58="转让取得",C81,C97)</f>
        <v>549</v>
      </c>
      <c r="E58" s="1255" t="s">
        <v>1364</v>
      </c>
      <c r="F58" s="294" t="s">
        <v>28</v>
      </c>
      <c r="G58" s="2340"/>
      <c r="H58" s="2343"/>
      <c r="I58" s="1669"/>
      <c r="J58" s="3335"/>
      <c r="K58" s="3335"/>
      <c r="L58" s="2316" t="s">
        <v>1370</v>
      </c>
      <c r="M58" s="2320"/>
      <c r="N58" s="2321" t="str">
        <f ca="1">NUMBERSTRING(INT(N57*10000),2)&amp;"元整"</f>
        <v>伍佰伍拾捌万元整</v>
      </c>
      <c r="O58" s="2322"/>
    </row>
    <row r="59" spans="1:35" ht="24.75" thickBot="1">
      <c r="A59" s="3338" t="s">
        <v>1371</v>
      </c>
      <c r="B59" s="3339"/>
      <c r="C59" s="3339"/>
      <c r="D59" s="2345">
        <f ca="1">IF(H59="非个人房产","——",IF(H59="个人住宅（满五唯一有凭证）",0,IF(H59="个人其他（无凭证）",ROUND(D45/(1+'数据-取费表'!C42)*F59,0),ROUND(C67*F59,0))))</f>
        <v>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2134</v>
      </c>
      <c r="J59" s="3336">
        <f>J57+1</f>
        <v>6</v>
      </c>
      <c r="K59" s="3335" t="s">
        <v>1372</v>
      </c>
      <c r="L59" s="2309" t="s">
        <v>1368</v>
      </c>
      <c r="M59" s="2323"/>
      <c r="N59" s="2324">
        <f ca="1">M49-N57</f>
        <v>411</v>
      </c>
      <c r="O59" s="2325"/>
    </row>
    <row r="60" spans="1:35" ht="12" customHeight="1">
      <c r="A60" s="1670"/>
      <c r="B60" s="644"/>
      <c r="C60" s="644"/>
      <c r="D60" s="644"/>
      <c r="E60" s="1465"/>
      <c r="F60" s="1669"/>
      <c r="G60" s="1669"/>
      <c r="H60" s="151"/>
      <c r="I60" s="121"/>
      <c r="J60" s="3337"/>
      <c r="K60" s="3335"/>
      <c r="L60" s="2316" t="s">
        <v>1370</v>
      </c>
      <c r="M60" s="2320"/>
      <c r="N60" s="2321" t="str">
        <f ca="1">NUMBERSTRING(INT(N59*10000),2)&amp;"元整"</f>
        <v>肆佰壹拾壹万元整</v>
      </c>
      <c r="O60" s="2322"/>
    </row>
    <row r="61" spans="1:35" ht="13.5" thickBot="1">
      <c r="A61" s="3283" t="s">
        <v>1373</v>
      </c>
      <c r="B61" s="3283"/>
      <c r="C61" s="3283"/>
      <c r="D61" s="3283"/>
      <c r="E61" s="3283"/>
      <c r="F61" s="1669"/>
      <c r="G61" s="1669"/>
      <c r="H61" s="151"/>
      <c r="I61" s="121"/>
      <c r="J61" s="2309">
        <f>J59+1</f>
        <v>7</v>
      </c>
      <c r="K61" s="3335" t="s">
        <v>1374</v>
      </c>
      <c r="L61" s="3335"/>
      <c r="M61" s="2326"/>
      <c r="N61" s="2327">
        <f ca="1">ROUND(N59*10000/'数据-汇总表'!E3,0)</f>
        <v>6033</v>
      </c>
      <c r="O61" s="2328"/>
    </row>
    <row r="62" spans="1:35" ht="12.75">
      <c r="A62" s="3301" t="s">
        <v>1375</v>
      </c>
      <c r="B62" s="3302"/>
      <c r="C62" s="1864"/>
      <c r="D62" s="1864" t="s">
        <v>1376</v>
      </c>
      <c r="E62" s="158" t="s">
        <v>1377</v>
      </c>
      <c r="F62" s="1669"/>
      <c r="G62" s="1669"/>
      <c r="H62" s="151"/>
      <c r="I62" s="121"/>
    </row>
    <row r="63" spans="1:35" ht="12.75">
      <c r="A63" s="165" t="s">
        <v>330</v>
      </c>
      <c r="B63" s="159" t="s">
        <v>1378</v>
      </c>
      <c r="C63" s="2349">
        <f ca="1">ROUND((C64+C65)/(1+'数据-取费表'!C42),0)</f>
        <v>923</v>
      </c>
      <c r="D63" s="159"/>
      <c r="E63" s="160"/>
      <c r="F63" s="1669"/>
      <c r="G63" s="1669"/>
      <c r="H63" s="151"/>
      <c r="I63" s="121"/>
      <c r="J63" s="3360" t="s">
        <v>1379</v>
      </c>
      <c r="K63" s="1244" t="s">
        <v>1380</v>
      </c>
      <c r="L63" s="1244">
        <f ca="1">IF(M49&gt;10000,M49*0.5%,IF(AND(M49&gt;1000,M49&lt;=10000),M49*1%,IF(AND(M49&gt;100,M49&lt;=1000),M49*3%,IF(AND(M49&gt;10,M49&lt;=100),M49*5%,M49*8%))))</f>
        <v>29.07</v>
      </c>
      <c r="M63" s="294">
        <f ca="1">ROUND(L63,1)</f>
        <v>29.1</v>
      </c>
      <c r="N63" s="2329"/>
      <c r="Z63" s="1622"/>
      <c r="AI63" s="1560"/>
    </row>
    <row r="64" spans="1:35" ht="14.25" customHeight="1">
      <c r="A64" s="161" t="s">
        <v>325</v>
      </c>
      <c r="B64" s="162" t="s">
        <v>1381</v>
      </c>
      <c r="C64" s="2350">
        <f ca="1">D45</f>
        <v>969</v>
      </c>
      <c r="D64" s="162" t="s">
        <v>26</v>
      </c>
      <c r="E64" s="164"/>
      <c r="F64" s="1669"/>
      <c r="G64" s="1669"/>
      <c r="H64" s="151"/>
      <c r="I64" s="121"/>
      <c r="J64" s="3360"/>
      <c r="K64" s="1244" t="s">
        <v>1382</v>
      </c>
      <c r="L64" s="1244">
        <f ca="1">IF(M49&gt;2000,M49*0.5%,IF(AND(M49&gt;1000,M49&lt;=2000),M49*0.6%,IF(AND(M49&gt;500,M49&lt;=1000),M49*0.7%,IF(AND(M49&gt;200,M49&lt;=500),M49*0.8%,IF(AND(M49&gt;100,M49&lt;=200),M49*0.9%,IF(AND(M49&gt;50,M49&lt;=100),M49*1%,IF(AND(M49&gt;20,M49&lt;=50),M49*1.5%,IF(AND(M49&gt;10,M49&lt;=20),M49*2%,IF(AND(M49&gt;1,M49&lt;=10),M49*2.5%)))))))))</f>
        <v>6.7829999999999995</v>
      </c>
      <c r="M64" s="294">
        <f t="shared" ref="M64:M65" ca="1" si="1">ROUND(L64,1)</f>
        <v>6.8</v>
      </c>
      <c r="N64" s="2330" t="s">
        <v>1383</v>
      </c>
      <c r="Z64" s="1622"/>
      <c r="AI64" s="1560"/>
    </row>
    <row r="65" spans="1:35" ht="14.25" customHeight="1">
      <c r="A65" s="161" t="s">
        <v>326</v>
      </c>
      <c r="B65" s="162" t="s">
        <v>1384</v>
      </c>
      <c r="C65" s="2351"/>
      <c r="D65" s="162"/>
      <c r="E65" s="164"/>
      <c r="F65" s="1669"/>
      <c r="G65" s="1669"/>
      <c r="H65" s="151"/>
      <c r="I65" s="121"/>
      <c r="J65" s="3360"/>
      <c r="K65" s="1244" t="s">
        <v>1385</v>
      </c>
      <c r="L65" s="1244">
        <f ca="1">IF(M49&gt;1000,M49*0.1%,IF(AND(M49&gt;500,M49&lt;=1000),M49*0.5%,IF(AND(M49&gt;50,M49&lt;=500),M49*1%,IF(AND(M49&gt;1,M49&lt;=50),M49*1.5%))))</f>
        <v>4.8449999999999998</v>
      </c>
      <c r="M65" s="294">
        <f t="shared" ca="1" si="1"/>
        <v>4.8</v>
      </c>
      <c r="N65" s="2330" t="s">
        <v>1383</v>
      </c>
      <c r="Z65" s="1622"/>
      <c r="AI65" s="1560"/>
    </row>
    <row r="66" spans="1:35" ht="14.25" customHeight="1">
      <c r="A66" s="165" t="s">
        <v>327</v>
      </c>
      <c r="B66" s="166" t="s">
        <v>1386</v>
      </c>
      <c r="C66" s="2352"/>
      <c r="D66" s="166" t="s">
        <v>26</v>
      </c>
      <c r="E66" s="1250" t="s">
        <v>671</v>
      </c>
      <c r="F66" s="1669"/>
      <c r="G66" s="1669"/>
      <c r="H66" s="151"/>
      <c r="I66" s="121"/>
      <c r="J66" s="3360"/>
      <c r="K66" s="1244" t="s">
        <v>1387</v>
      </c>
      <c r="L66" s="1244">
        <f ca="1">M49*0.5%</f>
        <v>4.8449999999999998</v>
      </c>
      <c r="M66" s="294">
        <f ca="1">IF(L66&gt;0.5,0.5,ROUND(L66,0))</f>
        <v>0.5</v>
      </c>
      <c r="N66" s="2330" t="s">
        <v>1388</v>
      </c>
      <c r="Z66" s="1622"/>
      <c r="AI66" s="1560"/>
    </row>
    <row r="67" spans="1:35" ht="14.25" customHeight="1">
      <c r="A67" s="165" t="s">
        <v>328</v>
      </c>
      <c r="B67" s="166" t="s">
        <v>1389</v>
      </c>
      <c r="C67" s="2353">
        <f ca="1">C63-C66</f>
        <v>923</v>
      </c>
      <c r="D67" s="162" t="s">
        <v>26</v>
      </c>
      <c r="E67" s="164"/>
      <c r="F67" s="1669"/>
      <c r="G67" s="1669"/>
      <c r="H67" s="151"/>
      <c r="I67" s="121"/>
      <c r="J67" s="3360"/>
      <c r="K67" s="1244" t="s">
        <v>1390</v>
      </c>
      <c r="L67" s="1244">
        <f ca="1">IF(M49&gt;=10000,(8.25+(M49-10000)*0.01%),IF(AND(M49&gt;=8000,M49&lt;10000),(7.85+(M49-8000)*0.02%),IF(AND(M49&gt;=5000,M49&lt;8000),(6.65+(M49-5000)*0.04%),IF(AND(M49&gt;=2000,M49&lt;5000),(4.25+(PM49-2000)*0.08%),IF(AND(M49&gt;=1000,M49&lt;2000),(2.75+(M49-1000)*0.15%),IF(AND(M49&gt;=100,M49&lt;1000),(0.5+(M49-100)*0.25%),IF(AND(M49&gt;0,M49&lt;100),M49*0.5%)))))))</f>
        <v>2.6724999999999999</v>
      </c>
      <c r="M67" s="294">
        <f ca="1">ROUND(L67*0.9,1)</f>
        <v>2.4</v>
      </c>
      <c r="N67" s="2329"/>
      <c r="Z67" s="1622"/>
      <c r="AI67" s="1560"/>
    </row>
    <row r="68" spans="1:35" ht="14.25" customHeight="1" thickBot="1">
      <c r="A68" s="168" t="s">
        <v>329</v>
      </c>
      <c r="B68" s="169" t="s">
        <v>1391</v>
      </c>
      <c r="C68" s="2354">
        <f ca="1">IF(C67&lt;=0,0,ROUND(C67*D68,0))</f>
        <v>51</v>
      </c>
      <c r="D68" s="2355">
        <f>'数据-取费表'!B41</f>
        <v>5.5000000000000007E-2</v>
      </c>
      <c r="E68" s="170"/>
      <c r="F68" s="1669"/>
      <c r="G68" s="1669"/>
      <c r="H68" s="151"/>
      <c r="I68" s="121"/>
      <c r="J68" s="3360"/>
      <c r="K68" s="1244" t="s">
        <v>1392</v>
      </c>
      <c r="L68" s="1244">
        <f ca="1">IF(M49&gt;10000,M49*0.5%,IF(AND(M49&gt;5000,M49&lt;=10000),M49*1%,IF(AND(M49&gt;1000,M49&lt;=5000),M49*2%,IF(AND(M49&gt;200,M49&lt;=1000),M49*3%,M49*5%))))</f>
        <v>29.07</v>
      </c>
      <c r="M68" s="294">
        <f ca="1">ROUND(L68,1)</f>
        <v>29.1</v>
      </c>
      <c r="N68" s="2329"/>
      <c r="Z68" s="1622"/>
      <c r="AI68" s="1560"/>
    </row>
    <row r="69" spans="1:35" ht="16.5" customHeight="1">
      <c r="A69" s="1671"/>
      <c r="B69" s="1672"/>
      <c r="C69" s="1673"/>
      <c r="D69" s="1674"/>
      <c r="E69" s="1675"/>
      <c r="F69" s="1465"/>
      <c r="G69" s="1465"/>
      <c r="H69" s="1466"/>
      <c r="I69" s="644"/>
      <c r="J69" s="3360"/>
      <c r="K69" s="1244" t="s">
        <v>1393</v>
      </c>
      <c r="L69" s="1244"/>
      <c r="M69" s="294">
        <f ca="1">ROUND(SUM(M63:M68),0)</f>
        <v>73</v>
      </c>
      <c r="N69" s="2331">
        <f ca="1">M69/M49</f>
        <v>7.533539731682147E-2</v>
      </c>
      <c r="Z69" s="1622"/>
      <c r="AI69" s="1560"/>
    </row>
    <row r="70" spans="1:35" s="640" customFormat="1" ht="15" thickBot="1">
      <c r="A70" s="3322" t="s">
        <v>1394</v>
      </c>
      <c r="B70" s="3323"/>
      <c r="C70" s="3323"/>
      <c r="D70" s="3323"/>
      <c r="E70" s="3323"/>
      <c r="F70" s="3323"/>
      <c r="G70" s="3323"/>
      <c r="H70" s="332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01" t="s">
        <v>1375</v>
      </c>
      <c r="B71" s="330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5" t="s">
        <v>330</v>
      </c>
      <c r="B72" s="166" t="s">
        <v>1395</v>
      </c>
      <c r="C72" s="2353">
        <f ca="1">ROUND(D45/(1+'数据-取费表'!C42),0)</f>
        <v>923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5" t="s">
        <v>327</v>
      </c>
      <c r="B73" s="155" t="s">
        <v>1396</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1" t="s">
        <v>332</v>
      </c>
      <c r="B76" s="177" t="s">
        <v>1401</v>
      </c>
      <c r="C76" s="162">
        <f>IF(F75="购房发票",ROUND(C75*H75*D76,0),0)</f>
        <v>0</v>
      </c>
      <c r="D76" s="2359">
        <v>0.05</v>
      </c>
      <c r="E76" s="3296" t="s">
        <v>1402</v>
      </c>
      <c r="F76" s="3270"/>
      <c r="G76" s="3270"/>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1" t="s">
        <v>326</v>
      </c>
      <c r="B78" s="162" t="s">
        <v>1405</v>
      </c>
      <c r="C78" s="2361">
        <f ca="1">ROUND(D45*D78/(1+'数据-取费表'!C42),0)</f>
        <v>5</v>
      </c>
      <c r="D78" s="2362">
        <f>'数据-取费表'!B43</f>
        <v>5.000000000000001E-3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5" t="s">
        <v>334</v>
      </c>
      <c r="B79" s="166" t="s">
        <v>1407</v>
      </c>
      <c r="C79" s="2353">
        <f ca="1">C72-C73</f>
        <v>918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5" t="s">
        <v>335</v>
      </c>
      <c r="B80" s="166" t="s">
        <v>1408</v>
      </c>
      <c r="C80" s="2363">
        <f ca="1">IF(C79&lt;=0,0,C79/C73)</f>
        <v>183.6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8" t="s">
        <v>336</v>
      </c>
      <c r="B81" s="169" t="s">
        <v>1409</v>
      </c>
      <c r="C81" s="2364">
        <f ca="1">ROUND(IF(C79&lt;=0,0,IF(C80&gt;=200%,C79*60%-C73*35%,IF(C80&gt;=100%,C79*50%-C73*15%,IF(C80&gt;=50%,C79*40%-C73*5%,IF(C80&lt;50%,C79*30%,0))))),0)</f>
        <v>549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01" t="s">
        <v>1375</v>
      </c>
      <c r="B84" s="330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5" t="s">
        <v>330</v>
      </c>
      <c r="B85" s="166" t="s">
        <v>1395</v>
      </c>
      <c r="C85" s="2353">
        <f ca="1">ROUND(D45/(1+'数据-取费表'!C42),0)</f>
        <v>923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5" t="s">
        <v>327</v>
      </c>
      <c r="B86" s="155" t="s">
        <v>1396</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1" t="s">
        <v>331</v>
      </c>
      <c r="B88" s="162" t="s">
        <v>1412</v>
      </c>
      <c r="C88" s="2367"/>
      <c r="D88" s="2362"/>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1" t="s">
        <v>326</v>
      </c>
      <c r="B90" s="162" t="s">
        <v>1416</v>
      </c>
      <c r="C90" s="2367"/>
      <c r="D90" s="2362"/>
      <c r="E90" s="185" t="str">
        <f>IF(H88="-","土地取得成本中已包含该笔费用"," ")</f>
        <v xml:space="preserve"> </v>
      </c>
      <c r="F90" s="2147"/>
      <c r="G90" s="3362" t="s">
        <v>2126</v>
      </c>
      <c r="H90" s="3363"/>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1" t="s">
        <v>1417</v>
      </c>
      <c r="B91" s="162" t="s">
        <v>1418</v>
      </c>
      <c r="C91" s="2361">
        <f>IF(H91="——",成本法!C33,I91)</f>
        <v>0</v>
      </c>
      <c r="D91" s="2362"/>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1" t="s">
        <v>1420</v>
      </c>
      <c r="B92" s="162" t="s">
        <v>1421</v>
      </c>
      <c r="C92" s="2361">
        <f>ROUND((C87+C90+C91)*D92,0)</f>
        <v>0</v>
      </c>
      <c r="D92" s="2368"/>
      <c r="E92" s="3280" t="s">
        <v>1422</v>
      </c>
      <c r="F92" s="3281"/>
      <c r="G92" s="3281"/>
      <c r="H92" s="3290"/>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1" t="s">
        <v>1423</v>
      </c>
      <c r="B93" s="162" t="s">
        <v>1405</v>
      </c>
      <c r="C93" s="2361">
        <f ca="1">ROUND(D45*D93/(1+'数据-取费表'!C42),0)</f>
        <v>5</v>
      </c>
      <c r="D93" s="2362">
        <f>'数据-取费表'!B43</f>
        <v>5.000000000000001E-3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1" t="s">
        <v>1424</v>
      </c>
      <c r="B94" s="162" t="s">
        <v>1425</v>
      </c>
      <c r="C94" s="2367">
        <f>ROUND((C87+C90+C91)*D94,0)</f>
        <v>0</v>
      </c>
      <c r="D94" s="2362">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5" t="s">
        <v>334</v>
      </c>
      <c r="B95" s="166" t="s">
        <v>1407</v>
      </c>
      <c r="C95" s="2353">
        <f ca="1">ROUND(C85-C86,0)</f>
        <v>918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5" t="s">
        <v>335</v>
      </c>
      <c r="B96" s="166" t="s">
        <v>1408</v>
      </c>
      <c r="C96" s="2363">
        <f ca="1">IF(C95&lt;=0,0,C95/C86)</f>
        <v>183.6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8" t="s">
        <v>336</v>
      </c>
      <c r="B97" s="169" t="s">
        <v>1409</v>
      </c>
      <c r="C97" s="2364">
        <f ca="1">ROUND(IF(C95&lt;=0,0,IF(C96&gt;=200%,C95*60%-C86*35%,IF(C96&gt;=100%,C95*50%-C86*15%,IF(C96&gt;=50%,C95*40%-C86*5%,IF(C96&lt;50%,C95*30%,0))))),0)</f>
        <v>549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1"/>
    </row>
    <row r="99" spans="1:35" ht="21.75" customHeight="1" thickBot="1">
      <c r="A99" s="1463" t="s">
        <v>1427</v>
      </c>
      <c r="B99" s="644"/>
      <c r="C99" s="644"/>
      <c r="D99" s="644"/>
      <c r="E99" s="1465"/>
      <c r="F99" s="1465"/>
      <c r="G99" s="1465"/>
      <c r="H99" s="1466"/>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0" t="str">
        <f>C4</f>
        <v>比较法-办公</v>
      </c>
      <c r="D101" s="2371" t="str">
        <f>D4</f>
        <v>收益法 (元)</v>
      </c>
      <c r="E101" s="3357" t="s">
        <v>1431</v>
      </c>
      <c r="F101" s="3314"/>
      <c r="G101" s="1686" t="s">
        <v>1432</v>
      </c>
      <c r="H101" s="2380">
        <f ca="1">H118</f>
        <v>969</v>
      </c>
      <c r="I101" s="121"/>
    </row>
    <row r="102" spans="1:35" ht="18.75" customHeight="1">
      <c r="A102" s="3316" t="s">
        <v>1433</v>
      </c>
      <c r="B102" s="2369" t="s">
        <v>1432</v>
      </c>
      <c r="C102" s="2370">
        <f ca="1">IF(D32="楼面单价",ROUND(C19,0),C19)</f>
        <v>1185</v>
      </c>
      <c r="D102" s="2371">
        <f ca="1">IF(D32="楼面单价",ROUND(D19,0),D19)</f>
        <v>465</v>
      </c>
      <c r="E102" s="3357"/>
      <c r="F102" s="3314"/>
      <c r="G102" s="1686" t="s">
        <v>1434</v>
      </c>
      <c r="H102" s="2340">
        <f ca="1">I118</f>
        <v>14221</v>
      </c>
      <c r="I102" s="121"/>
    </row>
    <row r="103" spans="1:35" ht="42.75" customHeight="1">
      <c r="A103" s="3316"/>
      <c r="B103" s="2369" t="s">
        <v>1434</v>
      </c>
      <c r="C103" s="2372">
        <f ca="1">C20</f>
        <v>17391</v>
      </c>
      <c r="D103" s="2373">
        <f ca="1">D20</f>
        <v>6823</v>
      </c>
      <c r="E103" s="3351" t="s">
        <v>1435</v>
      </c>
      <c r="F103" s="3352"/>
      <c r="G103" s="1687" t="s">
        <v>1436</v>
      </c>
      <c r="H103" s="2380">
        <f>IF(D36="正常操作",H104+H105+H106,H105+H106)</f>
        <v>0</v>
      </c>
      <c r="I103" s="121"/>
    </row>
    <row r="104" spans="1:35" ht="18.75" customHeight="1">
      <c r="A104" s="3316" t="s">
        <v>1437</v>
      </c>
      <c r="B104" s="2374" t="s">
        <v>1432</v>
      </c>
      <c r="C104" s="2375">
        <f ca="1">H118</f>
        <v>969</v>
      </c>
      <c r="D104" s="2376"/>
      <c r="E104" s="1554" t="s">
        <v>1438</v>
      </c>
      <c r="F104" s="1547"/>
      <c r="G104" s="1687" t="s">
        <v>1436</v>
      </c>
      <c r="H104" s="2381">
        <f>IF(D36="同一抵押权人同一抵押物续贷",C36&amp;"（续贷，未扣减，详见特别提示）",C36)</f>
        <v>0</v>
      </c>
      <c r="I104" s="121"/>
    </row>
    <row r="105" spans="1:35" ht="18.75" customHeight="1" thickBot="1">
      <c r="A105" s="3317"/>
      <c r="B105" s="2377" t="s">
        <v>1434</v>
      </c>
      <c r="C105" s="2378">
        <f ca="1">I118</f>
        <v>14221</v>
      </c>
      <c r="D105" s="2379"/>
      <c r="E105" s="1554" t="s">
        <v>1439</v>
      </c>
      <c r="F105" s="1547"/>
      <c r="G105" s="1687" t="s">
        <v>1436</v>
      </c>
      <c r="H105" s="2382">
        <f>C37</f>
        <v>0</v>
      </c>
      <c r="I105" s="121"/>
    </row>
    <row r="106" spans="1:35" ht="18.75" customHeight="1">
      <c r="A106" s="644" t="s">
        <v>1440</v>
      </c>
      <c r="B106" s="644"/>
      <c r="C106" s="644"/>
      <c r="D106" s="644"/>
      <c r="E106" s="1688" t="s">
        <v>1441</v>
      </c>
      <c r="F106" s="1547"/>
      <c r="G106" s="1687" t="s">
        <v>1436</v>
      </c>
      <c r="H106" s="2382">
        <f>C38</f>
        <v>0</v>
      </c>
      <c r="I106" s="121"/>
    </row>
    <row r="107" spans="1:35" ht="18.75" customHeight="1">
      <c r="A107" s="121"/>
      <c r="B107" s="121"/>
      <c r="C107" s="121"/>
      <c r="D107" s="121"/>
      <c r="E107" s="3313" t="str">
        <f>IF(项目基本情况!E8="已注销","——","3.房地产抵押价值")</f>
        <v>3.房地产抵押价值</v>
      </c>
      <c r="F107" s="3314"/>
      <c r="G107" s="1686" t="s">
        <v>1432</v>
      </c>
      <c r="H107" s="2380">
        <f ca="1">IF(E107="——","——",H101-H103)</f>
        <v>969</v>
      </c>
      <c r="I107" s="121"/>
    </row>
    <row r="108" spans="1:35" ht="18.75" customHeight="1">
      <c r="A108" s="121"/>
      <c r="B108" s="121"/>
      <c r="C108" s="121"/>
      <c r="D108" s="121"/>
      <c r="E108" s="3313"/>
      <c r="F108" s="3314"/>
      <c r="G108" s="1686" t="s">
        <v>1434</v>
      </c>
      <c r="H108" s="2340">
        <f ca="1">IF(H107=H101,H102,ROUND(H107*10000/'数据-汇总表'!E3,0))</f>
        <v>14221</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6" t="s">
        <v>1432</v>
      </c>
      <c r="H109" s="2383" t="str">
        <f>IF(E109="——","——",H101-H105-H106)</f>
        <v>——</v>
      </c>
      <c r="I109" s="121"/>
    </row>
    <row r="110" spans="1:35" ht="18.75" customHeight="1">
      <c r="A110" s="121"/>
      <c r="B110" s="121"/>
      <c r="C110" s="121"/>
      <c r="D110" s="121"/>
      <c r="E110" s="3313"/>
      <c r="F110" s="3314"/>
      <c r="G110" s="1686" t="s">
        <v>1434</v>
      </c>
      <c r="H110" s="2340"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6" t="s">
        <v>1432</v>
      </c>
      <c r="H111" s="2380" t="str">
        <f>IF(E111="——","——",N59)</f>
        <v>——</v>
      </c>
      <c r="I111" s="121"/>
    </row>
    <row r="112" spans="1:35" ht="18.75" customHeight="1" thickBot="1">
      <c r="A112" s="121"/>
      <c r="B112" s="121"/>
      <c r="C112" s="121"/>
      <c r="D112" s="121"/>
      <c r="E112" s="3346"/>
      <c r="F112" s="3347"/>
      <c r="G112" s="1689"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4"/>
      <c r="B114" s="644"/>
      <c r="C114" s="644"/>
      <c r="D114" s="644"/>
      <c r="E114" s="1670"/>
      <c r="F114" s="1670"/>
      <c r="G114" s="1670"/>
      <c r="H114" s="1670"/>
      <c r="I114" s="644"/>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9" t="s">
        <v>1449</v>
      </c>
      <c r="E117" s="2149" t="s">
        <v>1450</v>
      </c>
      <c r="F117" s="2149" t="s">
        <v>1449</v>
      </c>
      <c r="G117" s="2149" t="s">
        <v>1451</v>
      </c>
      <c r="H117" s="2149" t="s">
        <v>1449</v>
      </c>
      <c r="I117" s="2149" t="s">
        <v>1451</v>
      </c>
    </row>
    <row r="118" spans="1:27" ht="24.75" customHeight="1">
      <c r="A118" s="2385" t="str">
        <f>项目基本情况!S2</f>
        <v>北京市大兴区隆华大街55号院67号楼-1至2层01办公楼用房房地产</v>
      </c>
      <c r="B118" s="2149">
        <f>M18</f>
        <v>681.29</v>
      </c>
      <c r="C118" s="2149">
        <f>M19</f>
        <v>0</v>
      </c>
      <c r="D118" s="2149">
        <f ca="1">ROUND(IF(D32="总价",C34,E118*B118/10000),0)</f>
        <v>435</v>
      </c>
      <c r="E118" s="2149">
        <f ca="1">ROUND(IF(C33="自定义",IF(D32="楼面单价",C34,D118*10000/B118),I118-G118),0)</f>
        <v>6385</v>
      </c>
      <c r="F118" s="2149">
        <f ca="1">ROUND(IF(D32="总价",C35,G118*B118/10000),0)</f>
        <v>534</v>
      </c>
      <c r="G118" s="2149">
        <f ca="1">ROUND(IF(D32="楼面单价",C35,F118*10000/B118),0)</f>
        <v>7836</v>
      </c>
      <c r="H118" s="2149">
        <f ca="1">ROUND(IF(D32="总价",C32,I118*B118/10000),0)</f>
        <v>969</v>
      </c>
      <c r="I118" s="2149">
        <f ca="1">ROUND(IF(D32="楼面单价",C32,H118*10000/B118),0)</f>
        <v>14221</v>
      </c>
    </row>
    <row r="119" spans="1:27" ht="18.75" customHeight="1">
      <c r="A119" s="3284" t="s">
        <v>1452</v>
      </c>
      <c r="B119" s="3284"/>
      <c r="C119" s="3284"/>
      <c r="D119" s="3324" t="str">
        <f ca="1">NUMBERSTRING(INT(D118*10000),2)&amp;"元整"</f>
        <v>肆佰叁拾伍万元整</v>
      </c>
      <c r="E119" s="3326"/>
      <c r="F119" s="3324" t="str">
        <f ca="1">NUMBERSTRING(INT(F118*10000),2)&amp;"元整"</f>
        <v>伍佰叁拾肆万元整</v>
      </c>
      <c r="G119" s="3326"/>
      <c r="H119" s="3324" t="str">
        <f ca="1">NUMBERSTRING(INT(H118*10000),2)&amp;"元整"</f>
        <v>玖佰陆拾玖万元整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4" t="s">
        <v>1452</v>
      </c>
      <c r="B121" s="3325"/>
      <c r="C121" s="3326"/>
      <c r="D121" s="3324" t="str">
        <f>IF(D120=0,"零元整",NUMBERSTRING(INT(D120*10000),2)&amp;"元整")</f>
        <v>零元整</v>
      </c>
      <c r="E121" s="3325"/>
      <c r="F121" s="3325"/>
      <c r="G121" s="3325"/>
      <c r="H121" s="3325"/>
      <c r="I121" s="3326"/>
      <c r="AA121" s="682"/>
    </row>
    <row r="122" spans="1:27" ht="18.75" customHeight="1">
      <c r="A122" s="3315" t="str">
        <f>IF(项目基本情况!B9="房地产市场价值","",MID(E107,3,LEN(E107)-2))</f>
        <v>房地产抵押价值</v>
      </c>
      <c r="B122" s="3315"/>
      <c r="C122" s="3315"/>
      <c r="D122" s="3348">
        <f ca="1">H107</f>
        <v>969</v>
      </c>
      <c r="E122" s="3349"/>
      <c r="F122" s="3349"/>
      <c r="G122" s="3349"/>
      <c r="H122" s="3349"/>
      <c r="I122" s="3350"/>
      <c r="AA122" s="682"/>
    </row>
    <row r="123" spans="1:27" ht="18.75" customHeight="1">
      <c r="A123" s="3284" t="s">
        <v>1452</v>
      </c>
      <c r="B123" s="3284"/>
      <c r="C123" s="3284"/>
      <c r="D123" s="3324" t="str">
        <f ca="1">NUMBERSTRING(INT(D122*10000),2)&amp;"元整"</f>
        <v>玖佰陆拾玖万元整</v>
      </c>
      <c r="E123" s="3325"/>
      <c r="F123" s="3325"/>
      <c r="G123" s="3325"/>
      <c r="H123" s="3325"/>
      <c r="I123" s="3326"/>
      <c r="AA123" s="682"/>
    </row>
    <row r="124" spans="1:27" ht="18.75" customHeight="1">
      <c r="A124" s="3315" t="str">
        <f>IF(项目基本情况!B9="房地产市场价值","",MID(E109,3,LEN(E109)-2))</f>
        <v/>
      </c>
      <c r="B124" s="3315"/>
      <c r="C124" s="3315"/>
      <c r="D124" s="3348" t="str">
        <f>H109</f>
        <v>——</v>
      </c>
      <c r="E124" s="3349"/>
      <c r="F124" s="3349"/>
      <c r="G124" s="3349"/>
      <c r="H124" s="3349"/>
      <c r="I124" s="3350"/>
      <c r="AA124" s="682"/>
    </row>
    <row r="125" spans="1:27" ht="18.75" customHeight="1">
      <c r="A125" s="3284" t="s">
        <v>1452</v>
      </c>
      <c r="B125" s="3284"/>
      <c r="C125" s="3284"/>
      <c r="D125" s="3324" t="e">
        <f>NUMBERSTRING(INT(D124*10000),2)&amp;"元整"</f>
        <v>#VALUE!</v>
      </c>
      <c r="E125" s="3325"/>
      <c r="F125" s="3325"/>
      <c r="G125" s="3325"/>
      <c r="H125" s="3325"/>
      <c r="I125" s="3326"/>
      <c r="AA125" s="682"/>
    </row>
    <row r="126" spans="1:27" ht="18.75" customHeight="1">
      <c r="A126" s="3315" t="str">
        <f>IF(项目基本情况!B9="房地产市场价值","",MID(E111,3,LEN(E111)-2))</f>
        <v/>
      </c>
      <c r="B126" s="3315"/>
      <c r="C126" s="3315"/>
      <c r="D126" s="3348" t="str">
        <f>H111</f>
        <v>——</v>
      </c>
      <c r="E126" s="3349"/>
      <c r="F126" s="3349"/>
      <c r="G126" s="3349"/>
      <c r="H126" s="3349"/>
      <c r="I126" s="3350"/>
      <c r="AA126" s="682"/>
    </row>
    <row r="127" spans="1:27" ht="18.75" customHeight="1">
      <c r="A127" s="3284" t="s">
        <v>1452</v>
      </c>
      <c r="B127" s="3284"/>
      <c r="C127" s="3284"/>
      <c r="D127" s="3324" t="e">
        <f>NUMBERSTRING(INT(D126*10000),2)&amp;"元整"</f>
        <v>#VALUE!</v>
      </c>
      <c r="E127" s="3325"/>
      <c r="F127" s="3325"/>
      <c r="G127" s="3325"/>
      <c r="H127" s="3325"/>
      <c r="I127" s="3326"/>
      <c r="AA127" s="682"/>
    </row>
    <row r="128" spans="1:27" ht="21.75" customHeight="1">
      <c r="A128" s="3331" t="s">
        <v>1453</v>
      </c>
      <c r="B128" s="3331"/>
      <c r="C128" s="3331"/>
      <c r="D128" s="3331"/>
      <c r="E128" s="3331"/>
      <c r="F128" s="3331"/>
      <c r="G128" s="3331"/>
      <c r="H128" s="3331"/>
      <c r="I128" s="3331"/>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2"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287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13.6258</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13.6258</v>
      </c>
      <c r="D8" s="214"/>
      <c r="E8" s="212"/>
      <c r="F8" s="213"/>
      <c r="G8" s="1713"/>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4"/>
      <c r="H9" s="1069"/>
      <c r="I9" s="1715" t="s">
        <v>1479</v>
      </c>
    </row>
    <row r="10" spans="1:9" s="206" customFormat="1" ht="13.5" customHeight="1">
      <c r="A10" s="731" t="s">
        <v>356</v>
      </c>
      <c r="B10" s="216" t="s">
        <v>1480</v>
      </c>
      <c r="C10" s="217">
        <f ca="1">ROUND(D10*E10/10000,0)</f>
        <v>14</v>
      </c>
      <c r="D10" s="793">
        <f ca="1">IF(B1="",'数据-汇总表'!E6,IF(INDIRECT("'数据-取费表'!c"&amp;$G$1)="住宅",INDIRECT("'数据-取费表'!s"&amp;$G$1),INDIRECT("'数据-取费表'!k"&amp;$G$1)+INDIRECT("'数据-取费表'!s"&amp;$G$1)))</f>
        <v>681.29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14</v>
      </c>
      <c r="D19" s="204">
        <f ca="1">D9+D10</f>
        <v>681.29</v>
      </c>
      <c r="E19" s="203">
        <f>'数据-取费表'!B31</f>
        <v>200</v>
      </c>
      <c r="F19" s="223"/>
      <c r="G19" s="1713"/>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2" t="s">
        <v>1502</v>
      </c>
      <c r="B23" s="207" t="s">
        <v>1503</v>
      </c>
      <c r="C23" s="1041">
        <f ca="1">ROUND(IF('数据-取费表'!B22&lt;=1,C5*F22*'数据-取费表'!B23,C5*(POWER((1+F22),'数据-取费表'!B23)-1)),0)</f>
        <v>1</v>
      </c>
      <c r="D23" s="230"/>
      <c r="E23" s="230"/>
      <c r="F23" s="231"/>
      <c r="G23" s="232" t="s">
        <v>1504</v>
      </c>
    </row>
    <row r="24" spans="1:7" s="206" customFormat="1" ht="13.5" customHeight="1">
      <c r="A24" s="732"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2" t="s">
        <v>1508</v>
      </c>
      <c r="B25" s="207" t="s">
        <v>1509</v>
      </c>
      <c r="C25" s="1041">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4</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204</v>
      </c>
      <c r="D34" s="209"/>
      <c r="E34" s="212"/>
      <c r="F34" s="249">
        <f ca="1">IF('数据-取费表'!B24=0,1,IF(B1="",'数据-取费表'!N16,INDIRECT("'数据-取费表'!n"&amp;$G$1)))</f>
        <v>1</v>
      </c>
      <c r="G34" s="211" t="s">
        <v>1526</v>
      </c>
    </row>
    <row r="35" spans="1:7" ht="13.5" customHeight="1">
      <c r="A35" s="732" t="s">
        <v>351</v>
      </c>
      <c r="B35" s="207" t="s">
        <v>1527</v>
      </c>
      <c r="C35" s="212">
        <f ca="1">ROUND(C34*F35,0)</f>
        <v>10</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14</v>
      </c>
      <c r="D37" s="209">
        <f ca="1">D19</f>
        <v>681.29</v>
      </c>
      <c r="E37" s="241">
        <f>'数据-取费表'!B35</f>
        <v>200</v>
      </c>
      <c r="F37" s="251"/>
      <c r="G37" s="253" t="s">
        <v>1532</v>
      </c>
    </row>
    <row r="38" spans="1:7" ht="13.5" customHeight="1">
      <c r="A38" s="732"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7</v>
      </c>
      <c r="D42" s="230"/>
      <c r="E42" s="230"/>
      <c r="F42" s="231"/>
      <c r="G42" s="3364" t="s">
        <v>1544</v>
      </c>
    </row>
    <row r="43" spans="1:7" ht="13.5" customHeight="1">
      <c r="A43" s="732" t="s">
        <v>347</v>
      </c>
      <c r="B43" s="207" t="s">
        <v>1545</v>
      </c>
      <c r="C43" s="230">
        <f ca="1">ROUND(IF('数据-取费表'!B22&lt;=1,C39*F22*'数据-取费表'!B21/2,C39*(POWER((1+F22),'数据-取费表'!B21/2)-1)),0)</f>
        <v>0</v>
      </c>
      <c r="D43" s="230"/>
      <c r="E43" s="230"/>
      <c r="F43" s="231"/>
      <c r="G43" s="3365"/>
    </row>
    <row r="44" spans="1:7" ht="13.5" customHeight="1">
      <c r="A44" s="732"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36</v>
      </c>
      <c r="D45" s="227">
        <f ca="1">C47</f>
        <v>3.0000000000000001E-3</v>
      </c>
      <c r="E45" s="228" t="s">
        <v>1539</v>
      </c>
      <c r="F45" s="238">
        <f ca="1">F27</f>
        <v>0.15</v>
      </c>
      <c r="G45" s="239" t="s">
        <v>1548</v>
      </c>
    </row>
    <row r="46" spans="1:7" s="206" customFormat="1" ht="13.5" customHeight="1">
      <c r="A46" s="732" t="s">
        <v>346</v>
      </c>
      <c r="B46" s="240" t="s">
        <v>1549</v>
      </c>
      <c r="C46" s="241">
        <f ca="1">ROUND((C33+C39)*F27,0)</f>
        <v>36</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305</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250</v>
      </c>
      <c r="D51" s="224"/>
      <c r="E51" s="224"/>
      <c r="F51" s="256"/>
      <c r="G51" s="226" t="s">
        <v>1560</v>
      </c>
    </row>
    <row r="52" spans="1:7" s="200" customFormat="1" ht="16.5" thickBot="1">
      <c r="A52" s="257" t="s">
        <v>1561</v>
      </c>
      <c r="B52" s="258"/>
      <c r="C52" s="259">
        <f ca="1">C31+C51</f>
        <v>287</v>
      </c>
      <c r="D52" s="258"/>
      <c r="E52" s="258"/>
      <c r="F52" s="258"/>
      <c r="G52" s="260"/>
    </row>
    <row r="55" spans="1:7" ht="15">
      <c r="B55" s="262" t="s">
        <v>1562</v>
      </c>
      <c r="C55" s="263"/>
    </row>
    <row r="56" spans="1:7">
      <c r="B56" s="265" t="s">
        <v>802</v>
      </c>
      <c r="C56" s="267">
        <f ca="1">1-C57</f>
        <v>0.129</v>
      </c>
    </row>
    <row r="57" spans="1:7">
      <c r="B57" s="265" t="s">
        <v>803</v>
      </c>
      <c r="C57" s="266">
        <f ca="1">ROUND(C51/C52,3)</f>
        <v>0.871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2" t="str">
        <f>项目基本情况!B1</f>
        <v>北京市大兴区隆华大街55号院67号楼-1至2层01办公楼用房房地产抵押价值预评估</v>
      </c>
      <c r="C37" s="3182"/>
      <c r="D37" s="3182"/>
      <c r="E37" s="3182"/>
      <c r="F37" s="3182"/>
      <c r="G37" s="3182"/>
      <c r="H37" s="3182"/>
      <c r="I37" s="3182"/>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A19" sqref="A19:XFD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603.80439999999999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8863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2611039.4299999997</v>
      </c>
      <c r="D5" s="203" t="s">
        <v>1469</v>
      </c>
      <c r="E5" s="204" t="s">
        <v>1470</v>
      </c>
      <c r="F5" s="204" t="s">
        <v>1471</v>
      </c>
      <c r="G5" s="205"/>
    </row>
    <row r="6" spans="1:8" s="206" customFormat="1" ht="13.5" customHeight="1">
      <c r="A6" s="730" t="s">
        <v>1472</v>
      </c>
      <c r="B6" s="207" t="s">
        <v>1473</v>
      </c>
      <c r="C6" s="208">
        <f>基准地价修正!C33*基准地价修正!D33+基准地价修正!C40*基准地价修正!D40</f>
        <v>2401534.4299999997</v>
      </c>
      <c r="D6" s="209"/>
      <c r="E6" s="210"/>
      <c r="F6" s="210"/>
      <c r="G6" s="211"/>
    </row>
    <row r="7" spans="1:8" s="206" customFormat="1" ht="13.5" customHeight="1">
      <c r="A7" s="730" t="s">
        <v>1474</v>
      </c>
      <c r="B7" s="207" t="s">
        <v>1475</v>
      </c>
      <c r="C7" s="212">
        <f>ROUND(C6*F7,0)</f>
        <v>73247</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136258</v>
      </c>
      <c r="D8" s="214"/>
      <c r="E8" s="212"/>
      <c r="F8" s="213"/>
      <c r="G8" s="1713" t="s">
        <v>3522</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136258</v>
      </c>
      <c r="D10" s="793">
        <f ca="1">IF(B1="",'数据-汇总表'!E6,IF(INDIRECT("'数据-取费表'!c"&amp;$G$1)="住宅",INDIRECT("'数据-取费表'!s"&amp;$G$1),INDIRECT("'数据-取费表'!k"&amp;$G$1)+INDIRECT("'数据-取费表'!s"&amp;$G$1)))</f>
        <v>681.29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681.29</v>
      </c>
      <c r="E19" s="203">
        <f>'数据-取费表'!B31</f>
        <v>200</v>
      </c>
      <c r="F19" s="223"/>
      <c r="G19" s="1713" t="s">
        <v>3523</v>
      </c>
    </row>
    <row r="20" spans="1:7" s="206" customFormat="1" ht="13.5" customHeight="1">
      <c r="A20" s="247" t="s">
        <v>1574</v>
      </c>
      <c r="B20" s="202" t="s">
        <v>1575</v>
      </c>
      <c r="C20" s="224">
        <f ca="1">ROUND((C5+C19)*F20,0)</f>
        <v>78331</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168461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166009</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2452</v>
      </c>
      <c r="D25" s="230"/>
      <c r="E25" s="233"/>
      <c r="F25" s="231"/>
      <c r="G25" s="234" t="s">
        <v>1588</v>
      </c>
    </row>
    <row r="26" spans="1:7" s="206" customFormat="1">
      <c r="A26" s="732"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403406</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ROUND((C5+C19+C20)*F27,0)</f>
        <v>403406</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3529478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2323199</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2043870</v>
      </c>
      <c r="D34" s="209"/>
      <c r="E34" s="212"/>
      <c r="F34" s="249"/>
      <c r="G34" s="211"/>
    </row>
    <row r="35" spans="1:7" ht="13.5" customHeight="1">
      <c r="A35" s="732" t="s">
        <v>351</v>
      </c>
      <c r="B35" s="207" t="s">
        <v>1527</v>
      </c>
      <c r="C35" s="212">
        <f ca="1">ROUND(C34*F35,0)</f>
        <v>102194</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136258</v>
      </c>
      <c r="D37" s="209">
        <f ca="1">D19</f>
        <v>681.29</v>
      </c>
      <c r="E37" s="241">
        <f>'数据-取费表'!B35</f>
        <v>200</v>
      </c>
      <c r="F37" s="251"/>
      <c r="G37" s="253"/>
    </row>
    <row r="38" spans="1:7" ht="13.5" customHeight="1">
      <c r="A38" s="732" t="s">
        <v>354</v>
      </c>
      <c r="B38" s="207" t="s">
        <v>1533</v>
      </c>
      <c r="C38" s="212">
        <f ca="1">ROUND(C34*F38,0)</f>
        <v>40877</v>
      </c>
      <c r="D38" s="212"/>
      <c r="E38" s="212"/>
      <c r="F38" s="251">
        <f>'数据-取费表'!B36</f>
        <v>0.02</v>
      </c>
      <c r="G38" s="211" t="s">
        <v>1528</v>
      </c>
    </row>
    <row r="39" spans="1:7" s="206" customFormat="1" ht="13.5" customHeight="1">
      <c r="A39" s="247" t="s">
        <v>1534</v>
      </c>
      <c r="B39" s="202" t="s">
        <v>1535</v>
      </c>
      <c r="C39" s="224">
        <f ca="1">ROUND(C33*F20,0)</f>
        <v>69696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74897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72716</v>
      </c>
      <c r="D42" s="230"/>
      <c r="E42" s="230"/>
      <c r="F42" s="231"/>
      <c r="G42" s="3364" t="s">
        <v>1591</v>
      </c>
    </row>
    <row r="43" spans="1:7" ht="13.5" customHeight="1">
      <c r="A43" s="732" t="s">
        <v>347</v>
      </c>
      <c r="B43" s="207" t="s">
        <v>1545</v>
      </c>
      <c r="C43" s="230">
        <f ca="1">ROUND(IF('数据-取费表'!B22&lt;=1,C39*F22*'数据-取费表'!B20/2,C39*(POWER((1+F22),'数据-取费表'!B20/2)-1)),0)</f>
        <v>2181</v>
      </c>
      <c r="D43" s="230"/>
      <c r="E43" s="230"/>
      <c r="F43" s="231"/>
      <c r="G43" s="3365"/>
    </row>
    <row r="44" spans="1:7" ht="13.5" customHeight="1">
      <c r="A44" s="732"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358934</v>
      </c>
      <c r="D45" s="227">
        <f ca="1">C47</f>
        <v>3.0000000000000001E-3</v>
      </c>
      <c r="E45" s="228" t="s">
        <v>1539</v>
      </c>
      <c r="F45" s="238">
        <f ca="1">F27</f>
        <v>0.15</v>
      </c>
      <c r="G45" s="239" t="s">
        <v>1548</v>
      </c>
    </row>
    <row r="46" spans="1:7" s="206" customFormat="1" ht="13.5" customHeight="1">
      <c r="A46" s="732" t="s">
        <v>346</v>
      </c>
      <c r="B46" s="240" t="s">
        <v>1549</v>
      </c>
      <c r="C46" s="241">
        <f ca="1">ROUND((C33+C39)*F27,0)</f>
        <v>358934</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3059227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2508566</v>
      </c>
      <c r="D51" s="224"/>
      <c r="E51" s="224"/>
      <c r="F51" s="256"/>
      <c r="G51" s="226" t="s">
        <v>1560</v>
      </c>
    </row>
    <row r="52" spans="1:7" s="200" customFormat="1" ht="16.5" thickBot="1">
      <c r="A52" s="257" t="s">
        <v>1561</v>
      </c>
      <c r="B52" s="258"/>
      <c r="C52" s="259">
        <f ca="1">C31+C51</f>
        <v>6038044</v>
      </c>
      <c r="D52" s="258"/>
      <c r="E52" s="258"/>
      <c r="F52" s="258"/>
      <c r="G52" s="260"/>
    </row>
    <row r="55" spans="1:7" ht="15">
      <c r="B55" s="262" t="s">
        <v>1562</v>
      </c>
      <c r="C55" s="263"/>
    </row>
    <row r="56" spans="1:7">
      <c r="B56" s="265" t="s">
        <v>802</v>
      </c>
      <c r="C56" s="267">
        <f ca="1">1-C57</f>
        <v>0.58499999999999996</v>
      </c>
    </row>
    <row r="57" spans="1:7">
      <c r="B57" s="265" t="s">
        <v>803</v>
      </c>
      <c r="C57" s="266">
        <f ca="1">ROUND(C51/C52,3)</f>
        <v>0.41499999999999998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8"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681.29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681.29</v>
      </c>
      <c r="E17" s="21">
        <f>'数据-取费表'!B32</f>
        <v>0</v>
      </c>
      <c r="F17" s="756"/>
      <c r="G17" s="123"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0.37420000000000009</v>
      </c>
      <c r="D18" s="794"/>
      <c r="E18" s="21"/>
      <c r="F18" s="754"/>
      <c r="G18" s="1719"/>
      <c r="H18" s="1105"/>
      <c r="I18" s="1720"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7"/>
      <c r="I19" s="759"/>
      <c r="J19" s="759"/>
      <c r="K19" s="760"/>
    </row>
    <row r="20" spans="1:33" s="753" customFormat="1" ht="13.5" customHeight="1">
      <c r="A20" s="750" t="s">
        <v>361</v>
      </c>
      <c r="B20" s="751" t="s">
        <v>1627</v>
      </c>
      <c r="C20" s="21">
        <f ca="1">ROUND(D20*E20/10000,0)</f>
        <v>14</v>
      </c>
      <c r="D20" s="794">
        <f ca="1">IF(C1="",'数据-汇总表'!E6,IF(INDIRECT("'数据-取费表'!c"&amp;$K$1)="住宅",INDIRECT("'数据-取费表'!s"&amp;$K$1),INDIRECT("'数据-取费表'!k"&amp;$K$1)+INDIRECT("'数据-取费表'!s"&amp;$K$1)))</f>
        <v>681.29</v>
      </c>
      <c r="E20" s="21">
        <f>'数据-取费表'!B28</f>
        <v>200</v>
      </c>
      <c r="F20" s="754"/>
      <c r="G20" s="12"/>
      <c r="H20" s="759"/>
      <c r="I20" s="759"/>
      <c r="J20" s="759"/>
      <c r="K20" s="760"/>
    </row>
    <row r="21" spans="1:33" s="753" customFormat="1" ht="13.5" customHeight="1">
      <c r="A21" s="742" t="s">
        <v>357</v>
      </c>
      <c r="B21" s="763" t="s">
        <v>1628</v>
      </c>
      <c r="C21" s="764">
        <f ca="1">C16+C17+C18</f>
        <v>0.37420000000000009</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7"/>
      <c r="I27" s="757"/>
      <c r="J27" s="757"/>
      <c r="K27" s="758"/>
    </row>
    <row r="28" spans="1:33" s="281" customFormat="1" ht="13.5" customHeight="1">
      <c r="A28" s="742" t="s">
        <v>1641</v>
      </c>
      <c r="B28" s="1722" t="s">
        <v>1642</v>
      </c>
      <c r="C28" s="279">
        <f ca="1">C30</f>
        <v>0</v>
      </c>
      <c r="D28" s="272">
        <f ca="1">C29</f>
        <v>0</v>
      </c>
      <c r="E28" s="274" t="s">
        <v>12</v>
      </c>
      <c r="F28" s="280">
        <f ca="1">IF(C1="",'数据-取费表'!Q16,INDIRECT("'数据-取费表'!q"&amp;$K$1))</f>
        <v>0.15</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3"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c r="D1" s="1270" t="s">
        <v>43</v>
      </c>
      <c r="E1" s="1271" t="s">
        <v>678</v>
      </c>
      <c r="F1" s="998">
        <f ca="1">J53</f>
        <v>0</v>
      </c>
      <c r="G1" s="1285">
        <f>MATCH(C1,'数据-取费表'!A6:A16,0)+5</f>
        <v>7</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7"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9" t="s">
        <v>694</v>
      </c>
      <c r="C6" s="1010">
        <f ca="1">ROUND(F6*F8*F7*(1-F9)/10000,0)</f>
        <v>0</v>
      </c>
      <c r="D6" s="147" t="s">
        <v>2106</v>
      </c>
      <c r="E6" s="294" t="s">
        <v>696</v>
      </c>
      <c r="F6" s="295">
        <f ca="1">INDIRECT("'数据-取费表'!u"&amp;$G$1)</f>
        <v>0</v>
      </c>
      <c r="G6" s="1291"/>
      <c r="H6" s="1005" t="s">
        <v>398</v>
      </c>
      <c r="I6" s="3369" t="s">
        <v>694</v>
      </c>
      <c r="J6" s="293">
        <f ca="1">ROUND(M6*M8*M7*(1-M9)/10000,0)</f>
        <v>0</v>
      </c>
      <c r="K6" s="147" t="s">
        <v>2105</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0</v>
      </c>
      <c r="G7" s="1291"/>
      <c r="H7" s="296"/>
      <c r="I7" s="3370"/>
      <c r="J7" s="298"/>
      <c r="K7" s="299"/>
      <c r="L7" s="294" t="s">
        <v>697</v>
      </c>
      <c r="M7" s="295">
        <f ca="1">F7</f>
        <v>0</v>
      </c>
    </row>
    <row r="8" spans="1:37" ht="18" customHeight="1">
      <c r="A8" s="296"/>
      <c r="B8" s="3370"/>
      <c r="C8" s="298"/>
      <c r="D8" s="299"/>
      <c r="E8" s="294" t="s">
        <v>698</v>
      </c>
      <c r="F8" s="295">
        <f ca="1">INDIRECT("'数据-取费表'!ai"&amp;$G$1)</f>
        <v>0</v>
      </c>
      <c r="G8" s="1291"/>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3"/>
      <c r="D11" s="1275"/>
      <c r="E11" s="305" t="s">
        <v>702</v>
      </c>
      <c r="F11" s="306">
        <f ca="1">'数据-取费表'!B39</f>
        <v>1.4999999999999999E-2</v>
      </c>
      <c r="G11" s="1291"/>
      <c r="H11" s="1013"/>
      <c r="I11" s="1274" t="s">
        <v>679</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6" t="s">
        <v>397</v>
      </c>
      <c r="B14" s="294" t="s">
        <v>707</v>
      </c>
      <c r="C14" s="310">
        <f ca="1">INDIRECT("'数据-取费表'!m"&amp;$G$1)+INDIRECT("'数据-取费表'!t"&amp;$G$1)</f>
        <v>0</v>
      </c>
      <c r="D14" s="1256" t="s">
        <v>708</v>
      </c>
      <c r="E14" s="1254"/>
      <c r="F14" s="311"/>
      <c r="G14" s="1291"/>
      <c r="H14" s="926" t="s">
        <v>398</v>
      </c>
      <c r="I14" s="294" t="s">
        <v>709</v>
      </c>
      <c r="J14" s="21">
        <f ca="1">C29</f>
        <v>0</v>
      </c>
      <c r="K14" s="12"/>
      <c r="L14" s="757"/>
      <c r="M14" s="758"/>
    </row>
    <row r="15" spans="1:37" s="1303" customFormat="1" ht="18" customHeight="1" thickBot="1">
      <c r="A15" s="926"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6" t="s">
        <v>681</v>
      </c>
      <c r="B17" s="294" t="s">
        <v>716</v>
      </c>
      <c r="C17" s="21">
        <f ca="1">ROUND(F17*(F43+INDIRECT("'数据-取费表'!S"&amp;$G$1))/10000,0)</f>
        <v>0</v>
      </c>
      <c r="D17" s="294" t="s">
        <v>717</v>
      </c>
      <c r="E17" s="294" t="s">
        <v>718</v>
      </c>
      <c r="F17" s="23">
        <f>'数据-取费表'!B35</f>
        <v>200</v>
      </c>
      <c r="G17" s="1302"/>
      <c r="H17" s="926"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0</v>
      </c>
      <c r="D18" s="294" t="s">
        <v>711</v>
      </c>
      <c r="E18" s="294" t="s">
        <v>712</v>
      </c>
      <c r="F18" s="314">
        <f>'数据-取费表'!B36</f>
        <v>0.02</v>
      </c>
      <c r="G18" s="1302"/>
      <c r="H18" s="926"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0</v>
      </c>
      <c r="D19" s="123" t="s">
        <v>726</v>
      </c>
      <c r="E19" s="1268"/>
      <c r="F19" s="23"/>
      <c r="G19" s="1291"/>
      <c r="H19" s="926"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6" t="s">
        <v>402</v>
      </c>
      <c r="B20" s="294" t="s">
        <v>728</v>
      </c>
      <c r="C20" s="21">
        <f ca="1">ROUND(C19*F20,0)</f>
        <v>0</v>
      </c>
      <c r="D20" s="315" t="s">
        <v>729</v>
      </c>
      <c r="E20" s="294" t="s">
        <v>712</v>
      </c>
      <c r="F20" s="314">
        <f>'数据-取费表'!B37</f>
        <v>0.03</v>
      </c>
      <c r="G20" s="1302"/>
      <c r="H20" s="926"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ROUND(J14*M22,2)</f>
        <v>0</v>
      </c>
      <c r="K22" s="1255" t="s">
        <v>739</v>
      </c>
      <c r="L22" s="294" t="s">
        <v>712</v>
      </c>
      <c r="M22" s="320">
        <f ca="1">INDIRECT("'数据-取费表'!Ak"&amp;$G$1)</f>
        <v>0</v>
      </c>
    </row>
    <row r="23" spans="1:37" s="1303"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4" t="s">
        <v>750</v>
      </c>
      <c r="C25" s="21"/>
      <c r="D25" s="123" t="s">
        <v>751</v>
      </c>
      <c r="E25" s="1268"/>
      <c r="F25" s="23"/>
      <c r="G25" s="1291"/>
      <c r="H25" s="1015" t="s">
        <v>394</v>
      </c>
      <c r="I25" s="1030" t="s">
        <v>752</v>
      </c>
      <c r="J25" s="302">
        <f ca="1">J5-J16</f>
        <v>0</v>
      </c>
      <c r="K25" s="1031" t="s">
        <v>753</v>
      </c>
      <c r="L25" s="1032"/>
      <c r="M25" s="1033"/>
    </row>
    <row r="26" spans="1:37">
      <c r="A26" s="926"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6"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6"/>
      <c r="G48" s="679"/>
      <c r="H48" s="680"/>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19" t="s">
        <v>439</v>
      </c>
      <c r="B49" s="1278" t="s">
        <v>779</v>
      </c>
      <c r="C49" s="1050">
        <f ca="1">ROUND(F49*F51*F50*(1-F52)/10000,0)</f>
        <v>0</v>
      </c>
      <c r="D49" s="991" t="s">
        <v>2107</v>
      </c>
      <c r="E49" s="1279" t="s">
        <v>780</v>
      </c>
      <c r="F49" s="996"/>
      <c r="H49" s="680"/>
      <c r="I49" s="1327" t="s">
        <v>823</v>
      </c>
      <c r="J49" s="1331"/>
      <c r="K49" s="1329" t="s">
        <v>824</v>
      </c>
      <c r="L49" s="1332"/>
      <c r="O49" s="1333" t="s">
        <v>405</v>
      </c>
      <c r="P49" s="1325" t="s">
        <v>825</v>
      </c>
      <c r="Q49" s="1326">
        <f ca="1">C29</f>
        <v>0</v>
      </c>
      <c r="R49" s="1326" t="s">
        <v>818</v>
      </c>
    </row>
    <row r="50" spans="1:18" s="1291" customFormat="1" ht="13.5" thickBot="1">
      <c r="A50" s="920"/>
      <c r="B50" s="923"/>
      <c r="C50" s="1054"/>
      <c r="D50" s="897"/>
      <c r="E50" s="992" t="s">
        <v>697</v>
      </c>
      <c r="F50" s="993">
        <f ca="1">F7</f>
        <v>0</v>
      </c>
      <c r="H50" s="680"/>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1"/>
      <c r="B51" s="923"/>
      <c r="C51" s="924"/>
      <c r="D51" s="897"/>
      <c r="E51" s="925"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1"/>
      <c r="B52" s="923"/>
      <c r="C52" s="924"/>
      <c r="D52" s="897"/>
      <c r="E52" s="925"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13.5" thickBot="1">
      <c r="A54" s="1079"/>
      <c r="B54" s="1274" t="s">
        <v>679</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1">
        <v>2</v>
      </c>
      <c r="B56" s="902"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4"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2" t="s">
        <v>714</v>
      </c>
      <c r="C58" s="308">
        <f ca="1">ROUND(C59+C64+C65+C66,0)</f>
        <v>0</v>
      </c>
      <c r="D58" s="904" t="s">
        <v>715</v>
      </c>
      <c r="E58" s="905"/>
      <c r="F58" s="906"/>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IF(项目基本情况!B11="自然人","——",ROUND(F62*F63/10000,2))</f>
        <v>——</v>
      </c>
      <c r="D62" s="909" t="s">
        <v>786</v>
      </c>
      <c r="E62" s="894"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ROUND(C57*F64,2)</f>
        <v>0</v>
      </c>
      <c r="D64" s="908" t="s">
        <v>791</v>
      </c>
      <c r="E64" s="894"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ROUND(C56*F65,2)</f>
        <v>0</v>
      </c>
      <c r="D65" s="908" t="s">
        <v>743</v>
      </c>
      <c r="E65" s="894"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6" t="s">
        <v>793</v>
      </c>
      <c r="B66" s="894" t="s">
        <v>728</v>
      </c>
      <c r="C66" s="21">
        <f ca="1">ROUND(C48*F66,2)</f>
        <v>0</v>
      </c>
      <c r="D66" s="908" t="s">
        <v>794</v>
      </c>
      <c r="E66" s="894" t="s">
        <v>712</v>
      </c>
      <c r="F66" s="304">
        <f t="shared" ca="1" si="0"/>
        <v>0</v>
      </c>
      <c r="O66" s="1324" t="s">
        <v>404</v>
      </c>
      <c r="P66" s="1325" t="s">
        <v>846</v>
      </c>
      <c r="Q66" s="1326" t="e">
        <f ca="1">L60</f>
        <v>#DIV/0!</v>
      </c>
      <c r="R66" s="1326" t="s">
        <v>869</v>
      </c>
    </row>
    <row r="67" spans="1:18" s="1291" customFormat="1" ht="16.5" thickBot="1">
      <c r="A67" s="901" t="s">
        <v>394</v>
      </c>
      <c r="B67" s="911" t="s">
        <v>752</v>
      </c>
      <c r="C67" s="308">
        <f ca="1">C48-C58</f>
        <v>0</v>
      </c>
      <c r="D67" s="907" t="s">
        <v>753</v>
      </c>
      <c r="E67" s="912"/>
      <c r="F67" s="913"/>
      <c r="O67" s="1333" t="s">
        <v>405</v>
      </c>
      <c r="P67" s="1325" t="s">
        <v>850</v>
      </c>
      <c r="Q67" s="1369">
        <f ca="1">L51</f>
        <v>0</v>
      </c>
      <c r="R67" s="1326" t="s">
        <v>870</v>
      </c>
    </row>
    <row r="68" spans="1:18" s="1291" customFormat="1" ht="16.5" thickBot="1">
      <c r="A68" s="891" t="s">
        <v>395</v>
      </c>
      <c r="B68" s="892" t="s">
        <v>774</v>
      </c>
      <c r="C68" s="293" t="e">
        <f ca="1">ROUND(C67*(1-((1+F70)/(1+F68))^F69)/(F68-F70),0)</f>
        <v>#DIV/0!</v>
      </c>
      <c r="D68" s="909" t="s">
        <v>758</v>
      </c>
      <c r="E68" s="894" t="s">
        <v>759</v>
      </c>
      <c r="F68" s="304">
        <f ca="1">F40</f>
        <v>0</v>
      </c>
      <c r="O68" s="1333" t="s">
        <v>406</v>
      </c>
      <c r="P68" s="1370" t="s">
        <v>871</v>
      </c>
      <c r="Q68" s="1326">
        <f ca="1">ROUND(Q69-Q70*Q71,0)</f>
        <v>0</v>
      </c>
      <c r="R68" s="1326" t="s">
        <v>414</v>
      </c>
    </row>
    <row r="69" spans="1:18" s="1291" customFormat="1" ht="13.5" thickBot="1">
      <c r="A69" s="895"/>
      <c r="B69" s="896"/>
      <c r="C69" s="298"/>
      <c r="D69" s="914" t="s">
        <v>762</v>
      </c>
      <c r="E69" s="894" t="s">
        <v>763</v>
      </c>
      <c r="F69" s="324">
        <f ca="1">F41</f>
        <v>0</v>
      </c>
      <c r="O69" s="1333" t="s">
        <v>411</v>
      </c>
      <c r="P69" s="1370" t="s">
        <v>872</v>
      </c>
      <c r="Q69" s="1326">
        <f ca="1">C39</f>
        <v>0</v>
      </c>
      <c r="R69" s="1326" t="s">
        <v>818</v>
      </c>
    </row>
    <row r="70" spans="1:18" s="1291" customFormat="1" ht="13.5" thickBot="1">
      <c r="A70" s="898"/>
      <c r="B70" s="899"/>
      <c r="C70" s="302"/>
      <c r="D70" s="910"/>
      <c r="E70" s="894" t="s">
        <v>766</v>
      </c>
      <c r="F70" s="990"/>
      <c r="O70" s="1333" t="s">
        <v>412</v>
      </c>
      <c r="P70" s="1370" t="s">
        <v>873</v>
      </c>
      <c r="Q70" s="1326">
        <f ca="1">C13</f>
        <v>0</v>
      </c>
      <c r="R70" s="1326" t="s">
        <v>818</v>
      </c>
    </row>
    <row r="71" spans="1:18" s="1291" customFormat="1" ht="13.5" thickBot="1">
      <c r="A71" s="915" t="s">
        <v>396</v>
      </c>
      <c r="B71" s="916" t="s">
        <v>776</v>
      </c>
      <c r="C71" s="327" t="e">
        <f ca="1">ROUND(C68*10000/F71,0)</f>
        <v>#DIV/0!</v>
      </c>
      <c r="D71" s="917" t="s">
        <v>777</v>
      </c>
      <c r="E71" s="918" t="s">
        <v>778</v>
      </c>
      <c r="F71" s="330">
        <f ca="1">F43</f>
        <v>0</v>
      </c>
      <c r="O71" s="1333" t="s">
        <v>413</v>
      </c>
      <c r="P71" s="1370" t="s">
        <v>874</v>
      </c>
      <c r="Q71" s="1336">
        <f ca="1">C76</f>
        <v>0</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2083</v>
      </c>
      <c r="C1" s="3375" t="s">
        <v>2084</v>
      </c>
      <c r="D1" s="3376"/>
      <c r="E1" s="3376"/>
      <c r="F1" s="3376"/>
      <c r="G1" s="3376"/>
      <c r="H1" s="3376"/>
      <c r="I1" s="3376"/>
      <c r="J1" s="3376"/>
      <c r="K1" s="3376"/>
      <c r="L1" s="3376"/>
      <c r="M1" s="3376"/>
      <c r="N1" s="3376"/>
      <c r="O1" s="3376"/>
      <c r="P1" s="3376"/>
      <c r="Q1" s="3376"/>
      <c r="R1" s="3376"/>
      <c r="S1" s="3377"/>
      <c r="T1" s="927" t="s">
        <v>2085</v>
      </c>
    </row>
    <row r="2" spans="1:45" s="624" customFormat="1" ht="38.25">
      <c r="A2" s="928"/>
      <c r="B2" s="621" t="s">
        <v>2086</v>
      </c>
      <c r="C2" s="14" t="str">
        <f t="shared" ref="C2:L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100</v>
      </c>
      <c r="E3" s="626">
        <f>'比较法-商业'!E103</f>
        <v>200</v>
      </c>
      <c r="F3" s="626">
        <f>'比较法-商业'!F103</f>
        <v>300</v>
      </c>
      <c r="G3" s="1219"/>
      <c r="H3" s="1219"/>
      <c r="I3" s="1219"/>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1223"/>
      <c r="H4" s="1223"/>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25.5">
      <c r="A5" s="923"/>
      <c r="B5" s="1248" t="str">
        <f>'比较法-商业'!B26</f>
        <v>平面位置/可视性</v>
      </c>
      <c r="C5" s="938" t="str">
        <f>'比较法-商业'!C88</f>
        <v>好</v>
      </c>
      <c r="D5" s="938" t="str">
        <f>'比较法-商业'!D88</f>
        <v>较好</v>
      </c>
      <c r="E5" s="938" t="str">
        <f>'比较法-商业'!E88</f>
        <v>一般</v>
      </c>
      <c r="F5" s="938" t="str">
        <f>'比较法-商业'!F88</f>
        <v>较差</v>
      </c>
      <c r="G5" s="938" t="str">
        <f>'比较法-商业'!G88</f>
        <v>差</v>
      </c>
      <c r="H5" s="938"/>
      <c r="I5" s="1226"/>
      <c r="J5" s="1226"/>
      <c r="K5" s="1226"/>
      <c r="L5" s="1227"/>
      <c r="M5" s="1228"/>
      <c r="N5" s="1228"/>
      <c r="O5" s="1226"/>
      <c r="P5" s="1226"/>
      <c r="Q5" s="1226"/>
      <c r="R5" s="1226"/>
      <c r="S5" s="1229"/>
      <c r="T5" s="941">
        <v>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95</v>
      </c>
      <c r="E6" s="847">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1249" t="str">
        <f>'比较法-商业'!B25</f>
        <v>临街状况</v>
      </c>
      <c r="C7" s="849" t="str">
        <f>'比较法-商业'!C86</f>
        <v>单面临街</v>
      </c>
      <c r="D7" s="849" t="str">
        <f>'比较法-商业'!D86</f>
        <v>不临街</v>
      </c>
      <c r="E7" s="843"/>
      <c r="F7" s="1231"/>
      <c r="G7" s="1231"/>
      <c r="H7" s="1231"/>
      <c r="I7" s="1231"/>
      <c r="J7" s="1231"/>
      <c r="K7" s="1231"/>
      <c r="L7" s="1231"/>
      <c r="M7" s="1232"/>
      <c r="N7" s="1233"/>
      <c r="O7" s="1234"/>
      <c r="P7" s="1234"/>
      <c r="Q7" s="1235"/>
      <c r="R7" s="1236"/>
      <c r="S7" s="1237"/>
      <c r="T7" s="629">
        <f>'比较法-商业'!K25</f>
        <v>5</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95</v>
      </c>
      <c r="E8" s="847">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9" t="s">
        <v>2087</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8"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8"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8"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2091</v>
      </c>
      <c r="B17" s="1986" t="s">
        <v>2092</v>
      </c>
      <c r="C17" s="951" t="str">
        <f>'比较法-商业'!C92</f>
        <v>1层</v>
      </c>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0" t="s">
        <v>2094</v>
      </c>
      <c r="B20" s="286">
        <f ca="1">IF(D20="——",S22,S22-F20)</f>
        <v>0</v>
      </c>
      <c r="C20" s="151"/>
      <c r="D20" s="1988" t="s">
        <v>43</v>
      </c>
      <c r="E20" s="1253"/>
      <c r="F20" s="927" t="e">
        <f ca="1">SUMIF(INDIRECT("'"&amp;H20&amp;"'"&amp;"!A:A"),"承租人权益价值",INDIRECT("'"&amp;H20&amp;"'"&amp;"!c:c"))</f>
        <v>#REF!</v>
      </c>
      <c r="G20" s="927" t="s">
        <v>2095</v>
      </c>
      <c r="H20" s="1989"/>
      <c r="I20" s="151"/>
      <c r="J20" s="151"/>
      <c r="K20" s="151"/>
      <c r="L20" s="151"/>
      <c r="M20" s="151"/>
      <c r="N20" s="151"/>
      <c r="O20" s="151"/>
      <c r="P20" s="151"/>
      <c r="Q20" s="151"/>
      <c r="R20" s="151"/>
      <c r="S20" s="121"/>
    </row>
    <row r="21" spans="1:45" ht="15.75">
      <c r="A21" s="630" t="s">
        <v>2096</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372" t="s">
        <v>27</v>
      </c>
      <c r="D22" s="3373"/>
      <c r="E22" s="3373"/>
      <c r="F22" s="3373"/>
      <c r="G22" s="3373"/>
      <c r="H22" s="3373"/>
      <c r="I22" s="3373"/>
      <c r="J22" s="3373"/>
      <c r="K22" s="3373"/>
      <c r="L22" s="3373"/>
      <c r="M22" s="3373"/>
      <c r="N22" s="3373"/>
      <c r="O22" s="3373"/>
      <c r="P22" s="3373"/>
      <c r="Q22" s="3374"/>
      <c r="R22" s="2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8"/>
      <c r="B24" s="631"/>
      <c r="C24" s="2569">
        <v>1</v>
      </c>
      <c r="D24" s="2570" t="s">
        <v>3438</v>
      </c>
      <c r="E24" s="2569">
        <v>1</v>
      </c>
      <c r="F24" s="2570" t="s">
        <v>3434</v>
      </c>
      <c r="G24" s="2569">
        <v>1</v>
      </c>
      <c r="H24" s="2570"/>
      <c r="I24" s="2569">
        <v>1</v>
      </c>
      <c r="J24" s="2570"/>
      <c r="K24" s="2569">
        <v>1</v>
      </c>
      <c r="L24" s="2570"/>
      <c r="M24" s="2569">
        <v>1</v>
      </c>
      <c r="N24" s="2570"/>
      <c r="O24" s="2569">
        <v>1</v>
      </c>
      <c r="P24" s="2570" t="s">
        <v>3463</v>
      </c>
      <c r="Q24" s="2569">
        <v>1</v>
      </c>
      <c r="R24" s="631">
        <f ca="1">结果表!G20</f>
        <v>14221</v>
      </c>
      <c r="S24" s="632">
        <f t="shared" ref="S24:S54" ca="1"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79"/>
      <c r="B25" s="52"/>
      <c r="C25" s="21">
        <f>IF(B25="",1,(LOOKUP(B25,$3:$3,$4:$4)-LOOKUP($B$24,$3:$3,$4:$4)+100)/100)</f>
        <v>1</v>
      </c>
      <c r="D25" s="633" t="s">
        <v>3438</v>
      </c>
      <c r="E25" s="21">
        <f>(SUMIF($5:$5,D25,$6:$6)-SUMIF($5:$5,$D$24,$6:$6)+100)/100</f>
        <v>1</v>
      </c>
      <c r="F25" s="633" t="s">
        <v>3434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3463</v>
      </c>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0.05</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0.05</v>
      </c>
      <c r="F27" s="633"/>
      <c r="G27" s="21">
        <f t="shared" si="14"/>
        <v>0</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0.05</v>
      </c>
      <c r="F28" s="633"/>
      <c r="G28" s="21">
        <f t="shared" si="14"/>
        <v>0</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0.05</v>
      </c>
      <c r="F29" s="633"/>
      <c r="G29" s="21">
        <f t="shared" si="14"/>
        <v>0</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0.05</v>
      </c>
      <c r="F30" s="633"/>
      <c r="G30" s="21">
        <f t="shared" si="14"/>
        <v>0</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0.05</v>
      </c>
      <c r="F31" s="633"/>
      <c r="G31" s="21">
        <f t="shared" si="14"/>
        <v>0</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0.05</v>
      </c>
      <c r="F32" s="633"/>
      <c r="G32" s="21">
        <f t="shared" si="14"/>
        <v>0</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0.05</v>
      </c>
      <c r="F33" s="633"/>
      <c r="G33" s="21">
        <f t="shared" si="14"/>
        <v>0</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0.05</v>
      </c>
      <c r="F34" s="633"/>
      <c r="G34" s="21">
        <f t="shared" si="14"/>
        <v>0</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0.05</v>
      </c>
      <c r="F35" s="633"/>
      <c r="G35" s="21">
        <f t="shared" si="14"/>
        <v>0</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0.05</v>
      </c>
      <c r="F36" s="633"/>
      <c r="G36" s="21">
        <f t="shared" si="14"/>
        <v>0</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0.05</v>
      </c>
      <c r="F37" s="633"/>
      <c r="G37" s="21">
        <f t="shared" si="14"/>
        <v>0</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0.05</v>
      </c>
      <c r="F38" s="633"/>
      <c r="G38" s="21">
        <f t="shared" si="14"/>
        <v>0</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0.05</v>
      </c>
      <c r="F39" s="633"/>
      <c r="G39" s="21">
        <f t="shared" si="14"/>
        <v>0</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0.05</v>
      </c>
      <c r="F40" s="633"/>
      <c r="G40" s="21">
        <f t="shared" si="14"/>
        <v>0</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0.05</v>
      </c>
      <c r="F41" s="633"/>
      <c r="G41" s="21">
        <f t="shared" si="14"/>
        <v>0</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0.05</v>
      </c>
      <c r="F42" s="633"/>
      <c r="G42" s="21">
        <f t="shared" si="14"/>
        <v>0</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0.05</v>
      </c>
      <c r="F43" s="633"/>
      <c r="G43" s="21">
        <f t="shared" si="14"/>
        <v>0</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0.05</v>
      </c>
      <c r="F44" s="633"/>
      <c r="G44" s="21">
        <f t="shared" si="14"/>
        <v>0</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0.05</v>
      </c>
      <c r="F45" s="633"/>
      <c r="G45" s="21">
        <f t="shared" si="14"/>
        <v>0</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0.05</v>
      </c>
      <c r="F46" s="633"/>
      <c r="G46" s="21">
        <f t="shared" si="14"/>
        <v>0</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0.05</v>
      </c>
      <c r="F47" s="633"/>
      <c r="G47" s="21">
        <f t="shared" si="14"/>
        <v>0</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0.05</v>
      </c>
      <c r="F48" s="633"/>
      <c r="G48" s="21">
        <f t="shared" si="14"/>
        <v>0</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0.05</v>
      </c>
      <c r="F49" s="633"/>
      <c r="G49" s="21">
        <f t="shared" si="14"/>
        <v>0</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0.05</v>
      </c>
      <c r="F50" s="633"/>
      <c r="G50" s="21">
        <f t="shared" si="14"/>
        <v>0</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0.05</v>
      </c>
      <c r="F51" s="633"/>
      <c r="G51" s="21">
        <f t="shared" si="14"/>
        <v>0</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0.05</v>
      </c>
      <c r="F52" s="633"/>
      <c r="G52" s="21">
        <f t="shared" si="14"/>
        <v>0</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0.05</v>
      </c>
      <c r="F53" s="633"/>
      <c r="G53" s="21">
        <f t="shared" si="14"/>
        <v>0</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0.05</v>
      </c>
      <c r="F54" s="633"/>
      <c r="G54" s="21">
        <f t="shared" si="14"/>
        <v>0</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0.05</v>
      </c>
      <c r="F55" s="633"/>
      <c r="G55" s="21">
        <f t="shared" si="14"/>
        <v>0</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0.05</v>
      </c>
      <c r="F56" s="633"/>
      <c r="G56" s="21">
        <f t="shared" si="14"/>
        <v>0</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0.05</v>
      </c>
      <c r="F57" s="633"/>
      <c r="G57" s="21">
        <f t="shared" si="14"/>
        <v>0</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0.05</v>
      </c>
      <c r="F58" s="633"/>
      <c r="G58" s="21">
        <f t="shared" si="14"/>
        <v>0</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0.05</v>
      </c>
      <c r="F59" s="633"/>
      <c r="G59" s="21">
        <f t="shared" si="14"/>
        <v>0</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0.05</v>
      </c>
      <c r="F60" s="633"/>
      <c r="G60" s="21">
        <f t="shared" si="14"/>
        <v>0</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0.05</v>
      </c>
      <c r="F61" s="633"/>
      <c r="G61" s="21">
        <f t="shared" si="14"/>
        <v>0</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0.05</v>
      </c>
      <c r="F62" s="633"/>
      <c r="G62" s="21">
        <f t="shared" si="14"/>
        <v>0</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0.05</v>
      </c>
      <c r="F63" s="633"/>
      <c r="G63" s="21">
        <f t="shared" si="14"/>
        <v>0</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0.05</v>
      </c>
      <c r="F64" s="633"/>
      <c r="G64" s="21">
        <f t="shared" si="14"/>
        <v>0</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0.05</v>
      </c>
      <c r="F65" s="633"/>
      <c r="G65" s="21">
        <f t="shared" si="14"/>
        <v>0</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0.05</v>
      </c>
      <c r="F66" s="633"/>
      <c r="G66" s="21">
        <f t="shared" si="14"/>
        <v>0</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0.05</v>
      </c>
      <c r="F67" s="633"/>
      <c r="G67" s="21">
        <f t="shared" si="14"/>
        <v>0</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0.05</v>
      </c>
      <c r="F68" s="633"/>
      <c r="G68" s="21">
        <f t="shared" si="14"/>
        <v>0</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0.05</v>
      </c>
      <c r="F69" s="633"/>
      <c r="G69" s="21">
        <f t="shared" si="14"/>
        <v>0</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0.05</v>
      </c>
      <c r="F70" s="633"/>
      <c r="G70" s="21">
        <f t="shared" si="14"/>
        <v>0</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0.05</v>
      </c>
      <c r="F71" s="633"/>
      <c r="G71" s="21">
        <f t="shared" si="14"/>
        <v>0</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0.05</v>
      </c>
      <c r="F72" s="633"/>
      <c r="G72" s="21">
        <f t="shared" si="14"/>
        <v>0</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0.05</v>
      </c>
      <c r="F73" s="633"/>
      <c r="G73" s="21">
        <f t="shared" si="14"/>
        <v>0</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0.05</v>
      </c>
      <c r="F74" s="633"/>
      <c r="G74" s="21">
        <f t="shared" si="14"/>
        <v>0</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0.05</v>
      </c>
      <c r="F75" s="633"/>
      <c r="G75" s="21">
        <f t="shared" si="14"/>
        <v>0</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0.05</v>
      </c>
      <c r="F76" s="633"/>
      <c r="G76" s="21">
        <f t="shared" si="14"/>
        <v>0</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0.05</v>
      </c>
      <c r="F77" s="633"/>
      <c r="G77" s="21">
        <f t="shared" si="14"/>
        <v>0</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0.05</v>
      </c>
      <c r="F78" s="633"/>
      <c r="G78" s="21">
        <f t="shared" si="14"/>
        <v>0</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0.05</v>
      </c>
      <c r="F79" s="633"/>
      <c r="G79" s="21">
        <f t="shared" si="14"/>
        <v>0</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0.05</v>
      </c>
      <c r="F80" s="633"/>
      <c r="G80" s="21">
        <f t="shared" si="14"/>
        <v>0</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0.05</v>
      </c>
      <c r="F81" s="633"/>
      <c r="G81" s="21">
        <f t="shared" si="14"/>
        <v>0</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0.05</v>
      </c>
      <c r="F82" s="633"/>
      <c r="G82" s="21">
        <f t="shared" si="14"/>
        <v>0</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0.05</v>
      </c>
      <c r="F83" s="633"/>
      <c r="G83" s="21">
        <f t="shared" si="14"/>
        <v>0</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0.05</v>
      </c>
      <c r="F84" s="633"/>
      <c r="G84" s="21">
        <f t="shared" si="14"/>
        <v>0</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0.05</v>
      </c>
      <c r="F85" s="633"/>
      <c r="G85" s="21">
        <f t="shared" si="14"/>
        <v>0</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0.05</v>
      </c>
      <c r="F86" s="633"/>
      <c r="G86" s="21">
        <f t="shared" si="14"/>
        <v>0</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0.05</v>
      </c>
      <c r="F87" s="633"/>
      <c r="G87" s="21">
        <f t="shared" si="14"/>
        <v>0</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0.05</v>
      </c>
      <c r="F88" s="633"/>
      <c r="G88" s="21">
        <f t="shared" si="14"/>
        <v>0</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0.05</v>
      </c>
      <c r="F89" s="633"/>
      <c r="G89" s="21">
        <f t="shared" si="14"/>
        <v>0</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0.05</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0.05</v>
      </c>
      <c r="F91" s="633"/>
      <c r="G91" s="21">
        <f t="shared" si="25"/>
        <v>0</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0.05</v>
      </c>
      <c r="F92" s="633"/>
      <c r="G92" s="21">
        <f t="shared" si="25"/>
        <v>0</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0.05</v>
      </c>
      <c r="F93" s="633"/>
      <c r="G93" s="21">
        <f t="shared" si="25"/>
        <v>0</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0.05</v>
      </c>
      <c r="F94" s="633"/>
      <c r="G94" s="21">
        <f t="shared" si="25"/>
        <v>0</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0.05</v>
      </c>
      <c r="F95" s="633"/>
      <c r="G95" s="21">
        <f t="shared" si="25"/>
        <v>0</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0.05</v>
      </c>
      <c r="F96" s="633"/>
      <c r="G96" s="21">
        <f t="shared" si="25"/>
        <v>0</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0.05</v>
      </c>
      <c r="F97" s="633"/>
      <c r="G97" s="21">
        <f t="shared" si="25"/>
        <v>0</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0.05</v>
      </c>
      <c r="F98" s="633"/>
      <c r="G98" s="21">
        <f t="shared" si="25"/>
        <v>0</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0.05</v>
      </c>
      <c r="F99" s="633"/>
      <c r="G99" s="21">
        <f t="shared" si="25"/>
        <v>0</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0.05</v>
      </c>
      <c r="F100" s="633"/>
      <c r="G100" s="21">
        <f t="shared" si="25"/>
        <v>0</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0.05</v>
      </c>
      <c r="F101" s="633"/>
      <c r="G101" s="21">
        <f t="shared" si="25"/>
        <v>0</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0.05</v>
      </c>
      <c r="F102" s="633"/>
      <c r="G102" s="21">
        <f t="shared" si="25"/>
        <v>0</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0.05</v>
      </c>
      <c r="F103" s="633"/>
      <c r="G103" s="21">
        <f t="shared" si="25"/>
        <v>0</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0.05</v>
      </c>
      <c r="F104" s="633"/>
      <c r="G104" s="21">
        <f t="shared" si="25"/>
        <v>0</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0.05</v>
      </c>
      <c r="F105" s="633"/>
      <c r="G105" s="21">
        <f t="shared" si="25"/>
        <v>0</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0.05</v>
      </c>
      <c r="F106" s="633"/>
      <c r="G106" s="21">
        <f t="shared" si="25"/>
        <v>0</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0.05</v>
      </c>
      <c r="F107" s="633"/>
      <c r="G107" s="21">
        <f t="shared" si="25"/>
        <v>0</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0.05</v>
      </c>
      <c r="F108" s="633"/>
      <c r="G108" s="21">
        <f t="shared" si="25"/>
        <v>0</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0.05</v>
      </c>
      <c r="F109" s="633"/>
      <c r="G109" s="21">
        <f t="shared" si="25"/>
        <v>0</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0.05</v>
      </c>
      <c r="F110" s="633"/>
      <c r="G110" s="21">
        <f t="shared" si="25"/>
        <v>0</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0.05</v>
      </c>
      <c r="F111" s="633"/>
      <c r="G111" s="21">
        <f t="shared" si="25"/>
        <v>0</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0.05</v>
      </c>
      <c r="F112" s="633"/>
      <c r="G112" s="21">
        <f t="shared" si="25"/>
        <v>0</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0.05</v>
      </c>
      <c r="F113" s="633"/>
      <c r="G113" s="21">
        <f t="shared" si="25"/>
        <v>0</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0.05</v>
      </c>
      <c r="F114" s="633"/>
      <c r="G114" s="21">
        <f t="shared" si="25"/>
        <v>0</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0.05</v>
      </c>
      <c r="F115" s="633"/>
      <c r="G115" s="21">
        <f t="shared" si="25"/>
        <v>0</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0.05</v>
      </c>
      <c r="F116" s="633"/>
      <c r="G116" s="21">
        <f t="shared" si="25"/>
        <v>0</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0.05</v>
      </c>
      <c r="F117" s="633"/>
      <c r="G117" s="21">
        <f t="shared" si="25"/>
        <v>0</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0.05</v>
      </c>
      <c r="F118" s="633"/>
      <c r="G118" s="21">
        <f t="shared" si="25"/>
        <v>0</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0.05</v>
      </c>
      <c r="F119" s="633"/>
      <c r="G119" s="21">
        <f t="shared" si="25"/>
        <v>0</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0.05</v>
      </c>
      <c r="F120" s="633"/>
      <c r="G120" s="21">
        <f t="shared" si="25"/>
        <v>0</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0.05</v>
      </c>
      <c r="F121" s="633"/>
      <c r="G121" s="21">
        <f t="shared" si="25"/>
        <v>0</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0.05</v>
      </c>
      <c r="F122" s="633"/>
      <c r="G122" s="21">
        <f t="shared" si="25"/>
        <v>0</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0.05</v>
      </c>
      <c r="F123" s="633"/>
      <c r="G123" s="21">
        <f t="shared" si="25"/>
        <v>0</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0.05</v>
      </c>
      <c r="F124" s="633"/>
      <c r="G124" s="21">
        <f t="shared" si="25"/>
        <v>0</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0.05</v>
      </c>
      <c r="F125" s="633"/>
      <c r="G125" s="21">
        <f t="shared" si="25"/>
        <v>0</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0.05</v>
      </c>
      <c r="F126" s="633"/>
      <c r="G126" s="21">
        <f t="shared" si="25"/>
        <v>0</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0.05</v>
      </c>
      <c r="F127" s="633"/>
      <c r="G127" s="21">
        <f t="shared" si="25"/>
        <v>0</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0.05</v>
      </c>
      <c r="F128" s="633"/>
      <c r="G128" s="21">
        <f t="shared" si="25"/>
        <v>0</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0.05</v>
      </c>
      <c r="F129" s="633"/>
      <c r="G129" s="21">
        <f t="shared" si="25"/>
        <v>0</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0.05</v>
      </c>
      <c r="F130" s="633"/>
      <c r="G130" s="21">
        <f t="shared" si="25"/>
        <v>0</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0.05</v>
      </c>
      <c r="F131" s="633"/>
      <c r="G131" s="21">
        <f t="shared" si="25"/>
        <v>0</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0.05</v>
      </c>
      <c r="F132" s="633"/>
      <c r="G132" s="21">
        <f t="shared" si="25"/>
        <v>0</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0.05</v>
      </c>
      <c r="F133" s="633"/>
      <c r="G133" s="21">
        <f t="shared" si="25"/>
        <v>0</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0.05</v>
      </c>
      <c r="F134" s="633"/>
      <c r="G134" s="21">
        <f t="shared" si="25"/>
        <v>0</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0.05</v>
      </c>
      <c r="F135" s="633"/>
      <c r="G135" s="21">
        <f t="shared" si="25"/>
        <v>0</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0.05</v>
      </c>
      <c r="F136" s="633"/>
      <c r="G136" s="21">
        <f t="shared" si="25"/>
        <v>0</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0.05</v>
      </c>
      <c r="F137" s="633"/>
      <c r="G137" s="21">
        <f t="shared" si="25"/>
        <v>0</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0.05</v>
      </c>
      <c r="F138" s="633"/>
      <c r="G138" s="21">
        <f t="shared" si="25"/>
        <v>0</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0.05</v>
      </c>
      <c r="F139" s="633"/>
      <c r="G139" s="21">
        <f t="shared" si="25"/>
        <v>0</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0.05</v>
      </c>
      <c r="F140" s="633"/>
      <c r="G140" s="21">
        <f t="shared" si="25"/>
        <v>0</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0.05</v>
      </c>
      <c r="F141" s="633"/>
      <c r="G141" s="21">
        <f t="shared" si="25"/>
        <v>0</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0.05</v>
      </c>
      <c r="F142" s="633"/>
      <c r="G142" s="21">
        <f t="shared" si="25"/>
        <v>0</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0.05</v>
      </c>
      <c r="F143" s="633"/>
      <c r="G143" s="21">
        <f t="shared" si="25"/>
        <v>0</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0.05</v>
      </c>
      <c r="F144" s="633"/>
      <c r="G144" s="21">
        <f t="shared" si="25"/>
        <v>0</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0.05</v>
      </c>
      <c r="F145" s="633"/>
      <c r="G145" s="21">
        <f t="shared" si="25"/>
        <v>0</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0.05</v>
      </c>
      <c r="F146" s="633"/>
      <c r="G146" s="21">
        <f t="shared" si="25"/>
        <v>0</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0.05</v>
      </c>
      <c r="F147" s="633"/>
      <c r="G147" s="21">
        <f t="shared" si="25"/>
        <v>0</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0.05</v>
      </c>
      <c r="F148" s="633"/>
      <c r="G148" s="21">
        <f t="shared" si="25"/>
        <v>0</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0.05</v>
      </c>
      <c r="F149" s="633"/>
      <c r="G149" s="21">
        <f t="shared" si="25"/>
        <v>0</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0.05</v>
      </c>
      <c r="F150" s="633"/>
      <c r="G150" s="21">
        <f t="shared" si="25"/>
        <v>0</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0.05</v>
      </c>
      <c r="F151" s="633"/>
      <c r="G151" s="21">
        <f t="shared" si="25"/>
        <v>0</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0.05</v>
      </c>
      <c r="F152" s="633"/>
      <c r="G152" s="21">
        <f t="shared" si="25"/>
        <v>0</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0.05</v>
      </c>
      <c r="F153" s="633"/>
      <c r="G153" s="21">
        <f t="shared" si="25"/>
        <v>0</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0.05</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0.05</v>
      </c>
      <c r="F155" s="633"/>
      <c r="G155" s="21">
        <f t="shared" si="35"/>
        <v>0</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0.05</v>
      </c>
      <c r="F156" s="633"/>
      <c r="G156" s="21">
        <f t="shared" si="35"/>
        <v>0</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0.05</v>
      </c>
      <c r="F157" s="633"/>
      <c r="G157" s="21">
        <f t="shared" si="35"/>
        <v>0</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0.05</v>
      </c>
      <c r="F158" s="633"/>
      <c r="G158" s="21">
        <f t="shared" si="35"/>
        <v>0</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0.05</v>
      </c>
      <c r="F159" s="633"/>
      <c r="G159" s="21">
        <f t="shared" si="35"/>
        <v>0</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0.05</v>
      </c>
      <c r="F160" s="633"/>
      <c r="G160" s="21">
        <f t="shared" si="35"/>
        <v>0</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0.05</v>
      </c>
      <c r="F161" s="633"/>
      <c r="G161" s="21">
        <f t="shared" si="35"/>
        <v>0</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0.05</v>
      </c>
      <c r="F162" s="633"/>
      <c r="G162" s="21">
        <f t="shared" si="35"/>
        <v>0</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0.05</v>
      </c>
      <c r="F163" s="633"/>
      <c r="G163" s="21">
        <f t="shared" si="35"/>
        <v>0</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0.05</v>
      </c>
      <c r="F164" s="633"/>
      <c r="G164" s="21">
        <f t="shared" si="35"/>
        <v>0</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0.05</v>
      </c>
      <c r="F165" s="633"/>
      <c r="G165" s="21">
        <f t="shared" si="35"/>
        <v>0</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0.05</v>
      </c>
      <c r="F166" s="633"/>
      <c r="G166" s="21">
        <f t="shared" si="35"/>
        <v>0</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0.05</v>
      </c>
      <c r="F167" s="633"/>
      <c r="G167" s="21">
        <f t="shared" si="35"/>
        <v>0</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0.05</v>
      </c>
      <c r="F168" s="633"/>
      <c r="G168" s="21">
        <f t="shared" si="35"/>
        <v>0</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0.05</v>
      </c>
      <c r="F169" s="633"/>
      <c r="G169" s="21">
        <f t="shared" si="35"/>
        <v>0</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0.05</v>
      </c>
      <c r="F170" s="633"/>
      <c r="G170" s="21">
        <f t="shared" si="35"/>
        <v>0</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0.05</v>
      </c>
      <c r="F171" s="633"/>
      <c r="G171" s="21">
        <f t="shared" si="35"/>
        <v>0</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0.05</v>
      </c>
      <c r="F172" s="633"/>
      <c r="G172" s="21">
        <f t="shared" si="35"/>
        <v>0</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0.05</v>
      </c>
      <c r="F173" s="633"/>
      <c r="G173" s="21">
        <f t="shared" si="35"/>
        <v>0</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0.05</v>
      </c>
      <c r="F174" s="633"/>
      <c r="G174" s="21">
        <f t="shared" si="35"/>
        <v>0</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0.05</v>
      </c>
      <c r="F175" s="633"/>
      <c r="G175" s="21">
        <f t="shared" si="35"/>
        <v>0</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0.05</v>
      </c>
      <c r="F176" s="633"/>
      <c r="G176" s="21">
        <f t="shared" si="35"/>
        <v>0</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0.05</v>
      </c>
      <c r="F177" s="633"/>
      <c r="G177" s="21">
        <f t="shared" si="35"/>
        <v>0</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0.05</v>
      </c>
      <c r="F178" s="633"/>
      <c r="G178" s="21">
        <f t="shared" si="35"/>
        <v>0</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0.05</v>
      </c>
      <c r="F179" s="633"/>
      <c r="G179" s="21">
        <f t="shared" si="35"/>
        <v>0</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0.05</v>
      </c>
      <c r="F180" s="633"/>
      <c r="G180" s="21">
        <f t="shared" si="35"/>
        <v>0</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0.05</v>
      </c>
      <c r="F181" s="633"/>
      <c r="G181" s="21">
        <f t="shared" si="35"/>
        <v>0</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0.05</v>
      </c>
      <c r="F182" s="633"/>
      <c r="G182" s="21">
        <f t="shared" si="35"/>
        <v>0</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0.05</v>
      </c>
      <c r="F183" s="633"/>
      <c r="G183" s="21">
        <f t="shared" si="35"/>
        <v>0</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0.05</v>
      </c>
      <c r="F184" s="633"/>
      <c r="G184" s="21">
        <f t="shared" si="35"/>
        <v>0</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0.05</v>
      </c>
      <c r="F185" s="633"/>
      <c r="G185" s="21">
        <f t="shared" si="35"/>
        <v>0</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0.05</v>
      </c>
      <c r="F186" s="633"/>
      <c r="G186" s="21">
        <f t="shared" si="35"/>
        <v>0</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0.05</v>
      </c>
      <c r="F187" s="633"/>
      <c r="G187" s="21">
        <f t="shared" si="35"/>
        <v>0</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0.05</v>
      </c>
      <c r="F188" s="633"/>
      <c r="G188" s="21">
        <f t="shared" si="35"/>
        <v>0</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0.05</v>
      </c>
      <c r="F189" s="633"/>
      <c r="G189" s="21">
        <f t="shared" si="35"/>
        <v>0</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0.05</v>
      </c>
      <c r="F190" s="633"/>
      <c r="G190" s="21">
        <f t="shared" si="35"/>
        <v>0</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0.05</v>
      </c>
      <c r="F191" s="633"/>
      <c r="G191" s="21">
        <f t="shared" si="35"/>
        <v>0</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0.05</v>
      </c>
      <c r="F192" s="633"/>
      <c r="G192" s="21">
        <f t="shared" si="35"/>
        <v>0</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0.05</v>
      </c>
      <c r="F193" s="633"/>
      <c r="G193" s="21">
        <f t="shared" si="35"/>
        <v>0</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0.05</v>
      </c>
      <c r="F194" s="633"/>
      <c r="G194" s="21">
        <f t="shared" si="35"/>
        <v>0</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0.05</v>
      </c>
      <c r="F195" s="633"/>
      <c r="G195" s="21">
        <f t="shared" si="35"/>
        <v>0</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0.05</v>
      </c>
      <c r="F196" s="633"/>
      <c r="G196" s="21">
        <f t="shared" si="35"/>
        <v>0</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0.05</v>
      </c>
      <c r="F197" s="633"/>
      <c r="G197" s="21">
        <f t="shared" si="35"/>
        <v>0</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0.05</v>
      </c>
      <c r="F198" s="633"/>
      <c r="G198" s="21">
        <f t="shared" si="35"/>
        <v>0</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0.05</v>
      </c>
      <c r="F199" s="633"/>
      <c r="G199" s="21">
        <f t="shared" si="35"/>
        <v>0</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0.05</v>
      </c>
      <c r="F200" s="633"/>
      <c r="G200" s="21">
        <f t="shared" si="35"/>
        <v>0</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0.05</v>
      </c>
      <c r="F201" s="633"/>
      <c r="G201" s="21">
        <f t="shared" si="35"/>
        <v>0</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0.05</v>
      </c>
      <c r="F202" s="633"/>
      <c r="G202" s="21">
        <f t="shared" si="35"/>
        <v>0</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0.05</v>
      </c>
      <c r="F203" s="633"/>
      <c r="G203" s="21">
        <f t="shared" si="35"/>
        <v>0</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0.05</v>
      </c>
      <c r="F204" s="633"/>
      <c r="G204" s="21">
        <f t="shared" si="35"/>
        <v>0</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0.05</v>
      </c>
      <c r="F205" s="633"/>
      <c r="G205" s="21">
        <f t="shared" si="35"/>
        <v>0</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0.05</v>
      </c>
      <c r="F206" s="633"/>
      <c r="G206" s="21">
        <f t="shared" si="35"/>
        <v>0</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0.05</v>
      </c>
      <c r="F207" s="633"/>
      <c r="G207" s="21">
        <f t="shared" si="35"/>
        <v>0</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0.05</v>
      </c>
      <c r="F208" s="633"/>
      <c r="G208" s="21">
        <f t="shared" si="35"/>
        <v>0</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0.05</v>
      </c>
      <c r="F209" s="633"/>
      <c r="G209" s="21">
        <f t="shared" si="35"/>
        <v>0</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0.05</v>
      </c>
      <c r="F210" s="633"/>
      <c r="G210" s="21">
        <f t="shared" si="35"/>
        <v>0</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0.05</v>
      </c>
      <c r="F211" s="633"/>
      <c r="G211" s="21">
        <f t="shared" si="35"/>
        <v>0</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0.05</v>
      </c>
      <c r="F212" s="633"/>
      <c r="G212" s="21">
        <f t="shared" si="35"/>
        <v>0</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0.05</v>
      </c>
      <c r="F213" s="633"/>
      <c r="G213" s="21">
        <f t="shared" si="35"/>
        <v>0</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0.05</v>
      </c>
      <c r="F214" s="633"/>
      <c r="G214" s="21">
        <f t="shared" si="35"/>
        <v>0</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0.05</v>
      </c>
      <c r="F215" s="633"/>
      <c r="G215" s="21">
        <f t="shared" si="35"/>
        <v>0</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0.05</v>
      </c>
      <c r="F216" s="633"/>
      <c r="G216" s="21">
        <f t="shared" si="35"/>
        <v>0</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0.05</v>
      </c>
      <c r="F217" s="633"/>
      <c r="G217" s="21">
        <f t="shared" si="35"/>
        <v>0</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0.05</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0.05</v>
      </c>
      <c r="F219" s="633"/>
      <c r="G219" s="21">
        <f t="shared" si="45"/>
        <v>0</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0.05</v>
      </c>
      <c r="F220" s="633"/>
      <c r="G220" s="21">
        <f t="shared" si="45"/>
        <v>0</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0.05</v>
      </c>
      <c r="F221" s="633"/>
      <c r="G221" s="21">
        <f t="shared" si="45"/>
        <v>0</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0.05</v>
      </c>
      <c r="F222" s="633"/>
      <c r="G222" s="21">
        <f t="shared" si="45"/>
        <v>0</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0.05</v>
      </c>
      <c r="F223" s="633"/>
      <c r="G223" s="21">
        <f t="shared" si="45"/>
        <v>0</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0.05</v>
      </c>
      <c r="F224" s="633"/>
      <c r="G224" s="21">
        <f t="shared" si="45"/>
        <v>0</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0.05</v>
      </c>
      <c r="F225" s="633"/>
      <c r="G225" s="21">
        <f t="shared" si="45"/>
        <v>0</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0.05</v>
      </c>
      <c r="F226" s="633"/>
      <c r="G226" s="21">
        <f t="shared" si="45"/>
        <v>0</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0.05</v>
      </c>
      <c r="F227" s="633"/>
      <c r="G227" s="21">
        <f t="shared" si="45"/>
        <v>0</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0.05</v>
      </c>
      <c r="F228" s="633"/>
      <c r="G228" s="21">
        <f t="shared" si="45"/>
        <v>0</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0.05</v>
      </c>
      <c r="F229" s="633"/>
      <c r="G229" s="21">
        <f t="shared" si="45"/>
        <v>0</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0.05</v>
      </c>
      <c r="F230" s="633"/>
      <c r="G230" s="21">
        <f t="shared" si="45"/>
        <v>0</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0.05</v>
      </c>
      <c r="F231" s="633"/>
      <c r="G231" s="21">
        <f t="shared" si="45"/>
        <v>0</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0.05</v>
      </c>
      <c r="F232" s="633"/>
      <c r="G232" s="21">
        <f t="shared" si="45"/>
        <v>0</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0.05</v>
      </c>
      <c r="F233" s="633"/>
      <c r="G233" s="21">
        <f t="shared" si="45"/>
        <v>0</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0.05</v>
      </c>
      <c r="F234" s="633"/>
      <c r="G234" s="21">
        <f t="shared" si="45"/>
        <v>0</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0.05</v>
      </c>
      <c r="F235" s="633"/>
      <c r="G235" s="21">
        <f t="shared" si="45"/>
        <v>0</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0.05</v>
      </c>
      <c r="F236" s="633"/>
      <c r="G236" s="21">
        <f t="shared" si="45"/>
        <v>0</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0.05</v>
      </c>
      <c r="F237" s="633"/>
      <c r="G237" s="21">
        <f t="shared" si="45"/>
        <v>0</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0.05</v>
      </c>
      <c r="F238" s="633"/>
      <c r="G238" s="21">
        <f t="shared" si="45"/>
        <v>0</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0.05</v>
      </c>
      <c r="F239" s="633"/>
      <c r="G239" s="21">
        <f t="shared" si="45"/>
        <v>0</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0.05</v>
      </c>
      <c r="F240" s="633"/>
      <c r="G240" s="21">
        <f t="shared" si="45"/>
        <v>0</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0.05</v>
      </c>
      <c r="F241" s="633"/>
      <c r="G241" s="21">
        <f t="shared" si="45"/>
        <v>0</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0.05</v>
      </c>
      <c r="F242" s="633"/>
      <c r="G242" s="21">
        <f t="shared" si="45"/>
        <v>0</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0.05</v>
      </c>
      <c r="F243" s="633"/>
      <c r="G243" s="21">
        <f t="shared" si="45"/>
        <v>0</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0.05</v>
      </c>
      <c r="F244" s="633"/>
      <c r="G244" s="21">
        <f t="shared" si="45"/>
        <v>0</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0.05</v>
      </c>
      <c r="F245" s="633"/>
      <c r="G245" s="21">
        <f t="shared" si="45"/>
        <v>0</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0.05</v>
      </c>
      <c r="F246" s="633"/>
      <c r="G246" s="21">
        <f t="shared" si="45"/>
        <v>0</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0.05</v>
      </c>
      <c r="F247" s="633"/>
      <c r="G247" s="21">
        <f t="shared" si="45"/>
        <v>0</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0.05</v>
      </c>
      <c r="F248" s="633"/>
      <c r="G248" s="21">
        <f t="shared" si="45"/>
        <v>0</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0.05</v>
      </c>
      <c r="F249" s="633"/>
      <c r="G249" s="21">
        <f t="shared" si="45"/>
        <v>0</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0.05</v>
      </c>
      <c r="F250" s="633"/>
      <c r="G250" s="21">
        <f t="shared" si="45"/>
        <v>0</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0.05</v>
      </c>
      <c r="F251" s="633"/>
      <c r="G251" s="21">
        <f t="shared" si="45"/>
        <v>0</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0.05</v>
      </c>
      <c r="F252" s="633"/>
      <c r="G252" s="21">
        <f t="shared" si="45"/>
        <v>0</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0.05</v>
      </c>
      <c r="F253" s="633"/>
      <c r="G253" s="21">
        <f t="shared" si="45"/>
        <v>0</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0.05</v>
      </c>
      <c r="F254" s="633"/>
      <c r="G254" s="21">
        <f t="shared" si="45"/>
        <v>0</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0.05</v>
      </c>
      <c r="F255" s="633"/>
      <c r="G255" s="21">
        <f t="shared" si="45"/>
        <v>0</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0.05</v>
      </c>
      <c r="F256" s="633"/>
      <c r="G256" s="21">
        <f t="shared" si="45"/>
        <v>0</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0.05</v>
      </c>
      <c r="F257" s="633"/>
      <c r="G257" s="21">
        <f t="shared" si="45"/>
        <v>0</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0.05</v>
      </c>
      <c r="F258" s="633"/>
      <c r="G258" s="21">
        <f t="shared" si="45"/>
        <v>0</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0.05</v>
      </c>
      <c r="F259" s="633"/>
      <c r="G259" s="21">
        <f t="shared" si="45"/>
        <v>0</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0.05</v>
      </c>
      <c r="F260" s="633"/>
      <c r="G260" s="21">
        <f t="shared" si="45"/>
        <v>0</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0.05</v>
      </c>
      <c r="F261" s="633"/>
      <c r="G261" s="21">
        <f t="shared" si="45"/>
        <v>0</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0.05</v>
      </c>
      <c r="F262" s="633"/>
      <c r="G262" s="21">
        <f t="shared" si="45"/>
        <v>0</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0.05</v>
      </c>
      <c r="F263" s="633"/>
      <c r="G263" s="21">
        <f t="shared" si="45"/>
        <v>0</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0.05</v>
      </c>
      <c r="F264" s="633"/>
      <c r="G264" s="21">
        <f t="shared" si="45"/>
        <v>0</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0.05</v>
      </c>
      <c r="F265" s="633"/>
      <c r="G265" s="21">
        <f t="shared" si="45"/>
        <v>0</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0.05</v>
      </c>
      <c r="F266" s="633"/>
      <c r="G266" s="21">
        <f t="shared" si="45"/>
        <v>0</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0.05</v>
      </c>
      <c r="F267" s="633"/>
      <c r="G267" s="21">
        <f t="shared" si="45"/>
        <v>0</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0.05</v>
      </c>
      <c r="F268" s="633"/>
      <c r="G268" s="21">
        <f t="shared" si="45"/>
        <v>0</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0.05</v>
      </c>
      <c r="F269" s="633"/>
      <c r="G269" s="21">
        <f t="shared" si="45"/>
        <v>0</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0.05</v>
      </c>
      <c r="F270" s="633"/>
      <c r="G270" s="21">
        <f t="shared" si="45"/>
        <v>0</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0.05</v>
      </c>
      <c r="F271" s="633"/>
      <c r="G271" s="21">
        <f t="shared" si="45"/>
        <v>0</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0.05</v>
      </c>
      <c r="F272" s="633"/>
      <c r="G272" s="21">
        <f t="shared" si="45"/>
        <v>0</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0.05</v>
      </c>
      <c r="F273" s="633"/>
      <c r="G273" s="21">
        <f t="shared" si="45"/>
        <v>0</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0.05</v>
      </c>
      <c r="F274" s="633"/>
      <c r="G274" s="21">
        <f t="shared" si="45"/>
        <v>0</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0.05</v>
      </c>
      <c r="F275" s="633"/>
      <c r="G275" s="21">
        <f t="shared" si="45"/>
        <v>0</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0.05</v>
      </c>
      <c r="F276" s="633"/>
      <c r="G276" s="21">
        <f t="shared" si="45"/>
        <v>0</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0.05</v>
      </c>
      <c r="F277" s="633"/>
      <c r="G277" s="21">
        <f t="shared" si="45"/>
        <v>0</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0.05</v>
      </c>
      <c r="F278" s="633"/>
      <c r="G278" s="21">
        <f t="shared" si="45"/>
        <v>0</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0.05</v>
      </c>
      <c r="F279" s="633"/>
      <c r="G279" s="21">
        <f t="shared" si="45"/>
        <v>0</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0.05</v>
      </c>
      <c r="F280" s="633"/>
      <c r="G280" s="21">
        <f t="shared" si="45"/>
        <v>0</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0.05</v>
      </c>
      <c r="F281" s="633"/>
      <c r="G281" s="21">
        <f t="shared" si="45"/>
        <v>0</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0.05</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0.05</v>
      </c>
      <c r="F283" s="633"/>
      <c r="G283" s="21">
        <f t="shared" si="55"/>
        <v>0</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0.05</v>
      </c>
      <c r="F284" s="633"/>
      <c r="G284" s="21">
        <f t="shared" si="55"/>
        <v>0</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0.05</v>
      </c>
      <c r="F285" s="633"/>
      <c r="G285" s="21">
        <f t="shared" si="55"/>
        <v>0</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0.05</v>
      </c>
      <c r="F286" s="633"/>
      <c r="G286" s="21">
        <f t="shared" si="55"/>
        <v>0</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0.05</v>
      </c>
      <c r="F287" s="633"/>
      <c r="G287" s="21">
        <f t="shared" si="55"/>
        <v>0</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0.05</v>
      </c>
      <c r="F288" s="633"/>
      <c r="G288" s="21">
        <f t="shared" si="55"/>
        <v>0</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0.05</v>
      </c>
      <c r="F289" s="633"/>
      <c r="G289" s="21">
        <f t="shared" si="55"/>
        <v>0</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0.05</v>
      </c>
      <c r="F290" s="633"/>
      <c r="G290" s="21">
        <f t="shared" si="55"/>
        <v>0</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0.05</v>
      </c>
      <c r="F291" s="633"/>
      <c r="G291" s="21">
        <f t="shared" si="55"/>
        <v>0</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0.05</v>
      </c>
      <c r="F292" s="633"/>
      <c r="G292" s="21">
        <f t="shared" si="55"/>
        <v>0</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0.05</v>
      </c>
      <c r="F293" s="633"/>
      <c r="G293" s="21">
        <f t="shared" si="55"/>
        <v>0</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0.05</v>
      </c>
      <c r="F294" s="633"/>
      <c r="G294" s="21">
        <f t="shared" si="55"/>
        <v>0</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0.05</v>
      </c>
      <c r="F295" s="633"/>
      <c r="G295" s="21">
        <f t="shared" si="55"/>
        <v>0</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0.05</v>
      </c>
      <c r="F296" s="633"/>
      <c r="G296" s="21">
        <f t="shared" si="55"/>
        <v>0</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0.05</v>
      </c>
      <c r="F297" s="633"/>
      <c r="G297" s="21">
        <f t="shared" si="55"/>
        <v>0</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0.05</v>
      </c>
      <c r="F298" s="633"/>
      <c r="G298" s="21">
        <f t="shared" si="55"/>
        <v>0</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0.05</v>
      </c>
      <c r="F299" s="633"/>
      <c r="G299" s="21">
        <f t="shared" si="55"/>
        <v>0</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0.05</v>
      </c>
      <c r="F300" s="633"/>
      <c r="G300" s="21">
        <f t="shared" si="55"/>
        <v>0</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0.05</v>
      </c>
      <c r="F301" s="633"/>
      <c r="G301" s="21">
        <f t="shared" si="55"/>
        <v>0</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0.05</v>
      </c>
      <c r="F302" s="633"/>
      <c r="G302" s="21">
        <f t="shared" si="55"/>
        <v>0</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0.05</v>
      </c>
      <c r="F303" s="633"/>
      <c r="G303" s="21">
        <f t="shared" si="55"/>
        <v>0</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0.05</v>
      </c>
      <c r="F304" s="633"/>
      <c r="G304" s="21">
        <f t="shared" si="55"/>
        <v>0</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0.05</v>
      </c>
      <c r="F305" s="633"/>
      <c r="G305" s="21">
        <f t="shared" si="55"/>
        <v>0</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0.05</v>
      </c>
      <c r="F306" s="633"/>
      <c r="G306" s="21">
        <f t="shared" si="55"/>
        <v>0</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0.05</v>
      </c>
      <c r="F307" s="633"/>
      <c r="G307" s="21">
        <f t="shared" si="55"/>
        <v>0</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0.05</v>
      </c>
      <c r="F308" s="633"/>
      <c r="G308" s="21">
        <f t="shared" si="55"/>
        <v>0</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0.05</v>
      </c>
      <c r="F309" s="633"/>
      <c r="G309" s="21">
        <f t="shared" si="55"/>
        <v>0</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0.05</v>
      </c>
      <c r="F310" s="633"/>
      <c r="G310" s="21">
        <f t="shared" si="55"/>
        <v>0</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0.05</v>
      </c>
      <c r="F311" s="633"/>
      <c r="G311" s="21">
        <f t="shared" si="55"/>
        <v>0</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0.05</v>
      </c>
      <c r="F312" s="633"/>
      <c r="G312" s="21">
        <f t="shared" si="55"/>
        <v>0</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0.05</v>
      </c>
      <c r="F313" s="633"/>
      <c r="G313" s="21">
        <f t="shared" si="55"/>
        <v>0</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0.05</v>
      </c>
      <c r="F314" s="633"/>
      <c r="G314" s="21">
        <f t="shared" si="55"/>
        <v>0</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0.05</v>
      </c>
      <c r="F315" s="633"/>
      <c r="G315" s="21">
        <f t="shared" si="55"/>
        <v>0</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0.05</v>
      </c>
      <c r="F316" s="633"/>
      <c r="G316" s="21">
        <f t="shared" si="55"/>
        <v>0</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0.05</v>
      </c>
      <c r="F317" s="633"/>
      <c r="G317" s="21">
        <f t="shared" si="55"/>
        <v>0</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0.05</v>
      </c>
      <c r="F318" s="633"/>
      <c r="G318" s="21">
        <f t="shared" si="55"/>
        <v>0</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0.05</v>
      </c>
      <c r="F319" s="633"/>
      <c r="G319" s="21">
        <f t="shared" si="55"/>
        <v>0</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0.05</v>
      </c>
      <c r="F320" s="633"/>
      <c r="G320" s="21">
        <f t="shared" si="55"/>
        <v>0</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0.05</v>
      </c>
      <c r="F321" s="633"/>
      <c r="G321" s="21">
        <f t="shared" si="55"/>
        <v>0</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0.05</v>
      </c>
      <c r="F322" s="633"/>
      <c r="G322" s="21">
        <f t="shared" si="55"/>
        <v>0</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0.05</v>
      </c>
      <c r="F323" s="633"/>
      <c r="G323" s="21">
        <f t="shared" si="55"/>
        <v>0</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0.05</v>
      </c>
      <c r="F324" s="633"/>
      <c r="G324" s="21">
        <f t="shared" si="55"/>
        <v>0</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0.05</v>
      </c>
      <c r="F325" s="633"/>
      <c r="G325" s="21">
        <f t="shared" si="55"/>
        <v>0</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0.05</v>
      </c>
      <c r="F326" s="633"/>
      <c r="G326" s="21">
        <f t="shared" si="55"/>
        <v>0</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0.05</v>
      </c>
      <c r="F327" s="633"/>
      <c r="G327" s="21">
        <f t="shared" si="55"/>
        <v>0</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0.05</v>
      </c>
      <c r="F328" s="633"/>
      <c r="G328" s="21">
        <f t="shared" si="55"/>
        <v>0</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0.05</v>
      </c>
      <c r="F329" s="633"/>
      <c r="G329" s="21">
        <f t="shared" si="55"/>
        <v>0</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0.05</v>
      </c>
      <c r="F330" s="633"/>
      <c r="G330" s="21">
        <f t="shared" si="55"/>
        <v>0</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0.05</v>
      </c>
      <c r="F331" s="633"/>
      <c r="G331" s="21">
        <f t="shared" si="55"/>
        <v>0</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0.05</v>
      </c>
      <c r="F332" s="633"/>
      <c r="G332" s="21">
        <f t="shared" si="55"/>
        <v>0</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0.05</v>
      </c>
      <c r="F333" s="633"/>
      <c r="G333" s="21">
        <f t="shared" si="55"/>
        <v>0</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0.05</v>
      </c>
      <c r="F334" s="633"/>
      <c r="G334" s="21">
        <f t="shared" si="55"/>
        <v>0</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0.05</v>
      </c>
      <c r="F335" s="633"/>
      <c r="G335" s="21">
        <f t="shared" si="55"/>
        <v>0</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0.05</v>
      </c>
      <c r="F336" s="633"/>
      <c r="G336" s="21">
        <f t="shared" si="55"/>
        <v>0</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0.05</v>
      </c>
      <c r="F337" s="633"/>
      <c r="G337" s="21">
        <f t="shared" si="55"/>
        <v>0</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0.05</v>
      </c>
      <c r="F338" s="633"/>
      <c r="G338" s="21">
        <f t="shared" si="55"/>
        <v>0</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0.05</v>
      </c>
      <c r="F339" s="633"/>
      <c r="G339" s="21">
        <f t="shared" si="55"/>
        <v>0</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0.05</v>
      </c>
      <c r="F340" s="633"/>
      <c r="G340" s="21">
        <f t="shared" si="55"/>
        <v>0</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0.05</v>
      </c>
      <c r="F341" s="633"/>
      <c r="G341" s="21">
        <f t="shared" si="55"/>
        <v>0</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0.05</v>
      </c>
      <c r="F342" s="633"/>
      <c r="G342" s="21">
        <f t="shared" si="55"/>
        <v>0</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0.05</v>
      </c>
      <c r="F343" s="633"/>
      <c r="G343" s="21">
        <f t="shared" si="55"/>
        <v>0</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0.05</v>
      </c>
      <c r="F344" s="633"/>
      <c r="G344" s="21">
        <f t="shared" si="55"/>
        <v>0</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0.05</v>
      </c>
      <c r="F345" s="633"/>
      <c r="G345" s="21">
        <f t="shared" si="55"/>
        <v>0</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0.05</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0.05</v>
      </c>
      <c r="F347" s="633"/>
      <c r="G347" s="21">
        <f t="shared" si="66"/>
        <v>0</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0.05</v>
      </c>
      <c r="F348" s="633"/>
      <c r="G348" s="21">
        <f t="shared" si="66"/>
        <v>0</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0.05</v>
      </c>
      <c r="F349" s="633"/>
      <c r="G349" s="21">
        <f t="shared" si="66"/>
        <v>0</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0.05</v>
      </c>
      <c r="F350" s="633"/>
      <c r="G350" s="21">
        <f t="shared" si="66"/>
        <v>0</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0.05</v>
      </c>
      <c r="F351" s="633"/>
      <c r="G351" s="21">
        <f t="shared" si="66"/>
        <v>0</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0.05</v>
      </c>
      <c r="F352" s="633"/>
      <c r="G352" s="21">
        <f t="shared" si="66"/>
        <v>0</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0.05</v>
      </c>
      <c r="F353" s="633"/>
      <c r="G353" s="21">
        <f t="shared" si="66"/>
        <v>0</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0.05</v>
      </c>
      <c r="F354" s="633"/>
      <c r="G354" s="21">
        <f t="shared" si="66"/>
        <v>0</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0.05</v>
      </c>
      <c r="F355" s="633"/>
      <c r="G355" s="21">
        <f t="shared" si="66"/>
        <v>0</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0.05</v>
      </c>
      <c r="F356" s="633"/>
      <c r="G356" s="21">
        <f t="shared" si="66"/>
        <v>0</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0.05</v>
      </c>
      <c r="F357" s="633"/>
      <c r="G357" s="21">
        <f t="shared" si="66"/>
        <v>0</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0.05</v>
      </c>
      <c r="F358" s="633"/>
      <c r="G358" s="21">
        <f t="shared" si="66"/>
        <v>0</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0.05</v>
      </c>
      <c r="F359" s="633"/>
      <c r="G359" s="21">
        <f t="shared" si="66"/>
        <v>0</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0.05</v>
      </c>
      <c r="F360" s="633"/>
      <c r="G360" s="21">
        <f t="shared" si="66"/>
        <v>0</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0.05</v>
      </c>
      <c r="F361" s="633"/>
      <c r="G361" s="21">
        <f t="shared" si="66"/>
        <v>0</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0.05</v>
      </c>
      <c r="F362" s="633"/>
      <c r="G362" s="21">
        <f t="shared" si="66"/>
        <v>0</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0.05</v>
      </c>
      <c r="F363" s="633"/>
      <c r="G363" s="21">
        <f t="shared" si="66"/>
        <v>0</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0.05</v>
      </c>
      <c r="F364" s="633"/>
      <c r="G364" s="21">
        <f t="shared" si="66"/>
        <v>0</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0.05</v>
      </c>
      <c r="F365" s="633"/>
      <c r="G365" s="21">
        <f t="shared" si="66"/>
        <v>0</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0.05</v>
      </c>
      <c r="F366" s="633"/>
      <c r="G366" s="21">
        <f t="shared" si="66"/>
        <v>0</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0.05</v>
      </c>
      <c r="F367" s="633"/>
      <c r="G367" s="21">
        <f t="shared" si="66"/>
        <v>0</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0.05</v>
      </c>
      <c r="F368" s="633"/>
      <c r="G368" s="21">
        <f t="shared" si="66"/>
        <v>0</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0.05</v>
      </c>
      <c r="F369" s="633"/>
      <c r="G369" s="21">
        <f t="shared" si="66"/>
        <v>0</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0.05</v>
      </c>
      <c r="F370" s="633"/>
      <c r="G370" s="21">
        <f t="shared" si="66"/>
        <v>0</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0.05</v>
      </c>
      <c r="F371" s="633"/>
      <c r="G371" s="21">
        <f t="shared" si="66"/>
        <v>0</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0.05</v>
      </c>
      <c r="F372" s="633"/>
      <c r="G372" s="21">
        <f t="shared" si="66"/>
        <v>0</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0.05</v>
      </c>
      <c r="F373" s="633"/>
      <c r="G373" s="21">
        <f t="shared" si="66"/>
        <v>0</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0.05</v>
      </c>
      <c r="F374" s="633"/>
      <c r="G374" s="21">
        <f t="shared" si="66"/>
        <v>0</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0.05</v>
      </c>
      <c r="F375" s="633"/>
      <c r="G375" s="21">
        <f t="shared" si="66"/>
        <v>0</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0.05</v>
      </c>
      <c r="F376" s="633"/>
      <c r="G376" s="21">
        <f t="shared" si="66"/>
        <v>0</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0.05</v>
      </c>
      <c r="F377" s="633"/>
      <c r="G377" s="21">
        <f t="shared" si="66"/>
        <v>0</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0.05</v>
      </c>
      <c r="F378" s="633"/>
      <c r="G378" s="21">
        <f t="shared" si="66"/>
        <v>0</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0.05</v>
      </c>
      <c r="F379" s="633"/>
      <c r="G379" s="21">
        <f t="shared" si="66"/>
        <v>0</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0.05</v>
      </c>
      <c r="F380" s="633"/>
      <c r="G380" s="21">
        <f t="shared" si="66"/>
        <v>0</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0.05</v>
      </c>
      <c r="F381" s="633"/>
      <c r="G381" s="21">
        <f t="shared" si="66"/>
        <v>0</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0.05</v>
      </c>
      <c r="F382" s="633"/>
      <c r="G382" s="21">
        <f t="shared" si="66"/>
        <v>0</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0.05</v>
      </c>
      <c r="F383" s="633"/>
      <c r="G383" s="21">
        <f t="shared" si="66"/>
        <v>0</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0.05</v>
      </c>
      <c r="F384" s="633"/>
      <c r="G384" s="21">
        <f t="shared" si="66"/>
        <v>0</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0.05</v>
      </c>
      <c r="F385" s="633"/>
      <c r="G385" s="21">
        <f t="shared" si="66"/>
        <v>0</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0.05</v>
      </c>
      <c r="F386" s="633"/>
      <c r="G386" s="21">
        <f t="shared" si="66"/>
        <v>0</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0.05</v>
      </c>
      <c r="F387" s="633"/>
      <c r="G387" s="21">
        <f t="shared" si="66"/>
        <v>0</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0.05</v>
      </c>
      <c r="F388" s="633"/>
      <c r="G388" s="21">
        <f t="shared" si="66"/>
        <v>0</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0.05</v>
      </c>
      <c r="F389" s="633"/>
      <c r="G389" s="21">
        <f t="shared" si="66"/>
        <v>0</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0.05</v>
      </c>
      <c r="F390" s="633"/>
      <c r="G390" s="21">
        <f t="shared" si="66"/>
        <v>0</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0.05</v>
      </c>
      <c r="F391" s="633"/>
      <c r="G391" s="21">
        <f t="shared" si="66"/>
        <v>0</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0.05</v>
      </c>
      <c r="F392" s="633"/>
      <c r="G392" s="21">
        <f t="shared" si="66"/>
        <v>0</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0.05</v>
      </c>
      <c r="F393" s="633"/>
      <c r="G393" s="21">
        <f t="shared" si="66"/>
        <v>0</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0.05</v>
      </c>
      <c r="F394" s="633"/>
      <c r="G394" s="21">
        <f t="shared" si="66"/>
        <v>0</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0.05</v>
      </c>
      <c r="F395" s="633"/>
      <c r="G395" s="21">
        <f t="shared" si="66"/>
        <v>0</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0.05</v>
      </c>
      <c r="F396" s="633"/>
      <c r="G396" s="21">
        <f t="shared" si="66"/>
        <v>0</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0.05</v>
      </c>
      <c r="F397" s="633"/>
      <c r="G397" s="21">
        <f t="shared" si="66"/>
        <v>0</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0.05</v>
      </c>
      <c r="F398" s="633"/>
      <c r="G398" s="21">
        <f t="shared" si="66"/>
        <v>0</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0.05</v>
      </c>
      <c r="F399" s="633"/>
      <c r="G399" s="21">
        <f t="shared" si="66"/>
        <v>0</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0.05</v>
      </c>
      <c r="F400" s="633"/>
      <c r="G400" s="21">
        <f t="shared" si="66"/>
        <v>0</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0.05</v>
      </c>
      <c r="F401" s="633"/>
      <c r="G401" s="21">
        <f t="shared" si="66"/>
        <v>0</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0.05</v>
      </c>
      <c r="F402" s="633"/>
      <c r="G402" s="21">
        <f t="shared" si="66"/>
        <v>0</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0.05</v>
      </c>
      <c r="F403" s="633"/>
      <c r="G403" s="21">
        <f t="shared" si="66"/>
        <v>0</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0.05</v>
      </c>
      <c r="F404" s="633"/>
      <c r="G404" s="21">
        <f t="shared" si="66"/>
        <v>0</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0.05</v>
      </c>
      <c r="F405" s="633"/>
      <c r="G405" s="21">
        <f t="shared" si="66"/>
        <v>0</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0.05</v>
      </c>
      <c r="F406" s="633"/>
      <c r="G406" s="21">
        <f t="shared" si="66"/>
        <v>0</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0.05</v>
      </c>
      <c r="F407" s="633"/>
      <c r="G407" s="21">
        <f t="shared" si="66"/>
        <v>0</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0.05</v>
      </c>
      <c r="F408" s="633"/>
      <c r="G408" s="21">
        <f t="shared" si="66"/>
        <v>0</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0.05</v>
      </c>
      <c r="F409" s="633"/>
      <c r="G409" s="21">
        <f t="shared" si="66"/>
        <v>0</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0.05</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0.05</v>
      </c>
      <c r="F411" s="633"/>
      <c r="G411" s="21">
        <f t="shared" si="76"/>
        <v>0</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0.05</v>
      </c>
      <c r="F412" s="633"/>
      <c r="G412" s="21">
        <f t="shared" si="76"/>
        <v>0</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0.05</v>
      </c>
      <c r="F413" s="633"/>
      <c r="G413" s="21">
        <f t="shared" si="76"/>
        <v>0</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0.05</v>
      </c>
      <c r="F414" s="633"/>
      <c r="G414" s="21">
        <f t="shared" si="76"/>
        <v>0</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0.05</v>
      </c>
      <c r="F415" s="633"/>
      <c r="G415" s="21">
        <f t="shared" si="76"/>
        <v>0</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0.05</v>
      </c>
      <c r="F416" s="633"/>
      <c r="G416" s="21">
        <f t="shared" si="76"/>
        <v>0</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0.05</v>
      </c>
      <c r="F417" s="633"/>
      <c r="G417" s="21">
        <f t="shared" si="76"/>
        <v>0</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0.05</v>
      </c>
      <c r="F418" s="633"/>
      <c r="G418" s="21">
        <f t="shared" si="76"/>
        <v>0</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0.05</v>
      </c>
      <c r="F419" s="633"/>
      <c r="G419" s="21">
        <f t="shared" si="76"/>
        <v>0</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0.05</v>
      </c>
      <c r="F420" s="633"/>
      <c r="G420" s="21">
        <f t="shared" si="76"/>
        <v>0</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0.05</v>
      </c>
      <c r="F421" s="633"/>
      <c r="G421" s="21">
        <f t="shared" si="76"/>
        <v>0</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0.05</v>
      </c>
      <c r="F422" s="633"/>
      <c r="G422" s="21">
        <f t="shared" si="76"/>
        <v>0</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0.05</v>
      </c>
      <c r="F423" s="633"/>
      <c r="G423" s="21">
        <f t="shared" si="76"/>
        <v>0</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0.05</v>
      </c>
      <c r="F424" s="633"/>
      <c r="G424" s="21">
        <f t="shared" si="76"/>
        <v>0</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0.05</v>
      </c>
      <c r="F425" s="633"/>
      <c r="G425" s="21">
        <f t="shared" si="76"/>
        <v>0</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0.05</v>
      </c>
      <c r="F426" s="633"/>
      <c r="G426" s="21">
        <f t="shared" si="76"/>
        <v>0</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0.05</v>
      </c>
      <c r="F427" s="633"/>
      <c r="G427" s="21">
        <f t="shared" si="76"/>
        <v>0</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0.05</v>
      </c>
      <c r="F428" s="633"/>
      <c r="G428" s="21">
        <f t="shared" si="76"/>
        <v>0</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0.05</v>
      </c>
      <c r="F429" s="633"/>
      <c r="G429" s="21">
        <f t="shared" si="76"/>
        <v>0</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0.05</v>
      </c>
      <c r="F430" s="633"/>
      <c r="G430" s="21">
        <f t="shared" si="76"/>
        <v>0</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0.05</v>
      </c>
      <c r="F431" s="633"/>
      <c r="G431" s="21">
        <f t="shared" si="76"/>
        <v>0</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0.05</v>
      </c>
      <c r="F432" s="633"/>
      <c r="G432" s="21">
        <f t="shared" si="76"/>
        <v>0</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0.05</v>
      </c>
      <c r="F433" s="633"/>
      <c r="G433" s="21">
        <f t="shared" si="76"/>
        <v>0</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0.05</v>
      </c>
      <c r="F434" s="633"/>
      <c r="G434" s="21">
        <f t="shared" si="76"/>
        <v>0</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0.05</v>
      </c>
      <c r="F435" s="633"/>
      <c r="G435" s="21">
        <f t="shared" si="76"/>
        <v>0</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0.05</v>
      </c>
      <c r="F436" s="633"/>
      <c r="G436" s="21">
        <f t="shared" si="76"/>
        <v>0</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0.05</v>
      </c>
      <c r="F437" s="633"/>
      <c r="G437" s="21">
        <f t="shared" si="76"/>
        <v>0</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0.05</v>
      </c>
      <c r="F438" s="633"/>
      <c r="G438" s="21">
        <f t="shared" si="76"/>
        <v>0</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0.05</v>
      </c>
      <c r="F439" s="633"/>
      <c r="G439" s="21">
        <f t="shared" si="76"/>
        <v>0</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0.05</v>
      </c>
      <c r="F440" s="633"/>
      <c r="G440" s="21">
        <f t="shared" si="76"/>
        <v>0</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0.05</v>
      </c>
      <c r="F441" s="633"/>
      <c r="G441" s="21">
        <f t="shared" si="76"/>
        <v>0</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0.05</v>
      </c>
      <c r="F442" s="633"/>
      <c r="G442" s="21">
        <f t="shared" si="76"/>
        <v>0</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0.05</v>
      </c>
      <c r="F443" s="633"/>
      <c r="G443" s="21">
        <f t="shared" si="76"/>
        <v>0</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0.05</v>
      </c>
      <c r="F444" s="633"/>
      <c r="G444" s="21">
        <f t="shared" si="76"/>
        <v>0</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0.05</v>
      </c>
      <c r="F445" s="633"/>
      <c r="G445" s="21">
        <f t="shared" si="76"/>
        <v>0</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0.05</v>
      </c>
      <c r="F446" s="633"/>
      <c r="G446" s="21">
        <f t="shared" si="76"/>
        <v>0</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0.05</v>
      </c>
      <c r="F447" s="633"/>
      <c r="G447" s="21">
        <f t="shared" si="76"/>
        <v>0</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0.05</v>
      </c>
      <c r="F448" s="633"/>
      <c r="G448" s="21">
        <f t="shared" si="76"/>
        <v>0</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0.05</v>
      </c>
      <c r="F449" s="633"/>
      <c r="G449" s="21">
        <f t="shared" si="76"/>
        <v>0</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0.05</v>
      </c>
      <c r="F450" s="633"/>
      <c r="G450" s="21">
        <f t="shared" si="76"/>
        <v>0</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0.05</v>
      </c>
      <c r="F451" s="633"/>
      <c r="G451" s="21">
        <f t="shared" si="76"/>
        <v>0</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0.05</v>
      </c>
      <c r="F452" s="633"/>
      <c r="G452" s="21">
        <f t="shared" si="76"/>
        <v>0</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0.05</v>
      </c>
      <c r="F453" s="633"/>
      <c r="G453" s="21">
        <f t="shared" si="76"/>
        <v>0</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0.05</v>
      </c>
      <c r="F454" s="633"/>
      <c r="G454" s="21">
        <f t="shared" si="76"/>
        <v>0</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0.05</v>
      </c>
      <c r="F455" s="633"/>
      <c r="G455" s="21">
        <f t="shared" si="76"/>
        <v>0</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0.05</v>
      </c>
      <c r="F456" s="633"/>
      <c r="G456" s="21">
        <f t="shared" si="76"/>
        <v>0</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0.05</v>
      </c>
      <c r="F457" s="633"/>
      <c r="G457" s="21">
        <f t="shared" si="76"/>
        <v>0</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0.05</v>
      </c>
      <c r="F458" s="633"/>
      <c r="G458" s="21">
        <f t="shared" si="76"/>
        <v>0</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0.05</v>
      </c>
      <c r="F459" s="633"/>
      <c r="G459" s="21">
        <f t="shared" si="76"/>
        <v>0</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0.05</v>
      </c>
      <c r="F460" s="633"/>
      <c r="G460" s="21">
        <f t="shared" si="76"/>
        <v>0</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0.05</v>
      </c>
      <c r="F461" s="633"/>
      <c r="G461" s="21">
        <f t="shared" si="76"/>
        <v>0</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0.05</v>
      </c>
      <c r="F462" s="633"/>
      <c r="G462" s="21">
        <f t="shared" si="76"/>
        <v>0</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0.05</v>
      </c>
      <c r="F463" s="633"/>
      <c r="G463" s="21">
        <f t="shared" si="76"/>
        <v>0</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0.05</v>
      </c>
      <c r="F464" s="633"/>
      <c r="G464" s="21">
        <f t="shared" si="76"/>
        <v>0</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0.05</v>
      </c>
      <c r="F465" s="633"/>
      <c r="G465" s="21">
        <f t="shared" si="76"/>
        <v>0</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0.05</v>
      </c>
      <c r="F466" s="633"/>
      <c r="G466" s="21">
        <f t="shared" si="76"/>
        <v>0</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0.05</v>
      </c>
      <c r="F467" s="633"/>
      <c r="G467" s="21">
        <f t="shared" si="76"/>
        <v>0</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0.05</v>
      </c>
      <c r="F468" s="633"/>
      <c r="G468" s="21">
        <f t="shared" si="76"/>
        <v>0</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0.05</v>
      </c>
      <c r="F469" s="633"/>
      <c r="G469" s="21">
        <f t="shared" si="76"/>
        <v>0</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0.05</v>
      </c>
      <c r="F470" s="633"/>
      <c r="G470" s="21">
        <f t="shared" si="76"/>
        <v>0</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0.05</v>
      </c>
      <c r="F471" s="633"/>
      <c r="G471" s="21">
        <f t="shared" si="76"/>
        <v>0</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0.05</v>
      </c>
      <c r="F472" s="633"/>
      <c r="G472" s="21">
        <f t="shared" si="76"/>
        <v>0</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0.05</v>
      </c>
      <c r="F473" s="633"/>
      <c r="G473" s="21">
        <f t="shared" si="76"/>
        <v>0</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0.05</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0.05</v>
      </c>
      <c r="F475" s="633"/>
      <c r="G475" s="21">
        <f t="shared" si="87"/>
        <v>0</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0.05</v>
      </c>
      <c r="F476" s="633"/>
      <c r="G476" s="21">
        <f t="shared" si="87"/>
        <v>0</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0.05</v>
      </c>
      <c r="F477" s="633"/>
      <c r="G477" s="21">
        <f t="shared" si="87"/>
        <v>0</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0.05</v>
      </c>
      <c r="F478" s="633"/>
      <c r="G478" s="21">
        <f t="shared" si="87"/>
        <v>0</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0.05</v>
      </c>
      <c r="F479" s="633"/>
      <c r="G479" s="21">
        <f t="shared" si="87"/>
        <v>0</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0.05</v>
      </c>
      <c r="F480" s="633"/>
      <c r="G480" s="21">
        <f t="shared" si="87"/>
        <v>0</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0.05</v>
      </c>
      <c r="F481" s="633"/>
      <c r="G481" s="21">
        <f t="shared" si="87"/>
        <v>0</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0.05</v>
      </c>
      <c r="F482" s="633"/>
      <c r="G482" s="21">
        <f t="shared" si="87"/>
        <v>0</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0.05</v>
      </c>
      <c r="F483" s="633"/>
      <c r="G483" s="21">
        <f t="shared" si="87"/>
        <v>0</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0.05</v>
      </c>
      <c r="F484" s="633"/>
      <c r="G484" s="21">
        <f t="shared" si="87"/>
        <v>0</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0.05</v>
      </c>
      <c r="F485" s="633"/>
      <c r="G485" s="21">
        <f t="shared" si="87"/>
        <v>0</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0.05</v>
      </c>
      <c r="F486" s="633"/>
      <c r="G486" s="21">
        <f t="shared" si="87"/>
        <v>0</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0.05</v>
      </c>
      <c r="F487" s="633"/>
      <c r="G487" s="21">
        <f t="shared" si="87"/>
        <v>0</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0.05</v>
      </c>
      <c r="F488" s="633"/>
      <c r="G488" s="21">
        <f t="shared" si="87"/>
        <v>0</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0.05</v>
      </c>
      <c r="F489" s="633"/>
      <c r="G489" s="21">
        <f t="shared" si="87"/>
        <v>0</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0.05</v>
      </c>
      <c r="F490" s="633"/>
      <c r="G490" s="21">
        <f t="shared" si="87"/>
        <v>0</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0.05</v>
      </c>
      <c r="F491" s="633"/>
      <c r="G491" s="21">
        <f t="shared" si="87"/>
        <v>0</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0.05</v>
      </c>
      <c r="F492" s="633"/>
      <c r="G492" s="21">
        <f t="shared" si="87"/>
        <v>0</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0.05</v>
      </c>
      <c r="F493" s="633"/>
      <c r="G493" s="21">
        <f t="shared" si="87"/>
        <v>0</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0.05</v>
      </c>
      <c r="F494" s="633"/>
      <c r="G494" s="21">
        <f t="shared" si="87"/>
        <v>0</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0.05</v>
      </c>
      <c r="F495" s="633"/>
      <c r="G495" s="21">
        <f t="shared" si="87"/>
        <v>0</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0.05</v>
      </c>
      <c r="F496" s="633"/>
      <c r="G496" s="21">
        <f t="shared" si="87"/>
        <v>0</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0.05</v>
      </c>
      <c r="F497" s="633"/>
      <c r="G497" s="21">
        <f t="shared" si="87"/>
        <v>0</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0.05</v>
      </c>
      <c r="F498" s="633"/>
      <c r="G498" s="21">
        <f t="shared" si="87"/>
        <v>0</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0.05</v>
      </c>
      <c r="F499" s="633"/>
      <c r="G499" s="21">
        <f t="shared" si="87"/>
        <v>0</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0.05</v>
      </c>
      <c r="F500" s="633"/>
      <c r="G500" s="21">
        <f t="shared" si="87"/>
        <v>0</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0.05</v>
      </c>
      <c r="F501" s="633"/>
      <c r="G501" s="21">
        <f t="shared" si="87"/>
        <v>0</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0.05</v>
      </c>
      <c r="F502" s="633"/>
      <c r="G502" s="21">
        <f t="shared" si="87"/>
        <v>0</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0.05</v>
      </c>
      <c r="F503" s="633"/>
      <c r="G503" s="21">
        <f t="shared" si="87"/>
        <v>0</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0.05</v>
      </c>
      <c r="F504" s="633"/>
      <c r="G504" s="21">
        <f t="shared" si="87"/>
        <v>0</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0.05</v>
      </c>
      <c r="F505" s="633"/>
      <c r="G505" s="21">
        <f t="shared" si="87"/>
        <v>0</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0.05</v>
      </c>
      <c r="F506" s="633"/>
      <c r="G506" s="21">
        <f t="shared" si="87"/>
        <v>0</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0.05</v>
      </c>
      <c r="F507" s="633"/>
      <c r="G507" s="21">
        <f t="shared" si="87"/>
        <v>0</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0.05</v>
      </c>
      <c r="F508" s="633"/>
      <c r="G508" s="21">
        <f t="shared" si="87"/>
        <v>0</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0.05</v>
      </c>
      <c r="F509" s="633"/>
      <c r="G509" s="21">
        <f t="shared" si="87"/>
        <v>0</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0.05</v>
      </c>
      <c r="F510" s="633"/>
      <c r="G510" s="21">
        <f t="shared" si="87"/>
        <v>0</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0.05</v>
      </c>
      <c r="F511" s="633"/>
      <c r="G511" s="21">
        <f t="shared" si="87"/>
        <v>0</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0.05</v>
      </c>
      <c r="F512" s="633"/>
      <c r="G512" s="21">
        <f t="shared" si="87"/>
        <v>0</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0.05</v>
      </c>
      <c r="F513" s="633"/>
      <c r="G513" s="21">
        <f t="shared" si="87"/>
        <v>0</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0.05</v>
      </c>
      <c r="F514" s="633"/>
      <c r="G514" s="21">
        <f t="shared" si="87"/>
        <v>0</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0.05</v>
      </c>
      <c r="F515" s="633"/>
      <c r="G515" s="21">
        <f t="shared" si="87"/>
        <v>0</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0.05</v>
      </c>
      <c r="F516" s="633"/>
      <c r="G516" s="21">
        <f t="shared" si="87"/>
        <v>0</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0.05</v>
      </c>
      <c r="F517" s="633"/>
      <c r="G517" s="21">
        <f t="shared" si="87"/>
        <v>0</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0.05</v>
      </c>
      <c r="F518" s="633"/>
      <c r="G518" s="21">
        <f t="shared" si="87"/>
        <v>0</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0.05</v>
      </c>
      <c r="F519" s="633"/>
      <c r="G519" s="21">
        <f t="shared" si="87"/>
        <v>0</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0.05</v>
      </c>
      <c r="F520" s="633"/>
      <c r="G520" s="21">
        <f t="shared" si="87"/>
        <v>0</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0.05</v>
      </c>
      <c r="F521" s="633"/>
      <c r="G521" s="21">
        <f t="shared" si="87"/>
        <v>0</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0.05</v>
      </c>
      <c r="F522" s="633"/>
      <c r="G522" s="21">
        <f t="shared" si="87"/>
        <v>0</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0.05</v>
      </c>
      <c r="F523" s="633"/>
      <c r="G523" s="21">
        <f t="shared" si="87"/>
        <v>0</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0.05</v>
      </c>
      <c r="F524" s="633"/>
      <c r="G524" s="21">
        <f t="shared" si="87"/>
        <v>0</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7" zoomScaleNormal="80" zoomScaleSheetLayoutView="100" workbookViewId="0">
      <selection activeCell="C62" sqref="C6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681.29</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240</v>
      </c>
      <c r="C2" s="1845"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Ⅸ-兴1</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7412</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3523</v>
      </c>
      <c r="C3" s="1845" t="s">
        <v>1941</v>
      </c>
      <c r="D3" s="162" t="s">
        <v>1942</v>
      </c>
      <c r="E3" s="3117" t="s">
        <v>3406</v>
      </c>
      <c r="F3" s="1847" t="s">
        <v>3509</v>
      </c>
      <c r="G3" s="706">
        <f>IF(F3="宗地容积率",'数据-汇总表'!I4,IF(F3="估价对象容积率",'数据-汇总表'!I6,'数据-汇总表'!I7))</f>
        <v>2</v>
      </c>
      <c r="H3" s="162"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2">
        <f>ROUND(SUMPRODUCT((B106:B110=R3)*(C105:N105=G2)*(C106:N110)),4)</f>
        <v>1.1883999999999999</v>
      </c>
      <c r="T3" s="3062">
        <f t="shared" si="0"/>
        <v>5713</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385"/>
      <c r="B4" s="3386"/>
      <c r="C4" s="3386"/>
      <c r="D4" s="3387"/>
      <c r="E4" s="3387"/>
      <c r="F4" s="3387"/>
      <c r="G4" s="3387"/>
      <c r="H4" s="3387"/>
      <c r="I4" s="3387"/>
      <c r="J4" s="3388"/>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2">
        <f>ROUND(SUMPRODUCT((B106:B110=R4)*(C105:N105=G2)*(C106:N110)),4)</f>
        <v>0.96940000000000004</v>
      </c>
      <c r="T4" s="3062">
        <f t="shared" si="0"/>
        <v>4660</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f>ROUND(IF(E2="商业",C6*C7*C17+C20,(IF(E2="住宅",C6*C13*C17+C20,IF(E2="办公",C6*C12*C17+C20,C6+C20)))),0)</f>
        <v>5395</v>
      </c>
      <c r="D5" s="1251">
        <f>ROUND(C6*C17+C20,0)</f>
        <v>5395</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2">
        <f>ROUND(SUMPRODUCT((B106:B110=R5)*(C105:N105=G2)*(C106:N110)),4)</f>
        <v>0.82299999999999995</v>
      </c>
      <c r="T5" s="3062">
        <f t="shared" si="0"/>
        <v>3956</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5380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2">
        <f>ROUND(SUMPRODUCT((B106:B110=R6)*(C105:N105=G2)*(C106:N110)),4)</f>
        <v>0.74980000000000002</v>
      </c>
      <c r="T6" s="3062">
        <f t="shared" si="0"/>
        <v>3604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3234</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0</v>
      </c>
      <c r="N7" s="811">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九级</v>
      </c>
      <c r="Y7" s="1130" t="s">
        <v>1956</v>
      </c>
      <c r="Z7" s="1131">
        <f>G3</f>
        <v>2</v>
      </c>
      <c r="AA7" s="1132"/>
      <c r="AB7" s="1132"/>
      <c r="AC7" s="1133"/>
      <c r="AD7" s="1134"/>
      <c r="AE7" s="1134"/>
      <c r="AF7" s="1134"/>
      <c r="AG7" s="1134"/>
      <c r="AH7" s="1134"/>
      <c r="AI7" s="1134"/>
      <c r="AJ7" s="1135"/>
    </row>
    <row r="8" spans="1:36" ht="25.5">
      <c r="A8" s="3008"/>
      <c r="B8" s="162" t="s">
        <v>1957</v>
      </c>
      <c r="C8" s="1869" t="s">
        <v>3510</v>
      </c>
      <c r="D8" s="710" t="s">
        <v>112</v>
      </c>
      <c r="E8" s="711" t="e">
        <f>ROUND(C11/E7,4)</f>
        <v>#DIV/0!</v>
      </c>
      <c r="F8" s="1870" t="s">
        <v>1958</v>
      </c>
      <c r="G8" s="1871"/>
      <c r="H8" s="1871"/>
      <c r="I8" s="1871"/>
      <c r="J8" s="1872"/>
      <c r="K8" s="1055"/>
      <c r="L8" s="1846" t="s">
        <v>1959</v>
      </c>
      <c r="M8" s="809">
        <f>SUMPRODUCT((区片价!B234:B276=I2)*(区片价!C3:G3=E2)*(区片价!C234:G276))</f>
        <v>0</v>
      </c>
      <c r="N8" s="811">
        <f>SUMPRODUCT((因素修正幅度!B234:B276=I2)*(因素修正幅度!C3:G3=E2)*(因素修正幅度!C234:G276))</f>
        <v>0</v>
      </c>
      <c r="O8" s="1055"/>
      <c r="P8" s="1055"/>
      <c r="Q8" s="1055"/>
      <c r="R8" s="1128">
        <v>7</v>
      </c>
      <c r="S8" s="1129"/>
      <c r="T8" s="3062">
        <f t="shared" si="0"/>
        <v>0</v>
      </c>
      <c r="U8" s="1129"/>
      <c r="V8" s="3062">
        <f t="shared" si="1"/>
        <v>0</v>
      </c>
      <c r="W8" s="3382" t="s">
        <v>1960</v>
      </c>
      <c r="X8" s="33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2">
        <f>SUMIF(修正!C73:C140,C8,修正!E73:E140)</f>
        <v>0</v>
      </c>
      <c r="D9" s="163" t="s">
        <v>113</v>
      </c>
      <c r="E9" s="163" t="e">
        <f>ROUND(C11/E7,4)</f>
        <v>#DIV/0!</v>
      </c>
      <c r="F9" s="1870" t="s">
        <v>1974</v>
      </c>
      <c r="G9" s="1871"/>
      <c r="H9" s="1871"/>
      <c r="I9" s="1871"/>
      <c r="J9" s="1872"/>
      <c r="K9" s="1055"/>
      <c r="L9" s="1846" t="s">
        <v>1975</v>
      </c>
      <c r="M9" s="809">
        <f>SUMPRODUCT((区片价!B277:B326=I2)*(区片价!C3:G3=E2)*(区片价!C277:G326))</f>
        <v>5380</v>
      </c>
      <c r="N9" s="811">
        <f>SUMPRODUCT((因素修正幅度!B277:B326=I2)*(因素修正幅度!C3:G3=E2)*(因素修正幅度!C277:G326))</f>
        <v>0.15</v>
      </c>
      <c r="O9" s="1055"/>
      <c r="P9" s="1055"/>
      <c r="Q9" s="1055"/>
      <c r="R9" s="1128">
        <v>8</v>
      </c>
      <c r="S9" s="1129"/>
      <c r="T9" s="3062">
        <f t="shared" si="0"/>
        <v>0</v>
      </c>
      <c r="U9" s="1129"/>
      <c r="V9" s="3062">
        <f t="shared" si="1"/>
        <v>0</v>
      </c>
      <c r="W9" s="3384"/>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2">
        <f t="shared" si="0"/>
        <v>0</v>
      </c>
      <c r="U10" s="1129"/>
      <c r="V10" s="3062">
        <f t="shared" si="1"/>
        <v>0</v>
      </c>
      <c r="W10" s="33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3235</v>
      </c>
      <c r="B12" s="3012" t="s">
        <v>3236</v>
      </c>
      <c r="C12" s="3013">
        <v>1</v>
      </c>
      <c r="D12" s="3014" t="s">
        <v>3237</v>
      </c>
      <c r="E12" s="3015" t="s">
        <v>3238</v>
      </c>
      <c r="F12" s="3016"/>
      <c r="G12" s="3017"/>
      <c r="H12" s="3017"/>
      <c r="I12" s="3017"/>
      <c r="J12" s="3018"/>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3239</v>
      </c>
      <c r="B13" s="1877" t="s">
        <v>1982</v>
      </c>
      <c r="C13" s="709">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3240</v>
      </c>
      <c r="G14" s="3019" t="s">
        <v>3240</v>
      </c>
      <c r="H14" s="3019" t="s">
        <v>3240</v>
      </c>
      <c r="I14" s="3019" t="s">
        <v>3240</v>
      </c>
      <c r="J14" s="3019" t="s">
        <v>3240</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3241</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3242</v>
      </c>
      <c r="B17" s="3026" t="s">
        <v>3243</v>
      </c>
      <c r="C17" s="3035">
        <f>ROUND(IF(OR(E2="工业",E2="公共服务"),1,IF(AND(E18=0,E19=0),1,IF(AND(E18=J24,E19=G19),0.8,IF(E19=0,1+E17*(-0.2),1+E17*G17*(-0.2))))),4)</f>
        <v>1</v>
      </c>
      <c r="D17" s="3027" t="s">
        <v>3244</v>
      </c>
      <c r="E17" s="3035">
        <f>ROUND(G18/I18,2)</f>
        <v>0</v>
      </c>
      <c r="F17" s="3027" t="s">
        <v>3247</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3245</v>
      </c>
      <c r="E18" s="2356"/>
      <c r="F18" s="3029" t="s">
        <v>3248</v>
      </c>
      <c r="G18" s="3033">
        <f>ROUND(1-(1/(POWER(1+G24,E18))),4)</f>
        <v>0</v>
      </c>
      <c r="H18" s="3029" t="s">
        <v>3250</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3246</v>
      </c>
      <c r="E19" s="3042"/>
      <c r="F19" s="3043" t="s">
        <v>3249</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389" t="s">
        <v>3251</v>
      </c>
      <c r="B20" s="159" t="s">
        <v>1994</v>
      </c>
      <c r="C20" s="3030">
        <f>ROUND(IF(F21="与级别开发程度一致",0,(G21-E21)/C21),0)</f>
        <v>15</v>
      </c>
      <c r="D20" s="3045" t="s">
        <v>1998</v>
      </c>
      <c r="E20" s="3046"/>
      <c r="F20" s="3395" t="s">
        <v>1995</v>
      </c>
      <c r="G20" s="3396"/>
      <c r="H20" s="3031" t="s">
        <v>3512</v>
      </c>
      <c r="I20" s="3031" t="s">
        <v>3513</v>
      </c>
      <c r="J20" s="3032" t="s">
        <v>3514</v>
      </c>
      <c r="K20" s="1888" t="s">
        <v>3515</v>
      </c>
      <c r="L20" s="1888" t="s">
        <v>3516</v>
      </c>
      <c r="M20" s="1888" t="s">
        <v>3517</v>
      </c>
      <c r="N20" s="1888" t="s">
        <v>3518</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90"/>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3511</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5" t="s">
        <v>2002</v>
      </c>
      <c r="E23" s="715">
        <v>44197</v>
      </c>
      <c r="F23" s="1895" t="s">
        <v>2003</v>
      </c>
      <c r="G23" s="716">
        <f>'数据-取费表'!B2</f>
        <v>45968</v>
      </c>
      <c r="H23" s="3047" t="s">
        <v>3519</v>
      </c>
      <c r="I23" s="3048" t="str">
        <f>IF(H23="季度增幅（自定义）",SUMIF(N25:N28,E2,O25:O28),"")</f>
        <v/>
      </c>
      <c r="J23" s="3140" t="s">
        <v>3520</v>
      </c>
      <c r="K23" s="1060"/>
      <c r="L23" s="1896" t="s">
        <v>2004</v>
      </c>
      <c r="M23" s="1240">
        <f>ROUND(SUMIF(地价!B2:G2,E2,地价!B16:G16),0)</f>
        <v>350</v>
      </c>
      <c r="N23" s="1897" t="s">
        <v>2005</v>
      </c>
      <c r="O23" s="717">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f>ROUND(POWER(1+G24,J24-I24)*(POWER(1+G24,I24)-1)/(POWER(1+G24,J24)-1),4)</f>
        <v>0.9133</v>
      </c>
      <c r="D24" s="1901" t="s">
        <v>2007</v>
      </c>
      <c r="E24" s="1247">
        <f>存贷款利率!E28/100</f>
        <v>4.3499999999999997E-2</v>
      </c>
      <c r="F24" s="1901" t="s">
        <v>1999</v>
      </c>
      <c r="G24" s="722">
        <f>SUMIF(M30:Q30,E2,M33:Q33)</f>
        <v>5.5E-2</v>
      </c>
      <c r="H24" s="1901" t="s">
        <v>2008</v>
      </c>
      <c r="I24" s="723">
        <f>SUMIF('数据-取费表'!C6:C15,E2,'数据-取费表'!F6:F15)/COUNTIF('数据-取费表'!C6:C15,E2)</f>
        <v>35.5</v>
      </c>
      <c r="J24" s="724">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3330</v>
      </c>
      <c r="C25" s="461">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6">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0.99319999999999997</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240</v>
      </c>
      <c r="D30" s="1924"/>
      <c r="E30" s="1841"/>
      <c r="F30" s="1925"/>
      <c r="G30" s="1841"/>
      <c r="H30" s="1841"/>
      <c r="I30" s="1841"/>
      <c r="J30" s="1926"/>
      <c r="K30" s="1055"/>
      <c r="L30" s="3054" t="s">
        <v>1936</v>
      </c>
      <c r="M30" s="3055" t="s">
        <v>1990</v>
      </c>
      <c r="N30" s="3055" t="s">
        <v>1991</v>
      </c>
      <c r="O30" s="3055" t="s">
        <v>1992</v>
      </c>
      <c r="P30" s="3055" t="s">
        <v>1993</v>
      </c>
      <c r="Q30" s="3058"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f>E34+SUM(I37:I42)</f>
        <v>5</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4807</v>
      </c>
      <c r="D33" s="1939">
        <f>'数据-汇总表'!F19</f>
        <v>454.18999999999994</v>
      </c>
      <c r="E33" s="725">
        <f>ROUND(C33*D33/10000,0)</f>
        <v>218</v>
      </c>
      <c r="F33" s="3049" t="s">
        <v>3255</v>
      </c>
      <c r="G33" s="1940"/>
      <c r="H33" s="1940"/>
      <c r="I33" s="1940"/>
      <c r="J33" s="1941"/>
      <c r="K33" s="1055"/>
      <c r="L33" s="3052" t="s">
        <v>3258</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1202</v>
      </c>
      <c r="D34" s="1944"/>
      <c r="E34" s="725">
        <f>ROUND(IF(B25="楼层修正",SUM(V2:V16)*M40,C34*D34/10000),0)</f>
        <v>0</v>
      </c>
      <c r="F34" s="1945" t="s">
        <v>2032</v>
      </c>
      <c r="G34" s="1946"/>
      <c r="H34" s="1946"/>
      <c r="I34" s="1946"/>
      <c r="J34" s="1947"/>
      <c r="K34" s="1055"/>
      <c r="L34" s="3052" t="s">
        <v>3259</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3"/>
      <c r="B37" s="1954" t="s">
        <v>2036</v>
      </c>
      <c r="C37" s="167">
        <f>ROUND(D5*C22*C23*C24*C28*F37,0)</f>
        <v>2404</v>
      </c>
      <c r="D37" s="1939"/>
      <c r="E37" s="163">
        <f>ROUND(C37*D37/10000,0)</f>
        <v>0</v>
      </c>
      <c r="F37" s="163">
        <f>SUMIF(修正!A59:A70,G2,修正!B59:B70)</f>
        <v>0.5</v>
      </c>
      <c r="G37" s="163">
        <f>ROUND(IF(E2="工业",C37*$M$42,C37*$M$41),0)</f>
        <v>601</v>
      </c>
      <c r="H37" s="163">
        <f>D37</f>
        <v>0</v>
      </c>
      <c r="I37" s="163">
        <f>ROUND(G37*H37/10000,0)</f>
        <v>0</v>
      </c>
      <c r="J37" s="2753"/>
      <c r="K37" s="3060" t="s">
        <v>3261</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4"/>
      <c r="B38" s="1883" t="s">
        <v>2037</v>
      </c>
      <c r="C38" s="167">
        <f>ROUND(D5*C22*C23*C24*C28*F38,0)</f>
        <v>961</v>
      </c>
      <c r="D38" s="1939"/>
      <c r="E38" s="163">
        <f t="shared" ref="E38:E42" si="4">ROUND(C38*D38/10000,0)</f>
        <v>0</v>
      </c>
      <c r="F38" s="163">
        <f>SUMIF(修正!A59:A70,G2,修正!C59:C70)</f>
        <v>0.2</v>
      </c>
      <c r="G38" s="163">
        <f>ROUND(IF(E2="工业",C38*$M$42,C38*$M$41),0)</f>
        <v>240</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4"/>
      <c r="B39" s="1883" t="s">
        <v>3254</v>
      </c>
      <c r="C39" s="167">
        <f>ROUND(D5*C22*C23*C24*C28*F39,0)</f>
        <v>961</v>
      </c>
      <c r="D39" s="1939"/>
      <c r="E39" s="163">
        <f t="shared" si="4"/>
        <v>0</v>
      </c>
      <c r="F39" s="163">
        <f>SUMIF(修正!A59:A70,G2,修正!D59:D70)</f>
        <v>0.2</v>
      </c>
      <c r="G39" s="163">
        <f>ROUND(IF(E2="工业",C39*$M$42,C39*$M$41),0)</f>
        <v>240</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961</v>
      </c>
      <c r="D40" s="1939">
        <f>'数据-汇总表'!G19</f>
        <v>227.1</v>
      </c>
      <c r="E40" s="163">
        <f t="shared" si="4"/>
        <v>22</v>
      </c>
      <c r="F40" s="167">
        <f>SUMIF(修正!A59:A70,G2,修正!E59:E70)</f>
        <v>0.2</v>
      </c>
      <c r="G40" s="163">
        <f>ROUND(IF(E2="工业",C40*$M$42,C40*$M$41),0)</f>
        <v>240</v>
      </c>
      <c r="H40" s="163">
        <f t="shared" si="5"/>
        <v>227.1</v>
      </c>
      <c r="I40" s="163">
        <f t="shared" si="6"/>
        <v>5</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961</v>
      </c>
      <c r="D41" s="1939"/>
      <c r="E41" s="163">
        <f t="shared" si="4"/>
        <v>0</v>
      </c>
      <c r="F41" s="167">
        <f>SUMIF(修正!A59:A70,G2,修正!F59:F70)</f>
        <v>0.2</v>
      </c>
      <c r="G41" s="163">
        <f>ROUND(IF(E2="工业",C41*$M$42,C41*$M$41),0)</f>
        <v>240</v>
      </c>
      <c r="H41" s="163">
        <f t="shared" si="5"/>
        <v>0</v>
      </c>
      <c r="I41" s="163">
        <f t="shared" si="6"/>
        <v>0</v>
      </c>
      <c r="J41" s="937"/>
      <c r="L41" s="3061"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481</v>
      </c>
      <c r="D42" s="1944"/>
      <c r="E42" s="179">
        <f t="shared" si="4"/>
        <v>0</v>
      </c>
      <c r="F42" s="721">
        <f>SUMIF(修正!A59:A70,G2,修正!G59:G70)</f>
        <v>0.1</v>
      </c>
      <c r="G42" s="179">
        <f>ROUND(IF(E2="工业",C42*$M$42,C42*$M$41),0)</f>
        <v>120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f>ROUND(POWER(1+E44,H44-G44)*(POWER(1+E44,G44)-1)/(POWER(1+E44,H44)-1),4)</f>
        <v>0.9133</v>
      </c>
      <c r="D44" s="163" t="s">
        <v>1999</v>
      </c>
      <c r="E44" s="1990">
        <f>G24</f>
        <v>5.5E-2</v>
      </c>
      <c r="F44" s="163" t="s">
        <v>2008</v>
      </c>
      <c r="G44" s="175">
        <f>项目基本情况!E15</f>
        <v>35.5</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699"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0">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1"/>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3264</v>
      </c>
      <c r="B52" s="1261">
        <f>估价对象房地状况!C19</f>
        <v>0</v>
      </c>
      <c r="C52" s="1886"/>
      <c r="D52" s="1001">
        <f t="shared" si="7"/>
        <v>0</v>
      </c>
      <c r="E52" s="701"/>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1"/>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1"/>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1"/>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1"/>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1"/>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2"/>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0.99319999999999997</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3440</v>
      </c>
      <c r="D61" s="1001">
        <f t="shared" ref="D61:D69" si="12">SUMIF($J$60:$N$60,C61,J61:N61)</f>
        <v>-1.8700000000000001E-2</v>
      </c>
      <c r="E61" s="700">
        <f>ROUND(SUM(D61:D69),4)</f>
        <v>-6.7999999999999996E-3</v>
      </c>
      <c r="F61" s="1674">
        <f>IF(E2="办公",SUMIF(L1:L12,G2,N1:N12),"——")</f>
        <v>0.15</v>
      </c>
      <c r="G61" s="999">
        <f>H61</f>
        <v>1.8700000000000001E-2</v>
      </c>
      <c r="H61" s="1002">
        <f t="shared" ref="H61:H69" si="13">IFERROR(ROUNDDOWN($F$61*I61/2,4),"——")</f>
        <v>1.8700000000000001E-2</v>
      </c>
      <c r="I61" s="3067">
        <v>0.25</v>
      </c>
      <c r="J61" s="1000">
        <f t="shared" ref="J61:J69" si="14">K61+$G61</f>
        <v>3.7400000000000003E-2</v>
      </c>
      <c r="K61" s="1000">
        <f t="shared" ref="K61:K69" si="15">$L61+$G61</f>
        <v>1.8700000000000001E-2</v>
      </c>
      <c r="L61" s="1000">
        <v>0</v>
      </c>
      <c r="M61" s="1000">
        <f t="shared" ref="M61:N69" si="16">L61-$G61</f>
        <v>-1.8700000000000001E-2</v>
      </c>
      <c r="N61" s="1000">
        <f t="shared" si="16"/>
        <v>-3.7400000000000003E-2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3439</v>
      </c>
      <c r="D62" s="1001">
        <f t="shared" si="12"/>
        <v>0</v>
      </c>
      <c r="E62" s="701"/>
      <c r="F62" s="1674"/>
      <c r="G62" s="999">
        <f t="shared" ref="G62:G69" si="17">H62</f>
        <v>1.95E-2</v>
      </c>
      <c r="H62" s="1002">
        <f t="shared" si="13"/>
        <v>1.95E-2</v>
      </c>
      <c r="I62" s="3067">
        <v>0.26</v>
      </c>
      <c r="J62" s="1000">
        <f t="shared" si="14"/>
        <v>3.9E-2</v>
      </c>
      <c r="K62" s="1000">
        <f t="shared" si="15"/>
        <v>1.95E-2</v>
      </c>
      <c r="L62" s="1000">
        <v>0</v>
      </c>
      <c r="M62" s="1000">
        <f t="shared" si="16"/>
        <v>-1.95E-2</v>
      </c>
      <c r="N62" s="1000">
        <f t="shared" si="16"/>
        <v>-3.9E-2</v>
      </c>
      <c r="AA62" s="1056"/>
      <c r="AB62" s="1056"/>
      <c r="AC62" s="1056"/>
      <c r="AD62" s="1056"/>
      <c r="AE62" s="1056"/>
      <c r="AF62" s="1056"/>
      <c r="AG62" s="1056"/>
      <c r="AH62" s="1056"/>
      <c r="AI62" s="1056"/>
      <c r="AJ62" s="1056"/>
      <c r="AK62" s="1056"/>
    </row>
    <row r="63" spans="1:37" s="1055" customFormat="1" ht="36">
      <c r="A63" s="3069" t="s">
        <v>3264</v>
      </c>
      <c r="B63" s="1261">
        <f>估价对象房地状况!C19</f>
        <v>0</v>
      </c>
      <c r="C63" s="1886" t="s">
        <v>3438</v>
      </c>
      <c r="D63" s="1001">
        <f t="shared" si="12"/>
        <v>8.2000000000000007E-3</v>
      </c>
      <c r="E63" s="701"/>
      <c r="F63" s="1674"/>
      <c r="G63" s="999">
        <f t="shared" si="17"/>
        <v>8.2000000000000007E-3</v>
      </c>
      <c r="H63" s="1002">
        <f t="shared" si="13"/>
        <v>8.2000000000000007E-3</v>
      </c>
      <c r="I63" s="3067">
        <v>0.11</v>
      </c>
      <c r="J63" s="1000">
        <f t="shared" si="14"/>
        <v>1.6400000000000001E-2</v>
      </c>
      <c r="K63" s="1000">
        <f t="shared" si="15"/>
        <v>8.2000000000000007E-3</v>
      </c>
      <c r="L63" s="1000">
        <v>0</v>
      </c>
      <c r="M63" s="1000">
        <f t="shared" si="16"/>
        <v>-8.2000000000000007E-3</v>
      </c>
      <c r="N63" s="1000">
        <f t="shared" si="16"/>
        <v>-1.6400000000000001E-2</v>
      </c>
      <c r="AA63" s="1056"/>
      <c r="AB63" s="1056"/>
      <c r="AC63" s="1056"/>
      <c r="AD63" s="1056"/>
      <c r="AE63" s="1056"/>
      <c r="AF63" s="1056"/>
      <c r="AG63" s="1056"/>
      <c r="AH63" s="1056"/>
      <c r="AI63" s="1056"/>
      <c r="AJ63" s="1056"/>
      <c r="AK63" s="1056"/>
    </row>
    <row r="64" spans="1:37" s="1055" customFormat="1" ht="36.75">
      <c r="A64" s="1969" t="s">
        <v>2054</v>
      </c>
      <c r="B64" s="1973" t="s">
        <v>3521</v>
      </c>
      <c r="C64" s="1886" t="s">
        <v>3438</v>
      </c>
      <c r="D64" s="1001">
        <f t="shared" si="12"/>
        <v>3.7000000000000002E-3</v>
      </c>
      <c r="E64" s="701"/>
      <c r="F64" s="1674"/>
      <c r="G64" s="999">
        <f t="shared" si="17"/>
        <v>3.7000000000000002E-3</v>
      </c>
      <c r="H64" s="1002">
        <f t="shared" si="13"/>
        <v>3.7000000000000002E-3</v>
      </c>
      <c r="I64" s="3067">
        <v>0.05</v>
      </c>
      <c r="J64" s="1000">
        <f t="shared" si="14"/>
        <v>7.4000000000000003E-3</v>
      </c>
      <c r="K64" s="1000">
        <f t="shared" si="15"/>
        <v>3.7000000000000002E-3</v>
      </c>
      <c r="L64" s="1000">
        <v>0</v>
      </c>
      <c r="M64" s="1000">
        <f t="shared" si="16"/>
        <v>-3.7000000000000002E-3</v>
      </c>
      <c r="N64" s="1000">
        <f t="shared" si="16"/>
        <v>-7.4000000000000003E-3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3439</v>
      </c>
      <c r="D65" s="1001">
        <f t="shared" si="12"/>
        <v>0</v>
      </c>
      <c r="E65" s="701"/>
      <c r="F65" s="1674"/>
      <c r="G65" s="999">
        <f t="shared" si="17"/>
        <v>3.7000000000000002E-3</v>
      </c>
      <c r="H65" s="1002">
        <f t="shared" si="13"/>
        <v>3.7000000000000002E-3</v>
      </c>
      <c r="I65" s="3067">
        <v>0.05</v>
      </c>
      <c r="J65" s="1000">
        <f t="shared" si="14"/>
        <v>7.4000000000000003E-3</v>
      </c>
      <c r="K65" s="1000">
        <f t="shared" si="15"/>
        <v>3.7000000000000002E-3</v>
      </c>
      <c r="L65" s="1000">
        <v>0</v>
      </c>
      <c r="M65" s="1000">
        <f t="shared" si="16"/>
        <v>-3.7000000000000002E-3</v>
      </c>
      <c r="N65" s="1000">
        <f t="shared" si="16"/>
        <v>-7.4000000000000003E-3</v>
      </c>
      <c r="AA65" s="1056"/>
      <c r="AB65" s="1056"/>
      <c r="AC65" s="1056"/>
      <c r="AD65" s="1056"/>
      <c r="AE65" s="1056"/>
      <c r="AF65" s="1056"/>
      <c r="AG65" s="1056"/>
      <c r="AH65" s="1056"/>
      <c r="AI65" s="1056"/>
      <c r="AJ65" s="1056"/>
      <c r="AK65" s="1056"/>
    </row>
    <row r="66" spans="1:37" s="1055" customFormat="1" ht="24">
      <c r="A66" s="1969" t="s">
        <v>2057</v>
      </c>
      <c r="B66" s="1974" t="s">
        <v>2058</v>
      </c>
      <c r="C66" s="1886" t="s">
        <v>3439</v>
      </c>
      <c r="D66" s="1001">
        <f t="shared" si="12"/>
        <v>0</v>
      </c>
      <c r="E66" s="701"/>
      <c r="F66" s="1674"/>
      <c r="G66" s="999">
        <f t="shared" si="17"/>
        <v>4.4999999999999997E-3</v>
      </c>
      <c r="H66" s="1002">
        <f t="shared" si="13"/>
        <v>4.4999999999999997E-3</v>
      </c>
      <c r="I66" s="3067">
        <v>0.06</v>
      </c>
      <c r="J66" s="1000">
        <f t="shared" si="14"/>
        <v>8.9999999999999993E-3</v>
      </c>
      <c r="K66" s="1000">
        <f t="shared" si="15"/>
        <v>4.4999999999999997E-3</v>
      </c>
      <c r="L66" s="1000">
        <v>0</v>
      </c>
      <c r="M66" s="1000">
        <f t="shared" si="16"/>
        <v>-4.4999999999999997E-3</v>
      </c>
      <c r="N66" s="1000">
        <f t="shared" si="16"/>
        <v>-8.9999999999999993E-3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3439</v>
      </c>
      <c r="D67" s="1001">
        <f t="shared" si="12"/>
        <v>0</v>
      </c>
      <c r="E67" s="701"/>
      <c r="F67" s="1674"/>
      <c r="G67" s="999">
        <f t="shared" si="17"/>
        <v>4.4999999999999997E-3</v>
      </c>
      <c r="H67" s="1002">
        <f t="shared" si="13"/>
        <v>4.4999999999999997E-3</v>
      </c>
      <c r="I67" s="3067">
        <v>0.06</v>
      </c>
      <c r="J67" s="1000">
        <f t="shared" si="14"/>
        <v>8.9999999999999993E-3</v>
      </c>
      <c r="K67" s="1000">
        <f t="shared" si="15"/>
        <v>4.4999999999999997E-3</v>
      </c>
      <c r="L67" s="1000">
        <v>0</v>
      </c>
      <c r="M67" s="1000">
        <f t="shared" si="16"/>
        <v>-4.4999999999999997E-3</v>
      </c>
      <c r="N67" s="1000">
        <f t="shared" si="16"/>
        <v>-8.9999999999999993E-3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3439</v>
      </c>
      <c r="D68" s="1001">
        <f t="shared" si="12"/>
        <v>0</v>
      </c>
      <c r="E68" s="701"/>
      <c r="F68" s="1674"/>
      <c r="G68" s="999">
        <f t="shared" si="17"/>
        <v>6.7000000000000002E-3</v>
      </c>
      <c r="H68" s="1002">
        <f t="shared" si="13"/>
        <v>6.7000000000000002E-3</v>
      </c>
      <c r="I68" s="3067">
        <v>0.09</v>
      </c>
      <c r="J68" s="1000">
        <f t="shared" si="14"/>
        <v>1.34E-2</v>
      </c>
      <c r="K68" s="1000">
        <f t="shared" si="15"/>
        <v>6.7000000000000002E-3</v>
      </c>
      <c r="L68" s="1000">
        <v>0</v>
      </c>
      <c r="M68" s="1000">
        <f t="shared" si="16"/>
        <v>-6.7000000000000002E-3</v>
      </c>
      <c r="N68" s="1000">
        <f t="shared" si="16"/>
        <v>-1.34E-2</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3439</v>
      </c>
      <c r="D69" s="1001">
        <f t="shared" si="12"/>
        <v>0</v>
      </c>
      <c r="E69" s="702"/>
      <c r="F69" s="1674"/>
      <c r="G69" s="999">
        <f t="shared" si="17"/>
        <v>5.1999999999999998E-3</v>
      </c>
      <c r="H69" s="1002">
        <f t="shared" si="13"/>
        <v>5.1999999999999998E-3</v>
      </c>
      <c r="I69" s="3068">
        <v>7.0000000000000007E-2</v>
      </c>
      <c r="J69" s="1000">
        <f t="shared" si="14"/>
        <v>1.04E-2</v>
      </c>
      <c r="K69" s="1000">
        <f t="shared" si="15"/>
        <v>5.1999999999999998E-3</v>
      </c>
      <c r="L69" s="1000">
        <v>0</v>
      </c>
      <c r="M69" s="1000">
        <f t="shared" si="16"/>
        <v>-5.1999999999999998E-3</v>
      </c>
      <c r="N69" s="1000">
        <f t="shared" si="16"/>
        <v>-1.04E-2</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0">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3"/>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3264</v>
      </c>
      <c r="B74" s="1261">
        <f>估价对象房地状况!C19</f>
        <v>0</v>
      </c>
      <c r="C74" s="1886"/>
      <c r="D74" s="1001">
        <f t="shared" si="18"/>
        <v>0</v>
      </c>
      <c r="E74" s="703"/>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3"/>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3"/>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3"/>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3"/>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3"/>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4"/>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0">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3"/>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3265</v>
      </c>
      <c r="B85" s="1261">
        <f>估价对象房地状况!G17</f>
        <v>0</v>
      </c>
      <c r="C85" s="1886"/>
      <c r="D85" s="1001">
        <f t="shared" si="23"/>
        <v>0</v>
      </c>
      <c r="E85" s="703"/>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3"/>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3"/>
      <c r="F87" s="1674"/>
      <c r="G87" s="999"/>
      <c r="H87" s="1002" t="str">
        <f t="shared" si="24"/>
        <v>——</v>
      </c>
      <c r="I87" s="3067">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3"/>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3"/>
      <c r="F89" s="1674"/>
      <c r="G89" s="999"/>
      <c r="H89" s="1002" t="str">
        <f t="shared" si="24"/>
        <v>——</v>
      </c>
      <c r="I89" s="3067">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4"/>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2609</v>
      </c>
      <c r="B91" s="3078">
        <f>1+E93</f>
        <v>1</v>
      </c>
      <c r="C91" s="3071"/>
      <c r="D91" s="3072"/>
      <c r="E91" s="1674"/>
      <c r="F91" s="1674"/>
      <c r="G91" s="3073"/>
      <c r="H91" s="3074"/>
      <c r="I91" s="3075"/>
      <c r="J91" s="3076"/>
      <c r="K91" s="3076"/>
      <c r="L91" s="3076"/>
      <c r="M91" s="3076"/>
      <c r="N91" s="3076"/>
    </row>
    <row r="92" spans="1:37" ht="24.75">
      <c r="A92" s="3079" t="s">
        <v>3266</v>
      </c>
      <c r="B92" s="2309"/>
      <c r="C92" s="2309" t="s">
        <v>3275</v>
      </c>
      <c r="D92" s="2309" t="s">
        <v>3276</v>
      </c>
      <c r="E92" s="3051" t="s">
        <v>3277</v>
      </c>
      <c r="F92" s="3081" t="s">
        <v>3278</v>
      </c>
      <c r="G92" s="2309" t="s">
        <v>3279</v>
      </c>
      <c r="H92" s="3088" t="s">
        <v>3282</v>
      </c>
      <c r="I92" s="2309" t="s">
        <v>3283</v>
      </c>
      <c r="J92" s="2149" t="s">
        <v>3284</v>
      </c>
      <c r="K92" s="2149" t="s">
        <v>3285</v>
      </c>
      <c r="L92" s="2149" t="s">
        <v>3286</v>
      </c>
      <c r="M92" s="2149" t="s">
        <v>3287</v>
      </c>
      <c r="N92" s="2149" t="s">
        <v>3288</v>
      </c>
    </row>
    <row r="93" spans="1:37" ht="24">
      <c r="A93" s="3069" t="s">
        <v>3267</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38.25">
      <c r="A94" s="3079" t="s">
        <v>3268</v>
      </c>
      <c r="B94" s="3070" t="str">
        <f>估价对象房地状况!C18</f>
        <v>估价对象周边道路状况、公共交通通达情况、停车便捷程度，综合评价交通便捷度较好</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3264</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3269</v>
      </c>
      <c r="B96" s="3085" t="s">
        <v>3280</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3270</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3271</v>
      </c>
      <c r="B98" s="3086" t="s">
        <v>3281</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5.5">
      <c r="A99" s="3079" t="s">
        <v>3272</v>
      </c>
      <c r="B99" s="3070" t="str">
        <f>估价对象房地状况!C21</f>
        <v>估价对象所在区域公共配套设施齐备情况</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5.5">
      <c r="A100" s="3079" t="s">
        <v>3273</v>
      </c>
      <c r="B100" s="3070" t="str">
        <f>估价对象房地状况!C22</f>
        <v>估价对象所在区域基础设施水平</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25" thickBot="1">
      <c r="A101" s="3080" t="s">
        <v>3274</v>
      </c>
      <c r="B101" s="3087" t="str">
        <f>估价对象房地状况!C20</f>
        <v>区域自然环境：；人文环境；综合评价环境状况一般</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391" t="s">
        <v>3289</v>
      </c>
      <c r="B103" s="3391"/>
      <c r="C103" s="3391"/>
      <c r="D103" s="3391"/>
      <c r="E103" s="3391"/>
      <c r="F103" s="3391"/>
      <c r="G103" s="3391"/>
      <c r="H103" s="3391"/>
      <c r="I103" s="3391"/>
      <c r="J103" s="3391"/>
      <c r="K103" s="1666"/>
      <c r="L103" s="1666"/>
      <c r="M103" s="1666"/>
      <c r="N103" s="1666"/>
    </row>
    <row r="104" spans="1:14">
      <c r="A104" s="3392" t="s">
        <v>3290</v>
      </c>
      <c r="B104" s="3392" t="s">
        <v>3291</v>
      </c>
      <c r="C104" s="3089" t="s">
        <v>3292</v>
      </c>
      <c r="D104" s="3090"/>
      <c r="E104" s="3090"/>
      <c r="F104" s="3090"/>
      <c r="G104" s="3090"/>
      <c r="H104" s="3090"/>
      <c r="I104" s="3090"/>
      <c r="J104" s="3091"/>
      <c r="K104" s="3092"/>
      <c r="L104" s="3092"/>
      <c r="M104" s="3092"/>
      <c r="N104" s="3092"/>
    </row>
    <row r="105" spans="1:14">
      <c r="A105" s="3392"/>
      <c r="B105" s="3392"/>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378"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9"/>
      <c r="B111" s="3093" t="s">
        <v>3263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80"/>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81" t="s">
        <v>3306</v>
      </c>
      <c r="B113" s="3381"/>
      <c r="C113" s="3381"/>
      <c r="D113" s="3381"/>
      <c r="E113" s="3381"/>
      <c r="F113" s="3381"/>
      <c r="G113" s="3381"/>
      <c r="H113" s="3381"/>
      <c r="I113" s="3381"/>
      <c r="J113" s="338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3307</v>
      </c>
      <c r="B116" s="3113">
        <f>G3</f>
        <v>2</v>
      </c>
      <c r="C116" s="3098" t="s">
        <v>3308</v>
      </c>
      <c r="D116" s="3099">
        <f>SUMPRODUCT((A118:A122=F116)*(B117:M117=H116)*B118:M122)</f>
        <v>0.80159999999999998</v>
      </c>
      <c r="E116" s="162" t="s">
        <v>3309</v>
      </c>
      <c r="F116" s="3100" t="str">
        <f>E2</f>
        <v>办公</v>
      </c>
      <c r="G116" s="162" t="s">
        <v>3310</v>
      </c>
      <c r="H116" s="3100" t="str">
        <f>G2</f>
        <v>九级</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6">I118</f>
        <v>0.81259999999999999</v>
      </c>
      <c r="K118" s="3088">
        <f t="shared" si="36"/>
        <v>0.81259999999999999</v>
      </c>
      <c r="L118" s="3088">
        <f t="shared" si="36"/>
        <v>0.81259999999999999</v>
      </c>
      <c r="M118" s="3108">
        <f t="shared" si="36"/>
        <v>0.81259999999999999</v>
      </c>
      <c r="N118" s="3096"/>
    </row>
    <row r="119" spans="1:14">
      <c r="A119" s="3056" t="s">
        <v>3324</v>
      </c>
      <c r="B119" s="3088">
        <f>ROUND(0.993-0.0112*B116,4)</f>
        <v>0.97060000000000002</v>
      </c>
      <c r="C119" s="3088">
        <f>B119</f>
        <v>0.97060000000000002</v>
      </c>
      <c r="D119" s="3088">
        <f>ROUND(0.9415-0.0142*B116,4)</f>
        <v>0.91310000000000002</v>
      </c>
      <c r="E119" s="3088">
        <f t="shared" ref="E119:H120" si="37">D119</f>
        <v>0.91310000000000002</v>
      </c>
      <c r="F119" s="3088">
        <f t="shared" si="37"/>
        <v>0.91310000000000002</v>
      </c>
      <c r="G119" s="3088">
        <f t="shared" si="37"/>
        <v>0.91310000000000002</v>
      </c>
      <c r="H119" s="3088">
        <f t="shared" si="37"/>
        <v>0.91310000000000002</v>
      </c>
      <c r="I119" s="3088">
        <f>ROUND(0.838-0.0182*B116,4)</f>
        <v>0.80159999999999998</v>
      </c>
      <c r="J119" s="3088">
        <f t="shared" si="36"/>
        <v>0.80159999999999998</v>
      </c>
      <c r="K119" s="3088">
        <f t="shared" si="36"/>
        <v>0.80159999999999998</v>
      </c>
      <c r="L119" s="3088">
        <f t="shared" si="36"/>
        <v>0.80159999999999998</v>
      </c>
      <c r="M119" s="3108">
        <f t="shared" si="36"/>
        <v>0.80159999999999998</v>
      </c>
      <c r="N119" s="3096"/>
    </row>
    <row r="120" spans="1:14">
      <c r="A120" s="3056" t="s">
        <v>3325</v>
      </c>
      <c r="B120" s="3088">
        <f>ROUND(0.9448-0.0115*B116,4)</f>
        <v>0.92179999999999995</v>
      </c>
      <c r="C120" s="3088">
        <f>B120</f>
        <v>0.92179999999999995</v>
      </c>
      <c r="D120" s="3088">
        <f>ROUND(0.937-0.0145*B116,4)</f>
        <v>0.90800000000000003</v>
      </c>
      <c r="E120" s="3088">
        <f t="shared" si="37"/>
        <v>0.90800000000000003</v>
      </c>
      <c r="F120" s="3088">
        <f t="shared" si="37"/>
        <v>0.90800000000000003</v>
      </c>
      <c r="G120" s="3088">
        <f t="shared" si="37"/>
        <v>0.90800000000000003</v>
      </c>
      <c r="H120" s="3088">
        <f t="shared" si="37"/>
        <v>0.90800000000000003</v>
      </c>
      <c r="I120" s="3088">
        <f>ROUND(0.7965-0.0185*B116,4)</f>
        <v>0.75949999999999995</v>
      </c>
      <c r="J120" s="3088">
        <f t="shared" si="36"/>
        <v>0.75949999999999995</v>
      </c>
      <c r="K120" s="3088">
        <f t="shared" si="36"/>
        <v>0.75949999999999995</v>
      </c>
      <c r="L120" s="3088">
        <f t="shared" si="36"/>
        <v>0.75949999999999995</v>
      </c>
      <c r="M120" s="3108">
        <f t="shared" si="36"/>
        <v>0.75949999999999995</v>
      </c>
      <c r="N120" s="3096"/>
    </row>
    <row r="121" spans="1:14" ht="13.5" thickBot="1">
      <c r="A121" s="3109" t="s">
        <v>3326</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6"/>
        <v>0.55249999999999999</v>
      </c>
      <c r="K121" s="3110">
        <f t="shared" si="36"/>
        <v>0.55249999999999999</v>
      </c>
      <c r="L121" s="3110">
        <f t="shared" si="36"/>
        <v>0.55249999999999999</v>
      </c>
      <c r="M121" s="3111">
        <f t="shared" si="36"/>
        <v>0.55249999999999999</v>
      </c>
      <c r="N121" s="3096"/>
    </row>
    <row r="122" spans="1:14">
      <c r="A122" s="3112" t="s">
        <v>2609</v>
      </c>
      <c r="B122" s="3088">
        <f>ROUND(0.9404-0.0106*B116,4)</f>
        <v>0.91920000000000002</v>
      </c>
      <c r="C122" s="3088">
        <f>B122</f>
        <v>0.91920000000000002</v>
      </c>
      <c r="D122" s="3088">
        <f>ROUND(0.8955-0.0135*B116,4)</f>
        <v>0.86850000000000005</v>
      </c>
      <c r="E122" s="3088">
        <f t="shared" ref="E122:H122" si="38">D122</f>
        <v>0.86850000000000005</v>
      </c>
      <c r="F122" s="3088">
        <f t="shared" si="38"/>
        <v>0.86850000000000005</v>
      </c>
      <c r="G122" s="3088">
        <f t="shared" si="38"/>
        <v>0.86850000000000005</v>
      </c>
      <c r="H122" s="3088">
        <f t="shared" si="38"/>
        <v>0.86850000000000005</v>
      </c>
      <c r="I122" s="3088">
        <f>ROUND(0.7632-0.0166*B116,4)</f>
        <v>0.73</v>
      </c>
      <c r="J122" s="3088">
        <f t="shared" si="36"/>
        <v>0.73</v>
      </c>
      <c r="K122" s="3088">
        <f t="shared" si="36"/>
        <v>0.73</v>
      </c>
      <c r="L122" s="3088">
        <f t="shared" si="36"/>
        <v>0.73</v>
      </c>
      <c r="M122" s="3108">
        <f t="shared" si="36"/>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70" zoomScaleSheetLayoutView="90" workbookViewId="0">
      <selection activeCell="F106" sqref="F10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3507</v>
      </c>
      <c r="E1" s="3130" t="s">
        <v>3459</v>
      </c>
      <c r="F1" s="1734" t="s">
        <v>3460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1184.8314</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17391</v>
      </c>
      <c r="C3" s="344" t="s">
        <v>1768</v>
      </c>
      <c r="D3" s="343">
        <f>IF(D1="",'数据-汇总表'!E3,SUMIF('数据-汇总表'!$C19:$C33,D1,'数据-汇总表'!$E19:$E33))</f>
        <v>681.29</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25" t="s">
        <v>1771</v>
      </c>
      <c r="S4" s="3426"/>
      <c r="T4" s="3425" t="s">
        <v>1772</v>
      </c>
      <c r="U4" s="3426"/>
      <c r="V4" s="3431" t="s">
        <v>1773</v>
      </c>
      <c r="W4" s="3431"/>
      <c r="X4" s="1808"/>
      <c r="Y4" s="3425" t="s">
        <v>1775</v>
      </c>
      <c r="Z4" s="3426"/>
      <c r="AA4" s="3442" t="s">
        <v>1771</v>
      </c>
      <c r="AB4" s="3442" t="s">
        <v>1772</v>
      </c>
      <c r="AC4" s="3412" t="s">
        <v>1773</v>
      </c>
    </row>
    <row r="5" spans="1:29" ht="15">
      <c r="A5" s="348"/>
      <c r="B5" s="349"/>
      <c r="C5" s="3434" t="s">
        <v>3538</v>
      </c>
      <c r="D5" s="3435"/>
      <c r="E5" s="3434" t="s">
        <v>3525</v>
      </c>
      <c r="F5" s="3435"/>
      <c r="G5" s="3434" t="s">
        <v>3525</v>
      </c>
      <c r="H5" s="3435"/>
      <c r="I5" s="3434" t="s">
        <v>3525</v>
      </c>
      <c r="J5" s="3435"/>
      <c r="K5" s="537"/>
      <c r="L5" s="2485"/>
      <c r="M5" s="2486"/>
      <c r="N5" s="2486"/>
      <c r="O5" s="2486"/>
      <c r="P5" s="3421"/>
      <c r="Q5" s="3422"/>
      <c r="R5" s="3427"/>
      <c r="S5" s="3428"/>
      <c r="T5" s="3427"/>
      <c r="U5" s="3428"/>
      <c r="V5" s="3399"/>
      <c r="W5" s="3399"/>
      <c r="X5" s="1264"/>
      <c r="Y5" s="3427"/>
      <c r="Z5" s="3428"/>
      <c r="AA5" s="3443"/>
      <c r="AB5" s="3443"/>
      <c r="AC5" s="341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23"/>
      <c r="Q6" s="3424"/>
      <c r="R6" s="3427"/>
      <c r="S6" s="3428"/>
      <c r="T6" s="3429"/>
      <c r="U6" s="3430"/>
      <c r="V6" s="3399"/>
      <c r="W6" s="3399"/>
      <c r="X6" s="1264"/>
      <c r="Y6" s="3429"/>
      <c r="Z6" s="3430"/>
      <c r="AA6" s="3444"/>
      <c r="AB6" s="3444"/>
      <c r="AC6" s="3414"/>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6"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800">
        <f>D7/J7</f>
        <v>1</v>
      </c>
    </row>
    <row r="8" spans="1:29" s="102" customFormat="1" ht="15.75" thickBot="1">
      <c r="A8" s="352" t="s">
        <v>1681</v>
      </c>
      <c r="B8" s="353"/>
      <c r="C8" s="358" t="s">
        <v>3427</v>
      </c>
      <c r="D8" s="355">
        <v>100</v>
      </c>
      <c r="E8" s="358" t="s">
        <v>3428</v>
      </c>
      <c r="F8" s="357">
        <f>SUMIF(62:62,E8,63:63)-SUMIF(62:62,C8,63:63)+100</f>
        <v>110</v>
      </c>
      <c r="G8" s="358" t="s">
        <v>3428</v>
      </c>
      <c r="H8" s="355">
        <f>SUMIF(62:62,G8,63:63)-SUMIF(62:62,C8,63:63)+100</f>
        <v>110</v>
      </c>
      <c r="I8" s="358" t="s">
        <v>3428</v>
      </c>
      <c r="J8" s="355">
        <f>SUMIF(62:62,I8,63:63)-SUMIF(62:62,C8,63:63)+100</f>
        <v>110</v>
      </c>
      <c r="K8" s="38"/>
      <c r="L8" s="2487"/>
      <c r="M8" s="2439"/>
      <c r="N8" s="2439"/>
      <c r="O8" s="2439"/>
      <c r="P8" s="3436" t="s">
        <v>1683</v>
      </c>
      <c r="Q8" s="3437"/>
      <c r="R8" s="662" t="s">
        <v>14</v>
      </c>
      <c r="S8" s="663">
        <f t="shared" si="0"/>
        <v>110</v>
      </c>
      <c r="T8" s="662" t="s">
        <v>14</v>
      </c>
      <c r="U8" s="663">
        <f t="shared" si="1"/>
        <v>110</v>
      </c>
      <c r="V8" s="662" t="s">
        <v>14</v>
      </c>
      <c r="W8" s="663">
        <f t="shared" si="2"/>
        <v>110</v>
      </c>
      <c r="X8" s="664"/>
      <c r="Y8" s="3438" t="s">
        <v>1683</v>
      </c>
      <c r="Z8" s="3437"/>
      <c r="AA8" s="50">
        <f t="shared" ref="AA8:AA47" si="3">D8/F8</f>
        <v>0.90909090909090906</v>
      </c>
      <c r="AB8" s="50">
        <f t="shared" ref="AB8:AB47" si="4">D8/H8</f>
        <v>0.90909090909090906</v>
      </c>
      <c r="AC8" s="800">
        <f t="shared" ref="AC8:AC47" si="5">D8/J8</f>
        <v>0.90909090909090906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800">
        <f t="shared" si="5"/>
        <v>1</v>
      </c>
    </row>
    <row r="10" spans="1:29" s="366" customFormat="1" ht="27">
      <c r="A10" s="363"/>
      <c r="B10" s="364" t="s">
        <v>1688</v>
      </c>
      <c r="C10" s="3131" t="str">
        <f>D66</f>
        <v>40（含）-30</v>
      </c>
      <c r="D10" s="119">
        <v>100</v>
      </c>
      <c r="E10" s="3131" t="str">
        <f>D66</f>
        <v>40（含）-30</v>
      </c>
      <c r="F10" s="119">
        <f>SUMIF(66:66,E10,67:67)-SUMIF(66:66,C10,67:67)+100</f>
        <v>100</v>
      </c>
      <c r="G10" s="3132" t="str">
        <f>D66</f>
        <v>40（含）-30</v>
      </c>
      <c r="H10" s="119">
        <f>SUMIF(66:66,G10,67:67)-SUMIF(66:66,C10,67:67)+100</f>
        <v>100</v>
      </c>
      <c r="I10" s="3131" t="str">
        <f>D66</f>
        <v>40（含）-30</v>
      </c>
      <c r="J10" s="119">
        <f>SUMIF(66:66,I10,67:67)-SUMIF(66:66,C10,67:67)+100</f>
        <v>100</v>
      </c>
      <c r="K10" s="38"/>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03" t="s">
        <v>1691</v>
      </c>
      <c r="Q15" s="1262" t="str">
        <f t="shared" si="6"/>
        <v>办公集聚程度</v>
      </c>
      <c r="R15" s="665" t="s">
        <v>14</v>
      </c>
      <c r="S15" s="666">
        <f t="shared" si="0"/>
        <v>100</v>
      </c>
      <c r="T15" s="665" t="s">
        <v>14</v>
      </c>
      <c r="U15" s="666">
        <f t="shared" si="1"/>
        <v>100</v>
      </c>
      <c r="V15" s="665" t="s">
        <v>14</v>
      </c>
      <c r="W15" s="666">
        <f t="shared" si="2"/>
        <v>100</v>
      </c>
      <c r="X15" s="1264"/>
      <c r="Y15" s="3405" t="s">
        <v>1691</v>
      </c>
      <c r="Z15" s="1263" t="str">
        <f t="shared" si="7"/>
        <v>办公集聚程度</v>
      </c>
      <c r="AA15" s="1263">
        <f t="shared" si="3"/>
        <v>1</v>
      </c>
      <c r="AB15" s="1263">
        <f t="shared" si="4"/>
        <v>1</v>
      </c>
      <c r="AC15" s="1811">
        <f t="shared" si="5"/>
        <v>1</v>
      </c>
    </row>
    <row r="16" spans="1:29" ht="15">
      <c r="A16" s="367"/>
      <c r="B16" s="554"/>
      <c r="C16" s="1757" t="s">
        <v>3440</v>
      </c>
      <c r="D16" s="387"/>
      <c r="E16" s="1757" t="s">
        <v>3440</v>
      </c>
      <c r="F16" s="387"/>
      <c r="G16" s="1757" t="s">
        <v>3440</v>
      </c>
      <c r="H16" s="389"/>
      <c r="I16" s="1757" t="s">
        <v>3440</v>
      </c>
      <c r="J16" s="387"/>
      <c r="K16" s="541"/>
      <c r="L16" s="2491"/>
      <c r="M16" s="2486"/>
      <c r="N16" s="2486"/>
      <c r="O16" s="2486"/>
      <c r="P16" s="3404"/>
      <c r="Q16" s="1262"/>
      <c r="R16" s="665"/>
      <c r="S16" s="666"/>
      <c r="T16" s="665"/>
      <c r="U16" s="666"/>
      <c r="V16" s="665"/>
      <c r="W16" s="666"/>
      <c r="X16" s="1264"/>
      <c r="Y16" s="340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811">
        <f t="shared" si="5"/>
        <v>1</v>
      </c>
    </row>
    <row r="18" spans="1:29" ht="15">
      <c r="A18" s="367"/>
      <c r="B18" s="401"/>
      <c r="C18" s="1813" t="s">
        <v>3439</v>
      </c>
      <c r="D18" s="389"/>
      <c r="E18" s="1813" t="s">
        <v>3439</v>
      </c>
      <c r="F18" s="389"/>
      <c r="G18" s="1813" t="s">
        <v>3439</v>
      </c>
      <c r="H18" s="387"/>
      <c r="I18" s="1813" t="s">
        <v>3439</v>
      </c>
      <c r="J18" s="387"/>
      <c r="K18" s="541"/>
      <c r="L18" s="2491"/>
      <c r="M18" s="2486"/>
      <c r="N18" s="2486"/>
      <c r="O18" s="2486"/>
      <c r="P18" s="3404"/>
      <c r="Q18" s="1262"/>
      <c r="R18" s="665"/>
      <c r="S18" s="666"/>
      <c r="T18" s="665"/>
      <c r="U18" s="666"/>
      <c r="V18" s="665"/>
      <c r="W18" s="666"/>
      <c r="X18" s="1264"/>
      <c r="Y18" s="340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811">
        <f t="shared" si="5"/>
        <v>1</v>
      </c>
    </row>
    <row r="20" spans="1:29" ht="15">
      <c r="A20" s="367"/>
      <c r="B20" s="401"/>
      <c r="C20" s="1757" t="s">
        <v>3439</v>
      </c>
      <c r="D20" s="387"/>
      <c r="E20" s="1757" t="s">
        <v>3439</v>
      </c>
      <c r="F20" s="387"/>
      <c r="G20" s="1757" t="s">
        <v>3439</v>
      </c>
      <c r="H20" s="387"/>
      <c r="I20" s="1757" t="s">
        <v>3439</v>
      </c>
      <c r="J20" s="387"/>
      <c r="K20" s="541"/>
      <c r="L20" s="2491"/>
      <c r="M20" s="2486"/>
      <c r="N20" s="2486"/>
      <c r="O20" s="2486"/>
      <c r="P20" s="3404"/>
      <c r="Q20" s="1262"/>
      <c r="R20" s="665"/>
      <c r="S20" s="666"/>
      <c r="T20" s="665"/>
      <c r="U20" s="666"/>
      <c r="V20" s="665"/>
      <c r="W20" s="666"/>
      <c r="X20" s="1264"/>
      <c r="Y20" s="340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811">
        <f t="shared" ref="AC21" si="10">D21/J21</f>
        <v>1</v>
      </c>
    </row>
    <row r="22" spans="1:29" ht="15">
      <c r="A22" s="367"/>
      <c r="B22" s="556"/>
      <c r="C22" s="1813" t="s">
        <v>3526</v>
      </c>
      <c r="D22" s="387"/>
      <c r="E22" s="1813" t="s">
        <v>3526</v>
      </c>
      <c r="F22" s="387"/>
      <c r="G22" s="1813" t="s">
        <v>3526</v>
      </c>
      <c r="H22" s="387"/>
      <c r="I22" s="1813" t="s">
        <v>3526</v>
      </c>
      <c r="J22" s="387"/>
      <c r="K22" s="1063"/>
      <c r="L22" s="2491"/>
      <c r="M22" s="2486"/>
      <c r="N22" s="2486"/>
      <c r="O22" s="2486"/>
      <c r="P22" s="3404"/>
      <c r="Q22" s="1262"/>
      <c r="R22" s="665"/>
      <c r="S22" s="666"/>
      <c r="T22" s="665"/>
      <c r="U22" s="666"/>
      <c r="V22" s="665"/>
      <c r="W22" s="666"/>
      <c r="X22" s="1264"/>
      <c r="Y22" s="340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4"/>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811">
        <f t="shared" si="5"/>
        <v>1</v>
      </c>
    </row>
    <row r="24" spans="1:29" ht="15">
      <c r="A24" s="367"/>
      <c r="B24" s="556"/>
      <c r="C24" s="1757" t="s">
        <v>3439</v>
      </c>
      <c r="D24" s="387"/>
      <c r="E24" s="1757" t="s">
        <v>3439</v>
      </c>
      <c r="F24" s="387"/>
      <c r="G24" s="1757" t="s">
        <v>3439</v>
      </c>
      <c r="H24" s="387"/>
      <c r="I24" s="1757" t="s">
        <v>3439</v>
      </c>
      <c r="J24" s="387"/>
      <c r="K24" s="541"/>
      <c r="L24" s="2491"/>
      <c r="M24" s="2486"/>
      <c r="N24" s="2486"/>
      <c r="O24" s="2486"/>
      <c r="P24" s="3404"/>
      <c r="Q24" s="1262"/>
      <c r="R24" s="665"/>
      <c r="S24" s="666"/>
      <c r="T24" s="665"/>
      <c r="U24" s="666"/>
      <c r="V24" s="665"/>
      <c r="W24" s="666"/>
      <c r="X24" s="1264"/>
      <c r="Y24" s="340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4"/>
      <c r="Q25" s="1262" t="str">
        <f>B25</f>
        <v>毗邻道路的类型与等级</v>
      </c>
      <c r="R25" s="665" t="s">
        <v>14</v>
      </c>
      <c r="S25" s="666">
        <f>F25</f>
        <v>100</v>
      </c>
      <c r="T25" s="665" t="s">
        <v>14</v>
      </c>
      <c r="U25" s="666">
        <f>H25</f>
        <v>100</v>
      </c>
      <c r="V25" s="665" t="s">
        <v>14</v>
      </c>
      <c r="W25" s="666">
        <f>J25</f>
        <v>100</v>
      </c>
      <c r="X25" s="1264"/>
      <c r="Y25" s="340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04"/>
      <c r="Q26" s="1262"/>
      <c r="R26" s="665"/>
      <c r="S26" s="666"/>
      <c r="T26" s="665"/>
      <c r="U26" s="666"/>
      <c r="V26" s="665"/>
      <c r="W26" s="666"/>
      <c r="X26" s="1264"/>
      <c r="Y26" s="3406"/>
      <c r="Z26" s="1263"/>
      <c r="AA26" s="1263">
        <v>1</v>
      </c>
      <c r="AB26" s="1263">
        <v>1</v>
      </c>
      <c r="AC26" s="1811">
        <v>1</v>
      </c>
    </row>
    <row r="27" spans="1:29" ht="15">
      <c r="A27" s="367"/>
      <c r="B27" s="401" t="s">
        <v>1783</v>
      </c>
      <c r="C27" s="557"/>
      <c r="D27" s="374">
        <v>100</v>
      </c>
      <c r="E27" s="557"/>
      <c r="F27" s="374">
        <f>SUMIF(89:89,E27,90:90)-SUMIF(89:89,C27,90:90)+100</f>
        <v>100</v>
      </c>
      <c r="G27" s="557"/>
      <c r="H27" s="374">
        <f>SUMIF(89:89,G27,90:90)-SUMIF(89:89,C27,90:90)+100</f>
        <v>100</v>
      </c>
      <c r="I27" s="557"/>
      <c r="J27" s="374">
        <f>SUMIF(89:89,I27,90:90)-SUMIF(89:89,C27,90:90)+100</f>
        <v>100</v>
      </c>
      <c r="K27" s="538">
        <v>2</v>
      </c>
      <c r="L27" s="2491"/>
      <c r="M27" s="2486"/>
      <c r="N27" s="2486"/>
      <c r="O27" s="2486"/>
      <c r="P27" s="3404"/>
      <c r="Q27" s="1262" t="str">
        <f t="shared" ref="Q27:Q47" si="11">B27</f>
        <v>楼层</v>
      </c>
      <c r="R27" s="665" t="s">
        <v>14</v>
      </c>
      <c r="S27" s="666">
        <f>F27</f>
        <v>100</v>
      </c>
      <c r="T27" s="665" t="s">
        <v>14</v>
      </c>
      <c r="U27" s="666">
        <f>H27</f>
        <v>100</v>
      </c>
      <c r="V27" s="665" t="s">
        <v>14</v>
      </c>
      <c r="W27" s="666">
        <f>J27</f>
        <v>100</v>
      </c>
      <c r="X27" s="1264"/>
      <c r="Y27" s="3406"/>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4"/>
      <c r="Q28" s="530" t="str">
        <f t="shared" si="11"/>
        <v>朝向</v>
      </c>
      <c r="R28" s="662" t="s">
        <v>14</v>
      </c>
      <c r="S28" s="663">
        <f>F28</f>
        <v>100</v>
      </c>
      <c r="T28" s="662" t="s">
        <v>14</v>
      </c>
      <c r="U28" s="663">
        <f>H28</f>
        <v>100</v>
      </c>
      <c r="V28" s="662" t="s">
        <v>14</v>
      </c>
      <c r="W28" s="663">
        <f>J28</f>
        <v>100</v>
      </c>
      <c r="X28" s="664"/>
      <c r="Y28" s="34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4"/>
      <c r="Q29" s="1262">
        <f t="shared" si="11"/>
        <v>111</v>
      </c>
      <c r="R29" s="665" t="s">
        <v>14</v>
      </c>
      <c r="S29" s="666">
        <f t="shared" ref="S29:S47" si="12">F29</f>
        <v>100</v>
      </c>
      <c r="T29" s="665" t="s">
        <v>14</v>
      </c>
      <c r="U29" s="666">
        <f t="shared" ref="U29:U47" si="13">H29</f>
        <v>100</v>
      </c>
      <c r="V29" s="665" t="s">
        <v>14</v>
      </c>
      <c r="W29" s="666">
        <f t="shared" ref="W29:W47" si="14">J29</f>
        <v>100</v>
      </c>
      <c r="X29" s="1264"/>
      <c r="Y29" s="34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4"/>
      <c r="Q32" s="1262">
        <f t="shared" si="11"/>
        <v>111</v>
      </c>
      <c r="R32" s="665" t="s">
        <v>14</v>
      </c>
      <c r="S32" s="666">
        <f t="shared" si="12"/>
        <v>100</v>
      </c>
      <c r="T32" s="665" t="s">
        <v>14</v>
      </c>
      <c r="U32" s="666">
        <f t="shared" si="13"/>
        <v>100</v>
      </c>
      <c r="V32" s="665" t="s">
        <v>14</v>
      </c>
      <c r="W32" s="666">
        <f t="shared" si="14"/>
        <v>100</v>
      </c>
      <c r="X32" s="1264"/>
      <c r="Y32" s="3406"/>
      <c r="Z32" s="1263">
        <f t="shared" si="15"/>
        <v>111</v>
      </c>
      <c r="AA32" s="1263">
        <f t="shared" si="3"/>
        <v>1</v>
      </c>
      <c r="AB32" s="1263">
        <f t="shared" si="4"/>
        <v>1</v>
      </c>
      <c r="AC32" s="1811">
        <f t="shared" si="5"/>
        <v>1</v>
      </c>
    </row>
    <row r="33" spans="1:29" ht="15">
      <c r="A33" s="379" t="s">
        <v>1694</v>
      </c>
      <c r="B33" s="60" t="s">
        <v>1817</v>
      </c>
      <c r="C33" s="1763" t="s">
        <v>3505</v>
      </c>
      <c r="D33" s="405">
        <v>100</v>
      </c>
      <c r="E33" s="1763" t="s">
        <v>3505</v>
      </c>
      <c r="F33" s="400">
        <f>SUMIF(101:101,E33,102:102)-SUMIF(101:101,C33,102:102)+100</f>
        <v>100</v>
      </c>
      <c r="G33" s="1763" t="s">
        <v>3505</v>
      </c>
      <c r="H33" s="374">
        <f>SUMIF(101:101,G33,102:102)-SUMIF(101:101,C33,102:102)+100</f>
        <v>100</v>
      </c>
      <c r="I33" s="1763" t="s">
        <v>3505</v>
      </c>
      <c r="J33" s="405">
        <f>SUMIF(101:101,I33,102:102)-SUMIF(101:101,C33,102:102)+100</f>
        <v>100</v>
      </c>
      <c r="K33" s="538">
        <v>2</v>
      </c>
      <c r="L33" s="2491"/>
      <c r="M33" s="2486"/>
      <c r="N33" s="2486"/>
      <c r="O33" s="2486"/>
      <c r="P33" s="3407" t="s">
        <v>1696</v>
      </c>
      <c r="Q33" s="1262" t="str">
        <f t="shared" si="11"/>
        <v>建筑类型</v>
      </c>
      <c r="R33" s="665" t="s">
        <v>14</v>
      </c>
      <c r="S33" s="666">
        <f t="shared" si="12"/>
        <v>100</v>
      </c>
      <c r="T33" s="665" t="s">
        <v>14</v>
      </c>
      <c r="U33" s="666">
        <f t="shared" si="13"/>
        <v>100</v>
      </c>
      <c r="V33" s="665" t="s">
        <v>14</v>
      </c>
      <c r="W33" s="666">
        <f t="shared" si="14"/>
        <v>100</v>
      </c>
      <c r="X33" s="1264"/>
      <c r="Y33" s="3410" t="s">
        <v>1696</v>
      </c>
      <c r="Z33" s="1263" t="str">
        <f t="shared" si="15"/>
        <v>建筑类型</v>
      </c>
      <c r="AA33" s="1263">
        <f t="shared" si="3"/>
        <v>1</v>
      </c>
      <c r="AB33" s="1263">
        <f t="shared" si="4"/>
        <v>1</v>
      </c>
      <c r="AC33" s="1811">
        <f t="shared" si="5"/>
        <v>1</v>
      </c>
    </row>
    <row r="34" spans="1:29" s="408" customFormat="1" ht="15">
      <c r="A34" s="406"/>
      <c r="B34" s="364" t="s">
        <v>1697</v>
      </c>
      <c r="C34" s="407">
        <f>'数据-汇总表'!E3</f>
        <v>681.29</v>
      </c>
      <c r="D34" s="119">
        <v>100</v>
      </c>
      <c r="E34" s="369">
        <v>493.61</v>
      </c>
      <c r="F34" s="364">
        <f>LOOKUP(E34,104:104,105:105)-LOOKUP(C34,104:104,105:105)+100</f>
        <v>101</v>
      </c>
      <c r="G34" s="368">
        <v>483.12</v>
      </c>
      <c r="H34" s="119">
        <f>LOOKUP(G34,104:104,105:105)-LOOKUP(C34,104:104,105:105)+100</f>
        <v>101</v>
      </c>
      <c r="I34" s="368">
        <v>493.55</v>
      </c>
      <c r="J34" s="119">
        <f>LOOKUP(I34,104:104,105:105)-LOOKUP(C34,104:104,105:105)+100</f>
        <v>101</v>
      </c>
      <c r="K34" s="539"/>
      <c r="L34" s="2490"/>
      <c r="M34" s="2492"/>
      <c r="N34" s="2492"/>
      <c r="O34" s="2492"/>
      <c r="P34" s="3408"/>
      <c r="Q34" s="531" t="str">
        <f t="shared" si="11"/>
        <v>项目建筑规模</v>
      </c>
      <c r="R34" s="667" t="s">
        <v>14</v>
      </c>
      <c r="S34" s="668">
        <f t="shared" si="12"/>
        <v>101</v>
      </c>
      <c r="T34" s="667" t="s">
        <v>14</v>
      </c>
      <c r="U34" s="668">
        <f t="shared" si="13"/>
        <v>101</v>
      </c>
      <c r="V34" s="667" t="s">
        <v>14</v>
      </c>
      <c r="W34" s="668">
        <f t="shared" si="14"/>
        <v>101</v>
      </c>
      <c r="X34" s="669"/>
      <c r="Y34" s="3410"/>
      <c r="Z34" s="670" t="str">
        <f t="shared" si="15"/>
        <v>项目建筑规模</v>
      </c>
      <c r="AA34" s="1263">
        <f t="shared" si="3"/>
        <v>0.99009900990099009</v>
      </c>
      <c r="AB34" s="1263">
        <f t="shared" si="4"/>
        <v>0.99009900990099009</v>
      </c>
      <c r="AC34" s="1811">
        <f t="shared" si="5"/>
        <v>0.99009900990099009</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08"/>
      <c r="Q35" s="1262" t="str">
        <f t="shared" si="11"/>
        <v>建筑结构</v>
      </c>
      <c r="R35" s="665" t="s">
        <v>14</v>
      </c>
      <c r="S35" s="666">
        <f t="shared" si="12"/>
        <v>100</v>
      </c>
      <c r="T35" s="665" t="s">
        <v>14</v>
      </c>
      <c r="U35" s="666">
        <f t="shared" si="13"/>
        <v>100</v>
      </c>
      <c r="V35" s="665" t="s">
        <v>14</v>
      </c>
      <c r="W35" s="666">
        <f t="shared" si="14"/>
        <v>100</v>
      </c>
      <c r="X35" s="1264"/>
      <c r="Y35" s="3410"/>
      <c r="Z35" s="1263" t="str">
        <f t="shared" si="15"/>
        <v>建筑结构</v>
      </c>
      <c r="AA35" s="1263">
        <f t="shared" si="3"/>
        <v>1</v>
      </c>
      <c r="AB35" s="1263">
        <f t="shared" si="4"/>
        <v>1</v>
      </c>
      <c r="AC35" s="1811">
        <f t="shared" si="5"/>
        <v>1</v>
      </c>
    </row>
    <row r="36" spans="1:29" ht="15" hidden="1">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08"/>
      <c r="Q36" s="1262" t="str">
        <f t="shared" si="11"/>
        <v>公共部分装修</v>
      </c>
      <c r="R36" s="665" t="s">
        <v>14</v>
      </c>
      <c r="S36" s="666">
        <f t="shared" si="12"/>
        <v>100</v>
      </c>
      <c r="T36" s="665" t="s">
        <v>14</v>
      </c>
      <c r="U36" s="666">
        <f t="shared" si="13"/>
        <v>100</v>
      </c>
      <c r="V36" s="665" t="s">
        <v>14</v>
      </c>
      <c r="W36" s="666">
        <f t="shared" si="14"/>
        <v>100</v>
      </c>
      <c r="X36" s="1264"/>
      <c r="Y36" s="3410"/>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8"/>
      <c r="Q37" s="1262" t="str">
        <f t="shared" si="11"/>
        <v>成新度</v>
      </c>
      <c r="R37" s="665" t="s">
        <v>14</v>
      </c>
      <c r="S37" s="666">
        <f t="shared" si="12"/>
        <v>100</v>
      </c>
      <c r="T37" s="665" t="s">
        <v>14</v>
      </c>
      <c r="U37" s="666">
        <f t="shared" si="13"/>
        <v>100</v>
      </c>
      <c r="V37" s="665" t="s">
        <v>14</v>
      </c>
      <c r="W37" s="666">
        <f t="shared" si="14"/>
        <v>100</v>
      </c>
      <c r="X37" s="1264"/>
      <c r="Y37" s="341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8"/>
      <c r="Q38" s="530" t="str">
        <f t="shared" si="11"/>
        <v>写字楼等级</v>
      </c>
      <c r="R38" s="662" t="s">
        <v>14</v>
      </c>
      <c r="S38" s="663">
        <f t="shared" si="12"/>
        <v>100</v>
      </c>
      <c r="T38" s="662" t="s">
        <v>14</v>
      </c>
      <c r="U38" s="663">
        <f t="shared" si="13"/>
        <v>100</v>
      </c>
      <c r="V38" s="662" t="s">
        <v>14</v>
      </c>
      <c r="W38" s="663">
        <f t="shared" si="14"/>
        <v>100</v>
      </c>
      <c r="X38" s="664"/>
      <c r="Y38" s="341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08" t="s">
        <v>1696</v>
      </c>
      <c r="Q39" s="1262" t="str">
        <f t="shared" si="11"/>
        <v>物业管理</v>
      </c>
      <c r="R39" s="665" t="s">
        <v>14</v>
      </c>
      <c r="S39" s="666">
        <f t="shared" si="12"/>
        <v>100</v>
      </c>
      <c r="T39" s="665" t="s">
        <v>14</v>
      </c>
      <c r="U39" s="666">
        <f t="shared" si="13"/>
        <v>100</v>
      </c>
      <c r="V39" s="665" t="s">
        <v>14</v>
      </c>
      <c r="W39" s="666">
        <f t="shared" si="14"/>
        <v>100</v>
      </c>
      <c r="X39" s="1264"/>
      <c r="Y39" s="341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8"/>
      <c r="Q40" s="1262" t="str">
        <f t="shared" si="11"/>
        <v>市政基础设施</v>
      </c>
      <c r="R40" s="665" t="s">
        <v>14</v>
      </c>
      <c r="S40" s="666">
        <f t="shared" si="12"/>
        <v>100</v>
      </c>
      <c r="T40" s="665" t="s">
        <v>14</v>
      </c>
      <c r="U40" s="666">
        <f t="shared" si="13"/>
        <v>100</v>
      </c>
      <c r="V40" s="665" t="s">
        <v>14</v>
      </c>
      <c r="W40" s="666">
        <f t="shared" si="14"/>
        <v>100</v>
      </c>
      <c r="X40" s="1264"/>
      <c r="Y40" s="341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08"/>
      <c r="Q41" s="1262" t="str">
        <f t="shared" si="11"/>
        <v>层高</v>
      </c>
      <c r="R41" s="665" t="s">
        <v>14</v>
      </c>
      <c r="S41" s="666">
        <f t="shared" si="12"/>
        <v>100</v>
      </c>
      <c r="T41" s="665" t="s">
        <v>14</v>
      </c>
      <c r="U41" s="666">
        <f t="shared" si="13"/>
        <v>100</v>
      </c>
      <c r="V41" s="665" t="s">
        <v>14</v>
      </c>
      <c r="W41" s="666">
        <f t="shared" si="14"/>
        <v>100</v>
      </c>
      <c r="X41" s="1264"/>
      <c r="Y41" s="341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7" t="s">
        <v>14</v>
      </c>
      <c r="S42" s="668">
        <f t="shared" si="12"/>
        <v>100</v>
      </c>
      <c r="T42" s="667" t="s">
        <v>14</v>
      </c>
      <c r="U42" s="668">
        <f t="shared" si="13"/>
        <v>100</v>
      </c>
      <c r="V42" s="667" t="s">
        <v>14</v>
      </c>
      <c r="W42" s="668">
        <f t="shared" si="14"/>
        <v>100</v>
      </c>
      <c r="X42" s="669"/>
      <c r="Y42" s="3410"/>
      <c r="Z42" s="670" t="str">
        <f t="shared" si="15"/>
        <v>单套建筑面积</v>
      </c>
      <c r="AA42" s="1263">
        <f t="shared" si="3"/>
        <v>1</v>
      </c>
      <c r="AB42" s="1263">
        <f t="shared" si="4"/>
        <v>1</v>
      </c>
      <c r="AC42" s="1811">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1</v>
      </c>
      <c r="L43" s="2491"/>
      <c r="M43" s="2486"/>
      <c r="N43" s="2486"/>
      <c r="O43" s="2486"/>
      <c r="P43" s="3408"/>
      <c r="Q43" s="1262" t="str">
        <f t="shared" si="11"/>
        <v>内部装修</v>
      </c>
      <c r="R43" s="665" t="s">
        <v>14</v>
      </c>
      <c r="S43" s="666">
        <f t="shared" si="12"/>
        <v>100</v>
      </c>
      <c r="T43" s="665" t="s">
        <v>14</v>
      </c>
      <c r="U43" s="666">
        <f t="shared" si="13"/>
        <v>100</v>
      </c>
      <c r="V43" s="665" t="s">
        <v>14</v>
      </c>
      <c r="W43" s="666">
        <f t="shared" si="14"/>
        <v>100</v>
      </c>
      <c r="X43" s="1264"/>
      <c r="Y43" s="341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08"/>
      <c r="Q44" s="1262" t="str">
        <f t="shared" si="11"/>
        <v>内部装修维护情况</v>
      </c>
      <c r="R44" s="665" t="s">
        <v>14</v>
      </c>
      <c r="S44" s="666">
        <f t="shared" si="12"/>
        <v>100</v>
      </c>
      <c r="T44" s="665" t="s">
        <v>14</v>
      </c>
      <c r="U44" s="666">
        <f t="shared" si="13"/>
        <v>100</v>
      </c>
      <c r="V44" s="665" t="s">
        <v>14</v>
      </c>
      <c r="W44" s="666">
        <f t="shared" si="14"/>
        <v>100</v>
      </c>
      <c r="X44" s="1264"/>
      <c r="Y44" s="341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8"/>
      <c r="Q45" s="530">
        <f t="shared" si="11"/>
        <v>111</v>
      </c>
      <c r="R45" s="662" t="s">
        <v>14</v>
      </c>
      <c r="S45" s="663">
        <f t="shared" si="12"/>
        <v>100</v>
      </c>
      <c r="T45" s="662" t="s">
        <v>14</v>
      </c>
      <c r="U45" s="663">
        <f t="shared" si="13"/>
        <v>100</v>
      </c>
      <c r="V45" s="662" t="s">
        <v>14</v>
      </c>
      <c r="W45" s="663">
        <f t="shared" si="14"/>
        <v>100</v>
      </c>
      <c r="X45" s="664"/>
      <c r="Y45" s="341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2">
        <f t="shared" si="11"/>
        <v>111</v>
      </c>
      <c r="R46" s="665" t="s">
        <v>14</v>
      </c>
      <c r="S46" s="666">
        <f t="shared" si="12"/>
        <v>100</v>
      </c>
      <c r="T46" s="665" t="s">
        <v>14</v>
      </c>
      <c r="U46" s="666">
        <f t="shared" si="13"/>
        <v>100</v>
      </c>
      <c r="V46" s="665" t="s">
        <v>14</v>
      </c>
      <c r="W46" s="666">
        <f t="shared" si="14"/>
        <v>100</v>
      </c>
      <c r="X46" s="1264"/>
      <c r="Y46" s="341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9"/>
      <c r="Q47" s="1262">
        <f t="shared" si="11"/>
        <v>111</v>
      </c>
      <c r="R47" s="665" t="s">
        <v>14</v>
      </c>
      <c r="S47" s="666">
        <f t="shared" si="12"/>
        <v>100</v>
      </c>
      <c r="T47" s="665" t="s">
        <v>14</v>
      </c>
      <c r="U47" s="666">
        <f t="shared" si="13"/>
        <v>100</v>
      </c>
      <c r="V47" s="665" t="s">
        <v>14</v>
      </c>
      <c r="W47" s="666">
        <f t="shared" si="14"/>
        <v>100</v>
      </c>
      <c r="X47" s="1264"/>
      <c r="Y47" s="3411"/>
      <c r="Z47" s="1263">
        <f t="shared" si="15"/>
        <v>111</v>
      </c>
      <c r="AA47" s="1263">
        <f t="shared" si="3"/>
        <v>1</v>
      </c>
      <c r="AB47" s="1263">
        <f t="shared" si="4"/>
        <v>1</v>
      </c>
      <c r="AC47" s="1811">
        <f t="shared" si="5"/>
        <v>1</v>
      </c>
    </row>
    <row r="48" spans="1:29" ht="15">
      <c r="A48" s="416" t="s">
        <v>1708</v>
      </c>
      <c r="B48" s="417"/>
      <c r="C48" s="1080" t="s">
        <v>0</v>
      </c>
      <c r="D48" s="418"/>
      <c r="E48" s="419">
        <v>18223</v>
      </c>
      <c r="F48" s="420"/>
      <c r="G48" s="421">
        <v>20492</v>
      </c>
      <c r="H48" s="422"/>
      <c r="I48" s="419">
        <v>19249</v>
      </c>
      <c r="J48" s="422"/>
      <c r="K48" s="672"/>
      <c r="L48" s="2493"/>
      <c r="M48" s="2486"/>
      <c r="N48" s="2486"/>
      <c r="O48" s="2486"/>
      <c r="P48" s="3397" t="str">
        <f>A48</f>
        <v>成交单价（元/平方米）</v>
      </c>
      <c r="Q48" s="3398"/>
      <c r="R48" s="3399">
        <f>E48</f>
        <v>18223</v>
      </c>
      <c r="S48" s="3399"/>
      <c r="T48" s="3399">
        <f>G48</f>
        <v>20492</v>
      </c>
      <c r="U48" s="3399"/>
      <c r="V48" s="3399">
        <f>I48</f>
        <v>19249</v>
      </c>
      <c r="W48" s="3399"/>
      <c r="X48" s="385"/>
      <c r="Y48" s="671"/>
      <c r="Z48" s="385"/>
      <c r="AA48" s="385"/>
      <c r="AB48" s="385"/>
      <c r="AC48" s="554"/>
    </row>
    <row r="49" spans="1:29" ht="15.75" thickBot="1">
      <c r="A49" s="423" t="s">
        <v>1793</v>
      </c>
      <c r="B49" s="424"/>
      <c r="C49" s="1081">
        <f>R50</f>
        <v>17391</v>
      </c>
      <c r="D49" s="2140" t="s">
        <v>2135</v>
      </c>
      <c r="E49" s="1082">
        <f>R49</f>
        <v>16402</v>
      </c>
      <c r="F49" s="2141"/>
      <c r="G49" s="1081">
        <f>T49</f>
        <v>18445</v>
      </c>
      <c r="H49" s="2141"/>
      <c r="I49" s="1082">
        <f>V49</f>
        <v>17326</v>
      </c>
      <c r="J49" s="2141"/>
      <c r="K49" s="2143">
        <f>F49+H49+J49</f>
        <v>0</v>
      </c>
      <c r="L49" s="2493"/>
      <c r="M49" s="2486"/>
      <c r="N49" s="2486"/>
      <c r="O49" s="2486"/>
      <c r="P49" s="3397" t="str">
        <f>A49</f>
        <v>比较价值（元/平方米）</v>
      </c>
      <c r="Q49" s="3398"/>
      <c r="R49" s="3399">
        <f>IF(F1="售价",ROUND(PRODUCT(R48,AA7:AA47),0),ROUND(PRODUCT(R48,AA7:AA47),1))</f>
        <v>16402</v>
      </c>
      <c r="S49" s="3399"/>
      <c r="T49" s="3399">
        <f>IF(F1="售价",ROUND(PRODUCT(T48,AB7:AB47),0),ROUND(PRODUCT(T48,AB7:AB47),1))</f>
        <v>18445</v>
      </c>
      <c r="U49" s="3399"/>
      <c r="V49" s="3399">
        <f>IF(F1="售价",ROUND(PRODUCT(V48,AC7:AC47),0),ROUND(PRODUCT(V48,AC7:AC47),1))</f>
        <v>17326</v>
      </c>
      <c r="W49" s="3399"/>
      <c r="X49" s="385"/>
      <c r="Y49" s="385"/>
      <c r="Z49" s="385"/>
      <c r="AA49" s="385"/>
      <c r="AB49" s="385"/>
      <c r="AC49" s="554"/>
    </row>
    <row r="50" spans="1:29" ht="15.75" thickBot="1">
      <c r="A50" s="427" t="s">
        <v>1794</v>
      </c>
      <c r="B50" s="428"/>
      <c r="C50" s="351">
        <f>R50</f>
        <v>17391</v>
      </c>
      <c r="D50" s="351"/>
      <c r="E50" s="351"/>
      <c r="F50" s="351"/>
      <c r="G50" s="351"/>
      <c r="H50" s="351"/>
      <c r="I50" s="351"/>
      <c r="J50" s="429"/>
      <c r="K50" s="673"/>
      <c r="L50" s="2493"/>
      <c r="M50" s="2486"/>
      <c r="N50" s="2486"/>
      <c r="O50" s="2486"/>
      <c r="P50" s="3400" t="str">
        <f>A50</f>
        <v>估价对象XX用房的比较价值（楼面单价，元/平方米）</v>
      </c>
      <c r="Q50" s="3401"/>
      <c r="R50" s="3402">
        <f>IF(F1="售价",ROUND(IF(D49="简单平均",AVERAGE(R49:V49),R49*F49+T49*H49+V49*J49),0),ROUND(IF(D49="简单平均",AVERAGE(R49:V49),R49*F49+T49*H49+V49*J49),1))</f>
        <v>17391</v>
      </c>
      <c r="S50" s="3402"/>
      <c r="T50" s="3402"/>
      <c r="U50" s="3402"/>
      <c r="V50" s="3402"/>
      <c r="W50" s="340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0.11102304597000368</v>
      </c>
      <c r="F53" s="435" t="str">
        <f>IF(OR(E53&gt;=0.3,E53&lt;=-0.3),"超过30%","")</f>
        <v/>
      </c>
      <c r="G53" s="434">
        <f>IF(G48&lt;G49,G49/G48-1,G48/G49-1)</f>
        <v>0.11097858498238011</v>
      </c>
      <c r="H53" s="435" t="str">
        <f>IF(OR(G53&gt;=0.3,G53&lt;=-0.3),"超过30%","")</f>
        <v/>
      </c>
      <c r="I53" s="434">
        <f>IF(I48&lt;I49,I49/I48-1,I48/I49-1)</f>
        <v>0.1109892646889068</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0.12455798073405688</v>
      </c>
      <c r="F54" s="435" t="str">
        <f>IF(OR(E54&gt;=0.2,E54&lt;=-0.2),"超过20%","")</f>
        <v/>
      </c>
      <c r="G54" s="434">
        <f>IF(G49&lt;I49,I49/G49-1,G49/I49-1)</f>
        <v>6.4585016737850554E-2</v>
      </c>
      <c r="H54" s="435" t="str">
        <f>IF(OR(G54&gt;=0.2,G54&lt;=-0.2),"超过20%","")</f>
        <v/>
      </c>
      <c r="I54" s="434">
        <f>IF(I49&lt;E49,E49/I49-1,I49/E49-1)</f>
        <v>5.6334593342275419E-2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0.12451297810459305</v>
      </c>
      <c r="F55" s="435" t="str">
        <f>IF(OR(E55&gt;=0.3,E55&lt;=-0.3),"超过30%","")</f>
        <v/>
      </c>
      <c r="G55" s="434">
        <f>IF(G48&lt;I48,I48/G48-1,G48/I48-1)</f>
        <v>6.4574783105615818E-2</v>
      </c>
      <c r="H55" s="435" t="str">
        <f>IF(OR(G55&gt;=0.3,G55&lt;=-0.3),"超过30%","")</f>
        <v/>
      </c>
      <c r="I55" s="434">
        <f>IF(I48&lt;E48,E48/I48-1,I48/E48-1)</f>
        <v>5.6302474894364352E-2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1798</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110</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3498</v>
      </c>
      <c r="D66" s="513" t="s">
        <v>3499</v>
      </c>
      <c r="E66" s="513" t="s">
        <v>3500</v>
      </c>
      <c r="F66" s="513" t="s">
        <v>3501</v>
      </c>
      <c r="G66" s="513" t="s">
        <v>3502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8">D69&amp;"（含）"&amp;"-"&amp;E69</f>
        <v>1（含）-2</v>
      </c>
      <c r="E68" s="478" t="str">
        <f t="shared" si="18"/>
        <v>2（含）-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3527</v>
      </c>
      <c r="D101" s="3174" t="s">
        <v>3528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0(含)-400</v>
      </c>
      <c r="D103" s="509" t="str">
        <f t="shared" ref="D103:L103" si="24">D104&amp;"(含)"&amp;"-"&amp;E104</f>
        <v>400(含)-600</v>
      </c>
      <c r="E103" s="509" t="str">
        <f t="shared" si="24"/>
        <v>600(含)-800</v>
      </c>
      <c r="F103" s="509" t="str">
        <f t="shared" si="24"/>
        <v>800(含)-</v>
      </c>
      <c r="G103" s="509" t="str">
        <f t="shared" si="24"/>
        <v>(含)-</v>
      </c>
      <c r="H103" s="509" t="str">
        <f t="shared" si="24"/>
        <v>(含)-</v>
      </c>
      <c r="I103" s="509" t="str">
        <f t="shared" si="24"/>
        <v>(含)-</v>
      </c>
      <c r="J103" s="509" t="str">
        <f t="shared" si="24"/>
        <v>(含)-</v>
      </c>
      <c r="K103" s="509" t="str">
        <f t="shared" si="24"/>
        <v>(含)-</v>
      </c>
      <c r="L103" s="509" t="str">
        <f t="shared" si="24"/>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400</v>
      </c>
      <c r="E104" s="6">
        <v>600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F7:F47 H7:H47 J7:J47">
    <cfRule type="cellIs" dxfId="131" priority="1" operator="notEqual">
      <formula>100</formula>
    </cfRule>
  </conditionalFormatting>
  <conditionalFormatting sqref="F49">
    <cfRule type="expression" dxfId="130" priority="4">
      <formula>$D$49="简单平均"</formula>
    </cfRule>
  </conditionalFormatting>
  <conditionalFormatting sqref="F53:F55 H53:H55">
    <cfRule type="containsText" dxfId="129" priority="17" stopIfTrue="1" operator="containsText" text="超过">
      <formula>NOT(ISERROR(SEARCH("超过",F53)))</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G55">
    <cfRule type="expression" dxfId="126" priority="13"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conditionalFormatting sqref="J53:J55">
    <cfRule type="containsText" dxfId="12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3467</v>
      </c>
      <c r="E1" s="3123" t="s">
        <v>3459</v>
      </c>
      <c r="F1" s="1734" t="s">
        <v>3460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1803"/>
      <c r="Q2" s="857"/>
      <c r="R2" s="857"/>
      <c r="S2" s="857"/>
      <c r="T2" s="857"/>
      <c r="U2" s="857"/>
      <c r="V2" s="857"/>
      <c r="W2" s="857"/>
      <c r="X2" s="857"/>
      <c r="Y2" s="857"/>
      <c r="Z2" s="857"/>
      <c r="AA2" s="857"/>
      <c r="AB2" s="857"/>
      <c r="AC2" s="1804"/>
    </row>
    <row r="3" spans="1:29" s="342" customFormat="1" ht="28.5" customHeight="1" thickBot="1">
      <c r="A3" s="195" t="s">
        <v>1464</v>
      </c>
      <c r="B3" s="536">
        <f>IF(C2="——",C49,ROUND(B2*10000/D3,0))</f>
        <v>30128</v>
      </c>
      <c r="C3" s="344" t="s">
        <v>1768</v>
      </c>
      <c r="D3" s="343">
        <f>IF(D1="",'数据-汇总表'!E3,SUMIF('数据-汇总表'!$C19:$C33,D1,'数据-汇总表'!$E19:$E33))</f>
        <v>0</v>
      </c>
      <c r="E3" s="1804"/>
      <c r="F3" s="854"/>
      <c r="G3" s="853"/>
      <c r="H3" s="853"/>
      <c r="I3" s="853"/>
      <c r="J3" s="853"/>
      <c r="K3" s="855"/>
      <c r="L3" s="2502"/>
      <c r="M3" s="2503"/>
      <c r="N3" s="2503"/>
      <c r="O3" s="2503"/>
      <c r="P3" s="1803"/>
      <c r="Q3" s="857"/>
      <c r="R3" s="857"/>
      <c r="S3" s="857"/>
      <c r="T3" s="857"/>
      <c r="U3" s="857"/>
      <c r="V3" s="857"/>
      <c r="W3" s="857"/>
      <c r="X3" s="857"/>
      <c r="Y3" s="857"/>
      <c r="Z3" s="857"/>
      <c r="AA3" s="857"/>
      <c r="AB3" s="857"/>
      <c r="AC3" s="1804"/>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399" t="s">
        <v>1772</v>
      </c>
      <c r="AC4" s="3448" t="s">
        <v>1773</v>
      </c>
    </row>
    <row r="5" spans="1:29" ht="15">
      <c r="A5" s="348"/>
      <c r="B5" s="349"/>
      <c r="C5" s="3455" t="s">
        <v>1673</v>
      </c>
      <c r="D5" s="3435"/>
      <c r="E5" s="3456" t="s">
        <v>3472</v>
      </c>
      <c r="F5" s="3457"/>
      <c r="G5" s="3434" t="s">
        <v>3470</v>
      </c>
      <c r="H5" s="3435"/>
      <c r="I5" s="3434" t="s">
        <v>3471</v>
      </c>
      <c r="J5" s="3435"/>
      <c r="K5" s="537"/>
      <c r="L5" s="2485"/>
      <c r="M5" s="2486"/>
      <c r="N5" s="2486"/>
      <c r="O5" s="2486"/>
      <c r="P5" s="3451"/>
      <c r="Q5" s="3422"/>
      <c r="R5" s="3427"/>
      <c r="S5" s="3428"/>
      <c r="T5" s="3427"/>
      <c r="U5" s="3428"/>
      <c r="V5" s="3399"/>
      <c r="W5" s="3399"/>
      <c r="X5" s="1264"/>
      <c r="Y5" s="3427"/>
      <c r="Z5" s="3428"/>
      <c r="AA5" s="3443"/>
      <c r="AB5" s="3399"/>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399"/>
      <c r="AC6" s="3444"/>
    </row>
    <row r="7" spans="1:29" s="102" customFormat="1" ht="15.75" thickBot="1">
      <c r="A7" s="352" t="s">
        <v>1679</v>
      </c>
      <c r="B7" s="353"/>
      <c r="C7" s="354">
        <f>'数据-取费表'!B2</f>
        <v>45968</v>
      </c>
      <c r="D7" s="355">
        <v>100</v>
      </c>
      <c r="E7" s="356">
        <f>C7</f>
        <v>45968</v>
      </c>
      <c r="F7" s="357">
        <f>SUMIF(58:58,YEAR(E7)&amp;"-"&amp;MONTH(E7),59:59)</f>
        <v>100</v>
      </c>
      <c r="G7" s="356">
        <f>C7</f>
        <v>45968</v>
      </c>
      <c r="H7" s="355">
        <f>SUMIF(58:58,YEAR(G7)&amp;"-"&amp;MONTH(G7),59:59)</f>
        <v>100</v>
      </c>
      <c r="I7" s="356">
        <f>C7</f>
        <v>45968</v>
      </c>
      <c r="J7" s="355">
        <f>SUMIF(58:58,YEAR(I7)&amp;"-"&amp;MONTH(I7),59:59)</f>
        <v>100</v>
      </c>
      <c r="K7" s="38"/>
      <c r="L7" s="2487"/>
      <c r="M7" s="2439"/>
      <c r="N7" s="2439"/>
      <c r="O7" s="2439"/>
      <c r="P7" s="3438"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50">
        <f>D7/J7</f>
        <v>1</v>
      </c>
    </row>
    <row r="8" spans="1:29" s="102" customFormat="1" ht="15.75" thickBot="1">
      <c r="A8" s="352" t="s">
        <v>1681</v>
      </c>
      <c r="B8" s="353"/>
      <c r="C8" s="358" t="s">
        <v>3427</v>
      </c>
      <c r="D8" s="355">
        <v>100</v>
      </c>
      <c r="E8" s="358" t="s">
        <v>3428</v>
      </c>
      <c r="F8" s="357">
        <f>SUMIF(61:61,E8,62:62)-SUMIF(61:61,C8,62:62)+100</f>
        <v>103</v>
      </c>
      <c r="G8" s="358" t="s">
        <v>3428</v>
      </c>
      <c r="H8" s="355">
        <f>SUMIF(61:61,G8,62:62)-SUMIF(61:61,C8,62:62)+100</f>
        <v>103</v>
      </c>
      <c r="I8" s="358" t="s">
        <v>3428</v>
      </c>
      <c r="J8" s="355">
        <f>SUMIF(61:61,I8,62:62)-SUMIF(61:61,C8,62:62)+100</f>
        <v>103</v>
      </c>
      <c r="K8" s="38"/>
      <c r="L8" s="2487"/>
      <c r="M8" s="2439"/>
      <c r="N8" s="2439"/>
      <c r="O8" s="2439"/>
      <c r="P8" s="3438" t="s">
        <v>1683</v>
      </c>
      <c r="Q8" s="3437"/>
      <c r="R8" s="662" t="s">
        <v>14</v>
      </c>
      <c r="S8" s="663">
        <f t="shared" si="0"/>
        <v>103</v>
      </c>
      <c r="T8" s="662" t="s">
        <v>14</v>
      </c>
      <c r="U8" s="663">
        <f t="shared" si="1"/>
        <v>103</v>
      </c>
      <c r="V8" s="662" t="s">
        <v>14</v>
      </c>
      <c r="W8" s="663">
        <f t="shared" si="2"/>
        <v>103</v>
      </c>
      <c r="X8" s="664"/>
      <c r="Y8" s="3438" t="s">
        <v>1683</v>
      </c>
      <c r="Z8" s="3437"/>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76"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397"/>
      <c r="Q10" s="530" t="str">
        <f t="shared" si="6"/>
        <v>土地使用年限（年）</v>
      </c>
      <c r="R10" s="662" t="s">
        <v>14</v>
      </c>
      <c r="S10" s="663">
        <f t="shared" si="0"/>
        <v>102</v>
      </c>
      <c r="T10" s="662" t="s">
        <v>14</v>
      </c>
      <c r="U10" s="663">
        <f t="shared" si="1"/>
        <v>102</v>
      </c>
      <c r="V10" s="662" t="s">
        <v>14</v>
      </c>
      <c r="W10" s="663">
        <f t="shared" si="2"/>
        <v>102</v>
      </c>
      <c r="X10" s="664"/>
      <c r="Y10" s="327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03" t="s">
        <v>1691</v>
      </c>
      <c r="Q15" s="1262" t="str">
        <f t="shared" si="6"/>
        <v>商业繁华度</v>
      </c>
      <c r="R15" s="665" t="s">
        <v>14</v>
      </c>
      <c r="S15" s="666">
        <f t="shared" si="0"/>
        <v>100</v>
      </c>
      <c r="T15" s="665" t="s">
        <v>14</v>
      </c>
      <c r="U15" s="666">
        <f t="shared" si="1"/>
        <v>100</v>
      </c>
      <c r="V15" s="665" t="s">
        <v>14</v>
      </c>
      <c r="W15" s="666">
        <f t="shared" si="2"/>
        <v>100</v>
      </c>
      <c r="X15" s="1264"/>
      <c r="Y15" s="3405" t="s">
        <v>1691</v>
      </c>
      <c r="Z15" s="1263" t="str">
        <f t="shared" si="7"/>
        <v>商业繁华度</v>
      </c>
      <c r="AA15" s="1263">
        <f t="shared" si="3"/>
        <v>1</v>
      </c>
      <c r="AB15" s="1263">
        <f t="shared" si="4"/>
        <v>1</v>
      </c>
      <c r="AC15" s="1263">
        <f t="shared" si="5"/>
        <v>1</v>
      </c>
    </row>
    <row r="16" spans="1:29" ht="15">
      <c r="A16" s="367"/>
      <c r="B16" s="385"/>
      <c r="C16" s="386" t="s">
        <v>3438</v>
      </c>
      <c r="D16" s="387"/>
      <c r="E16" s="386" t="s">
        <v>3438</v>
      </c>
      <c r="F16" s="388"/>
      <c r="G16" s="386" t="s">
        <v>3438</v>
      </c>
      <c r="H16" s="389"/>
      <c r="I16" s="386" t="s">
        <v>3438</v>
      </c>
      <c r="J16" s="387"/>
      <c r="K16" s="541"/>
      <c r="L16" s="2491"/>
      <c r="M16" s="2486"/>
      <c r="N16" s="2486"/>
      <c r="O16" s="2486"/>
      <c r="P16" s="3404"/>
      <c r="Q16" s="1262"/>
      <c r="R16" s="665"/>
      <c r="S16" s="666"/>
      <c r="T16" s="665"/>
      <c r="U16" s="666"/>
      <c r="V16" s="665"/>
      <c r="W16" s="666"/>
      <c r="X16" s="1264"/>
      <c r="Y16" s="340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395"/>
      <c r="C18" s="1754" t="s">
        <v>3438</v>
      </c>
      <c r="D18" s="389"/>
      <c r="E18" s="1754" t="s">
        <v>3438</v>
      </c>
      <c r="F18" s="392"/>
      <c r="G18" s="1754" t="s">
        <v>3438</v>
      </c>
      <c r="H18" s="387"/>
      <c r="I18" s="1754" t="s">
        <v>3438</v>
      </c>
      <c r="J18" s="387"/>
      <c r="K18" s="541"/>
      <c r="L18" s="2491"/>
      <c r="M18" s="2486"/>
      <c r="N18" s="2486"/>
      <c r="O18" s="2486"/>
      <c r="P18" s="3404"/>
      <c r="Q18" s="1262"/>
      <c r="R18" s="665"/>
      <c r="S18" s="666"/>
      <c r="T18" s="665"/>
      <c r="U18" s="666"/>
      <c r="V18" s="665"/>
      <c r="W18" s="666"/>
      <c r="X18" s="1264"/>
      <c r="Y18" s="340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263">
        <f t="shared" si="5"/>
        <v>1</v>
      </c>
    </row>
    <row r="20" spans="1:29" ht="15">
      <c r="A20" s="367"/>
      <c r="B20" s="395"/>
      <c r="C20" s="386" t="s">
        <v>3438</v>
      </c>
      <c r="D20" s="387"/>
      <c r="E20" s="386" t="s">
        <v>3438</v>
      </c>
      <c r="F20" s="388"/>
      <c r="G20" s="386" t="s">
        <v>3438</v>
      </c>
      <c r="H20" s="387"/>
      <c r="I20" s="386" t="s">
        <v>3438</v>
      </c>
      <c r="J20" s="387"/>
      <c r="K20" s="541"/>
      <c r="L20" s="2491"/>
      <c r="M20" s="2486"/>
      <c r="N20" s="2486"/>
      <c r="O20" s="2486"/>
      <c r="P20" s="3404"/>
      <c r="Q20" s="1262"/>
      <c r="R20" s="665"/>
      <c r="S20" s="666"/>
      <c r="T20" s="665"/>
      <c r="U20" s="666"/>
      <c r="V20" s="665"/>
      <c r="W20" s="666"/>
      <c r="X20" s="1264"/>
      <c r="Y20" s="3406"/>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t="s">
        <v>3464</v>
      </c>
      <c r="D22" s="387"/>
      <c r="E22" s="1754" t="s">
        <v>3464</v>
      </c>
      <c r="F22" s="388"/>
      <c r="G22" s="1754" t="s">
        <v>3464</v>
      </c>
      <c r="H22" s="387"/>
      <c r="I22" s="1754" t="s">
        <v>3464</v>
      </c>
      <c r="J22" s="387"/>
      <c r="K22" s="1063"/>
      <c r="L22" s="2491"/>
      <c r="M22" s="2486"/>
      <c r="N22" s="2486"/>
      <c r="O22" s="2486"/>
      <c r="P22" s="3404"/>
      <c r="Q22" s="1262"/>
      <c r="R22" s="665"/>
      <c r="S22" s="666"/>
      <c r="T22" s="665"/>
      <c r="U22" s="666"/>
      <c r="V22" s="665"/>
      <c r="W22" s="666"/>
      <c r="X22" s="1264"/>
      <c r="Y22" s="3406"/>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102</v>
      </c>
      <c r="G23" s="393"/>
      <c r="H23" s="389">
        <f>SUMIF(84:84,G24,85:85)-SUMIF(84:84,C24,85:85)+100</f>
        <v>102</v>
      </c>
      <c r="I23" s="391"/>
      <c r="J23" s="389">
        <f>SUMIF(84:84,I24,85:85)-SUMIF(84:84,C24,85:85)+100</f>
        <v>100</v>
      </c>
      <c r="K23" s="540">
        <v>2</v>
      </c>
      <c r="L23" s="2491"/>
      <c r="M23" s="2486"/>
      <c r="N23" s="2486"/>
      <c r="O23" s="2486"/>
      <c r="P23" s="3404"/>
      <c r="Q23" s="1262" t="str">
        <f>B23</f>
        <v>自然及人文环境</v>
      </c>
      <c r="R23" s="665" t="s">
        <v>14</v>
      </c>
      <c r="S23" s="666">
        <f>F23</f>
        <v>102</v>
      </c>
      <c r="T23" s="665" t="s">
        <v>14</v>
      </c>
      <c r="U23" s="666">
        <f>H23</f>
        <v>102</v>
      </c>
      <c r="V23" s="665" t="s">
        <v>14</v>
      </c>
      <c r="W23" s="666">
        <f>J23</f>
        <v>100</v>
      </c>
      <c r="X23" s="1264"/>
      <c r="Y23" s="3406"/>
      <c r="Z23" s="1263" t="str">
        <f>Q23</f>
        <v>自然及人文环境</v>
      </c>
      <c r="AA23" s="1263">
        <f t="shared" si="3"/>
        <v>0.98039215686274506</v>
      </c>
      <c r="AB23" s="1263">
        <f t="shared" si="4"/>
        <v>0.98039215686274506</v>
      </c>
      <c r="AC23" s="1263">
        <f t="shared" si="5"/>
        <v>1</v>
      </c>
    </row>
    <row r="24" spans="1:29" ht="15">
      <c r="A24" s="367"/>
      <c r="B24" s="395"/>
      <c r="C24" s="386" t="s">
        <v>3439</v>
      </c>
      <c r="D24" s="387"/>
      <c r="E24" s="386" t="s">
        <v>3438</v>
      </c>
      <c r="F24" s="388"/>
      <c r="G24" s="386" t="s">
        <v>3438</v>
      </c>
      <c r="H24" s="387"/>
      <c r="I24" s="386" t="s">
        <v>3439</v>
      </c>
      <c r="J24" s="387"/>
      <c r="K24" s="541"/>
      <c r="L24" s="2491"/>
      <c r="M24" s="2486"/>
      <c r="N24" s="2486"/>
      <c r="O24" s="2486"/>
      <c r="P24" s="3404"/>
      <c r="Q24" s="1262"/>
      <c r="R24" s="665"/>
      <c r="S24" s="666"/>
      <c r="T24" s="665"/>
      <c r="U24" s="666"/>
      <c r="V24" s="665"/>
      <c r="W24" s="666"/>
      <c r="X24" s="1264"/>
      <c r="Y24" s="3406"/>
      <c r="Z24" s="1263"/>
      <c r="AA24" s="1263">
        <v>1</v>
      </c>
      <c r="AB24" s="1263">
        <v>1</v>
      </c>
      <c r="AC24" s="1263">
        <v>1</v>
      </c>
    </row>
    <row r="25" spans="1:29" ht="15">
      <c r="A25" s="367"/>
      <c r="B25" s="364" t="s">
        <v>1780</v>
      </c>
      <c r="C25" s="542" t="s">
        <v>3434</v>
      </c>
      <c r="D25" s="374">
        <v>100</v>
      </c>
      <c r="E25" s="542" t="s">
        <v>3434</v>
      </c>
      <c r="F25" s="400">
        <f>SUMIF(86:86,E25,87:87)-SUMIF(86:86,C25,87:87)+100</f>
        <v>100</v>
      </c>
      <c r="G25" s="542" t="s">
        <v>3434</v>
      </c>
      <c r="H25" s="374">
        <f>SUMIF(86:86,G25,87:87)-SUMIF(86:86,C25,87:87)+100</f>
        <v>100</v>
      </c>
      <c r="I25" s="542" t="s">
        <v>3434</v>
      </c>
      <c r="J25" s="374">
        <f>SUMIF(86:86,I25,87:87)-SUMIF(86:86,C25,87:87)+100</f>
        <v>100</v>
      </c>
      <c r="K25" s="538">
        <v>5</v>
      </c>
      <c r="L25" s="2491"/>
      <c r="M25" s="2486"/>
      <c r="N25" s="2486"/>
      <c r="O25" s="2486"/>
      <c r="P25" s="3404"/>
      <c r="Q25" s="1262" t="str">
        <f t="shared" ref="Q25:Q46" si="11">B25</f>
        <v>临街状况</v>
      </c>
      <c r="R25" s="665" t="s">
        <v>14</v>
      </c>
      <c r="S25" s="666">
        <f>F25</f>
        <v>100</v>
      </c>
      <c r="T25" s="665" t="s">
        <v>14</v>
      </c>
      <c r="U25" s="666">
        <f>H25</f>
        <v>100</v>
      </c>
      <c r="V25" s="665" t="s">
        <v>14</v>
      </c>
      <c r="W25" s="666">
        <f>J25</f>
        <v>100</v>
      </c>
      <c r="X25" s="1264"/>
      <c r="Y25" s="3406"/>
      <c r="Z25" s="1263" t="str">
        <f>Q25</f>
        <v>临街状况</v>
      </c>
      <c r="AA25" s="1263">
        <f t="shared" si="3"/>
        <v>1</v>
      </c>
      <c r="AB25" s="1263">
        <f t="shared" si="4"/>
        <v>1</v>
      </c>
      <c r="AC25" s="1263">
        <f t="shared" si="5"/>
        <v>1</v>
      </c>
    </row>
    <row r="26" spans="1:29" ht="15">
      <c r="A26" s="367"/>
      <c r="B26" s="1065" t="s">
        <v>1781</v>
      </c>
      <c r="C26" s="3177" t="s">
        <v>3462</v>
      </c>
      <c r="D26" s="374">
        <v>100</v>
      </c>
      <c r="E26" s="3177" t="s">
        <v>3462</v>
      </c>
      <c r="F26" s="400">
        <f>SUMIF(88:88,E26,89:89)-SUMIF(88:88,C26,89:89)+100</f>
        <v>100</v>
      </c>
      <c r="G26" s="3177" t="s">
        <v>3462</v>
      </c>
      <c r="H26" s="374">
        <f>SUMIF(88:88,G26,89:89)-SUMIF(88:88,C26,89:89)+100</f>
        <v>100</v>
      </c>
      <c r="I26" s="3177" t="s">
        <v>3462</v>
      </c>
      <c r="J26" s="374">
        <f>SUMIF(88:88,I26,89:89)-SUMIF(88:88,C26,89:89)+100</f>
        <v>100</v>
      </c>
      <c r="K26" s="539"/>
      <c r="L26" s="2491"/>
      <c r="M26" s="2486"/>
      <c r="N26" s="2486"/>
      <c r="O26" s="2486"/>
      <c r="P26" s="3404"/>
      <c r="Q26" s="1262" t="str">
        <f t="shared" si="11"/>
        <v>平面位置/可视性</v>
      </c>
      <c r="R26" s="665" t="s">
        <v>14</v>
      </c>
      <c r="S26" s="666">
        <f>F26</f>
        <v>100</v>
      </c>
      <c r="T26" s="665" t="s">
        <v>14</v>
      </c>
      <c r="U26" s="666">
        <f>H26</f>
        <v>100</v>
      </c>
      <c r="V26" s="665" t="s">
        <v>14</v>
      </c>
      <c r="W26" s="666">
        <f>J26</f>
        <v>100</v>
      </c>
      <c r="X26" s="1264"/>
      <c r="Y26" s="3406"/>
      <c r="Z26" s="1263" t="str">
        <f>Q26</f>
        <v>平面位置/可视性</v>
      </c>
      <c r="AA26" s="1263">
        <f t="shared" si="3"/>
        <v>1</v>
      </c>
      <c r="AB26" s="1263">
        <f t="shared" si="4"/>
        <v>1</v>
      </c>
      <c r="AC26" s="1263">
        <f t="shared" si="5"/>
        <v>1</v>
      </c>
    </row>
    <row r="27" spans="1:29" s="102" customFormat="1" ht="15">
      <c r="A27" s="370"/>
      <c r="B27" s="390" t="s">
        <v>1782</v>
      </c>
      <c r="C27" s="1806" t="s">
        <v>3439</v>
      </c>
      <c r="D27" s="401">
        <v>100</v>
      </c>
      <c r="E27" s="1806" t="s">
        <v>3439</v>
      </c>
      <c r="F27" s="395">
        <f>SUMIF(90:90,E27,91:91)-SUMIF(90:90,C27,91:91)+100</f>
        <v>100</v>
      </c>
      <c r="G27" s="1806" t="s">
        <v>3439</v>
      </c>
      <c r="H27" s="401">
        <f>SUMIF(90:90,G27,91:91)-SUMIF(90:90,C27,91:91)+100</f>
        <v>100</v>
      </c>
      <c r="I27" s="1806" t="s">
        <v>3439</v>
      </c>
      <c r="J27" s="401">
        <f>SUMIF(90:90,I27,91:91)-SUMIF(90:90,C27,91:91)+100</f>
        <v>100</v>
      </c>
      <c r="K27" s="538">
        <v>3</v>
      </c>
      <c r="L27" s="2487"/>
      <c r="M27" s="2439"/>
      <c r="N27" s="2439"/>
      <c r="O27" s="2439"/>
      <c r="P27" s="3404"/>
      <c r="Q27" s="530" t="str">
        <f t="shared" si="11"/>
        <v>人流量</v>
      </c>
      <c r="R27" s="662" t="s">
        <v>14</v>
      </c>
      <c r="S27" s="663">
        <f>F27</f>
        <v>100</v>
      </c>
      <c r="T27" s="662" t="s">
        <v>14</v>
      </c>
      <c r="U27" s="663">
        <f>H27</f>
        <v>100</v>
      </c>
      <c r="V27" s="662" t="s">
        <v>14</v>
      </c>
      <c r="W27" s="663">
        <f>J27</f>
        <v>100</v>
      </c>
      <c r="X27" s="664"/>
      <c r="Y27" s="3406"/>
      <c r="Z27" s="50" t="str">
        <f>Q27</f>
        <v>人流量</v>
      </c>
      <c r="AA27" s="1263">
        <f>D27/F27</f>
        <v>1</v>
      </c>
      <c r="AB27" s="1263">
        <f>D27/H27</f>
        <v>1</v>
      </c>
      <c r="AC27" s="1263">
        <f>D27/J27</f>
        <v>1</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1"/>
      <c r="M28" s="2486"/>
      <c r="N28" s="2486"/>
      <c r="O28" s="2486"/>
      <c r="P28" s="3404"/>
      <c r="Q28" s="1262" t="str">
        <f t="shared" si="11"/>
        <v>楼层</v>
      </c>
      <c r="R28" s="665" t="s">
        <v>14</v>
      </c>
      <c r="S28" s="666">
        <f t="shared" ref="S28:S46" si="12">F28</f>
        <v>100</v>
      </c>
      <c r="T28" s="665" t="s">
        <v>14</v>
      </c>
      <c r="U28" s="666">
        <f t="shared" ref="U28:U46" si="13">H28</f>
        <v>100</v>
      </c>
      <c r="V28" s="665" t="s">
        <v>14</v>
      </c>
      <c r="W28" s="666">
        <f t="shared" ref="W28:W46" si="14">J28</f>
        <v>100</v>
      </c>
      <c r="X28" s="1264"/>
      <c r="Y28" s="340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4"/>
      <c r="Q29" s="1262">
        <f t="shared" si="11"/>
        <v>111</v>
      </c>
      <c r="R29" s="665" t="s">
        <v>14</v>
      </c>
      <c r="S29" s="666">
        <f t="shared" si="12"/>
        <v>100</v>
      </c>
      <c r="T29" s="665" t="s">
        <v>14</v>
      </c>
      <c r="U29" s="666">
        <f t="shared" si="13"/>
        <v>100</v>
      </c>
      <c r="V29" s="665" t="s">
        <v>14</v>
      </c>
      <c r="W29" s="666">
        <f t="shared" si="14"/>
        <v>100</v>
      </c>
      <c r="X29" s="1264"/>
      <c r="Y29" s="340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263">
        <f t="shared" si="5"/>
        <v>1</v>
      </c>
    </row>
    <row r="32" spans="1:29" ht="15">
      <c r="A32" s="379" t="s">
        <v>1694</v>
      </c>
      <c r="B32" s="60" t="s">
        <v>1784</v>
      </c>
      <c r="C32" s="1763" t="s">
        <v>3468</v>
      </c>
      <c r="D32" s="405">
        <v>100</v>
      </c>
      <c r="E32" s="1763" t="s">
        <v>3448</v>
      </c>
      <c r="F32" s="400">
        <f>SUMIF(100:100,E32,101:101)-SUMIF(100:100,C32,101:101)+100</f>
        <v>98</v>
      </c>
      <c r="G32" s="1763" t="s">
        <v>3448</v>
      </c>
      <c r="H32" s="374">
        <f>SUMIF(100:100,G32,101:101)-SUMIF(100:100,C32,101:101)+100</f>
        <v>98</v>
      </c>
      <c r="I32" s="1763" t="s">
        <v>3448</v>
      </c>
      <c r="J32" s="405">
        <f>SUMIF(100:100,I32,101:101)-SUMIF(100:100,C32,101:101)+100</f>
        <v>98</v>
      </c>
      <c r="K32" s="538">
        <v>2</v>
      </c>
      <c r="L32" s="2491"/>
      <c r="M32" s="2486"/>
      <c r="N32" s="2486"/>
      <c r="O32" s="2486"/>
      <c r="P32" s="3407" t="s">
        <v>1696</v>
      </c>
      <c r="Q32" s="1262" t="str">
        <f t="shared" si="11"/>
        <v>商业类型</v>
      </c>
      <c r="R32" s="665" t="s">
        <v>14</v>
      </c>
      <c r="S32" s="666">
        <f t="shared" si="12"/>
        <v>98</v>
      </c>
      <c r="T32" s="665" t="s">
        <v>14</v>
      </c>
      <c r="U32" s="666">
        <f t="shared" si="13"/>
        <v>98</v>
      </c>
      <c r="V32" s="665" t="s">
        <v>14</v>
      </c>
      <c r="W32" s="666">
        <f t="shared" si="14"/>
        <v>98</v>
      </c>
      <c r="X32" s="1264"/>
      <c r="Y32" s="3410" t="s">
        <v>1696</v>
      </c>
      <c r="Z32" s="1263" t="str">
        <f t="shared" si="15"/>
        <v>商业类型</v>
      </c>
      <c r="AA32" s="1263">
        <f t="shared" si="3"/>
        <v>1.0204081632653061</v>
      </c>
      <c r="AB32" s="1263">
        <f t="shared" si="4"/>
        <v>1.0204081632653061</v>
      </c>
      <c r="AC32" s="1263">
        <f t="shared" si="5"/>
        <v>1.0204081632653061</v>
      </c>
    </row>
    <row r="33" spans="1:29" s="408" customFormat="1" ht="15">
      <c r="A33" s="406"/>
      <c r="B33" s="364" t="s">
        <v>1697</v>
      </c>
      <c r="C33" s="407">
        <f>'数据-汇总表'!E3</f>
        <v>681.29</v>
      </c>
      <c r="D33" s="119">
        <v>100</v>
      </c>
      <c r="E33" s="407">
        <v>159.93</v>
      </c>
      <c r="F33" s="364">
        <f>LOOKUP(E33,103:103,104:104)-LOOKUP(C33,103:103,104:104)+100</f>
        <v>102</v>
      </c>
      <c r="G33" s="407">
        <v>85.82</v>
      </c>
      <c r="H33" s="119">
        <f>LOOKUP(G33,103:103,104:104)-LOOKUP(C33,103:103,104:104)+100</f>
        <v>103</v>
      </c>
      <c r="I33" s="407">
        <v>49.68</v>
      </c>
      <c r="J33" s="119">
        <f>LOOKUP(I33,103:103,104:104)-LOOKUP(C33,103:103,104:104)+100</f>
        <v>103</v>
      </c>
      <c r="K33" s="539"/>
      <c r="L33" s="2490"/>
      <c r="M33" s="2492"/>
      <c r="N33" s="2492"/>
      <c r="O33" s="2492"/>
      <c r="P33" s="3408"/>
      <c r="Q33" s="531" t="str">
        <f t="shared" si="11"/>
        <v>项目建筑规模</v>
      </c>
      <c r="R33" s="667" t="s">
        <v>14</v>
      </c>
      <c r="S33" s="668">
        <f t="shared" si="12"/>
        <v>102</v>
      </c>
      <c r="T33" s="667" t="s">
        <v>14</v>
      </c>
      <c r="U33" s="668">
        <f t="shared" si="13"/>
        <v>103</v>
      </c>
      <c r="V33" s="667" t="s">
        <v>14</v>
      </c>
      <c r="W33" s="668">
        <f t="shared" si="14"/>
        <v>103</v>
      </c>
      <c r="X33" s="669"/>
      <c r="Y33" s="3410"/>
      <c r="Z33" s="670" t="str">
        <f t="shared" si="15"/>
        <v>项目建筑规模</v>
      </c>
      <c r="AA33" s="1263">
        <f t="shared" si="3"/>
        <v>0.98039215686274506</v>
      </c>
      <c r="AB33" s="1263">
        <f t="shared" si="4"/>
        <v>0.970873786407767</v>
      </c>
      <c r="AC33" s="1263">
        <f t="shared" si="5"/>
        <v>0.970873786407767</v>
      </c>
    </row>
    <row r="34" spans="1:29" ht="15">
      <c r="A34" s="409"/>
      <c r="B34" s="364" t="s">
        <v>1698</v>
      </c>
      <c r="C34" s="399" t="s">
        <v>3424</v>
      </c>
      <c r="D34" s="374">
        <v>100</v>
      </c>
      <c r="E34" s="399" t="s">
        <v>3424</v>
      </c>
      <c r="F34" s="400">
        <f>SUMIF(105:105,E34,106:106)-SUMIF(105:105,C34,106:106)+100</f>
        <v>100</v>
      </c>
      <c r="G34" s="399" t="s">
        <v>3424</v>
      </c>
      <c r="H34" s="374">
        <f>SUMIF(105:105,G34,106:106)-SUMIF(105:105,C34,106:106)+100</f>
        <v>100</v>
      </c>
      <c r="I34" s="399" t="s">
        <v>3424</v>
      </c>
      <c r="J34" s="374">
        <f>SUMIF(105:105,I34,106:106)-SUMIF(105:105,C34,106:106)+100</f>
        <v>100</v>
      </c>
      <c r="K34" s="538">
        <v>1</v>
      </c>
      <c r="L34" s="2491"/>
      <c r="M34" s="2486"/>
      <c r="N34" s="2486"/>
      <c r="O34" s="2486"/>
      <c r="P34" s="3408"/>
      <c r="Q34" s="1262" t="str">
        <f t="shared" si="11"/>
        <v>建筑结构</v>
      </c>
      <c r="R34" s="665" t="s">
        <v>14</v>
      </c>
      <c r="S34" s="666">
        <f t="shared" si="12"/>
        <v>100</v>
      </c>
      <c r="T34" s="665" t="s">
        <v>14</v>
      </c>
      <c r="U34" s="666">
        <f t="shared" si="13"/>
        <v>100</v>
      </c>
      <c r="V34" s="665" t="s">
        <v>14</v>
      </c>
      <c r="W34" s="666">
        <f t="shared" si="14"/>
        <v>100</v>
      </c>
      <c r="X34" s="1264"/>
      <c r="Y34" s="3410"/>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1</v>
      </c>
      <c r="L35" s="2491"/>
      <c r="M35" s="2486"/>
      <c r="N35" s="2486"/>
      <c r="O35" s="2486"/>
      <c r="P35" s="3408"/>
      <c r="Q35" s="1262" t="str">
        <f t="shared" si="11"/>
        <v>公共部分装修</v>
      </c>
      <c r="R35" s="665" t="s">
        <v>14</v>
      </c>
      <c r="S35" s="666">
        <f t="shared" si="12"/>
        <v>100</v>
      </c>
      <c r="T35" s="665" t="s">
        <v>14</v>
      </c>
      <c r="U35" s="666">
        <f t="shared" si="13"/>
        <v>100</v>
      </c>
      <c r="V35" s="665" t="s">
        <v>14</v>
      </c>
      <c r="W35" s="666">
        <f t="shared" si="14"/>
        <v>100</v>
      </c>
      <c r="X35" s="1264"/>
      <c r="Y35" s="3410"/>
      <c r="Z35" s="1263" t="str">
        <f t="shared" si="15"/>
        <v>公共部分装修</v>
      </c>
      <c r="AA35" s="1263">
        <f t="shared" si="3"/>
        <v>1</v>
      </c>
      <c r="AB35" s="1263">
        <f t="shared" si="4"/>
        <v>1</v>
      </c>
      <c r="AC35" s="1263">
        <f t="shared" si="5"/>
        <v>1</v>
      </c>
    </row>
    <row r="36" spans="1:29" ht="15">
      <c r="A36" s="409"/>
      <c r="B36" s="364" t="s">
        <v>1786</v>
      </c>
      <c r="C36" s="411">
        <f>'数据-取费表'!N6</f>
        <v>0.82</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91"/>
      <c r="M36" s="2486"/>
      <c r="N36" s="2486"/>
      <c r="O36" s="2486"/>
      <c r="P36" s="3408"/>
      <c r="Q36" s="1262" t="str">
        <f t="shared" si="11"/>
        <v>成新度</v>
      </c>
      <c r="R36" s="665" t="s">
        <v>14</v>
      </c>
      <c r="S36" s="666">
        <f t="shared" si="12"/>
        <v>100</v>
      </c>
      <c r="T36" s="665" t="s">
        <v>14</v>
      </c>
      <c r="U36" s="666">
        <f t="shared" si="13"/>
        <v>100</v>
      </c>
      <c r="V36" s="665" t="s">
        <v>14</v>
      </c>
      <c r="W36" s="666">
        <f t="shared" si="14"/>
        <v>100</v>
      </c>
      <c r="X36" s="1264"/>
      <c r="Y36" s="3410"/>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8"/>
      <c r="Q37" s="530" t="str">
        <f t="shared" si="11"/>
        <v>市政基础设施</v>
      </c>
      <c r="R37" s="662" t="s">
        <v>14</v>
      </c>
      <c r="S37" s="663">
        <f t="shared" si="12"/>
        <v>100</v>
      </c>
      <c r="T37" s="662" t="s">
        <v>14</v>
      </c>
      <c r="U37" s="663">
        <f t="shared" si="13"/>
        <v>100</v>
      </c>
      <c r="V37" s="662" t="s">
        <v>14</v>
      </c>
      <c r="W37" s="663">
        <f t="shared" si="14"/>
        <v>100</v>
      </c>
      <c r="X37" s="664"/>
      <c r="Y37" s="3410"/>
      <c r="Z37" s="50" t="str">
        <f t="shared" si="15"/>
        <v>市政基础设施</v>
      </c>
      <c r="AA37" s="50">
        <f t="shared" si="3"/>
        <v>1</v>
      </c>
      <c r="AB37" s="50">
        <f t="shared" si="4"/>
        <v>1</v>
      </c>
      <c r="AC37" s="50">
        <f t="shared" si="5"/>
        <v>1</v>
      </c>
    </row>
    <row r="38" spans="1:29" ht="15">
      <c r="A38" s="409"/>
      <c r="B38" s="364" t="s">
        <v>1788</v>
      </c>
      <c r="C38" s="1759" t="s">
        <v>3455</v>
      </c>
      <c r="D38" s="374">
        <v>100</v>
      </c>
      <c r="E38" s="1759" t="s">
        <v>3456</v>
      </c>
      <c r="F38" s="400">
        <f>SUMIF(114:114,E38,115:115)-SUMIF(114:114,C38,115:115)+100</f>
        <v>97</v>
      </c>
      <c r="G38" s="1759" t="s">
        <v>3456</v>
      </c>
      <c r="H38" s="374">
        <f>SUMIF(114:114,G38,115:115)-SUMIF(114:114,C38,115:115)+100</f>
        <v>97</v>
      </c>
      <c r="I38" s="1759" t="s">
        <v>3456</v>
      </c>
      <c r="J38" s="374">
        <f>SUMIF(114:114,I38,115:115)-SUMIF(114:114,C38,115:115)+100</f>
        <v>97</v>
      </c>
      <c r="K38" s="538">
        <v>3</v>
      </c>
      <c r="L38" s="2491"/>
      <c r="M38" s="2486"/>
      <c r="N38" s="2486"/>
      <c r="O38" s="2486"/>
      <c r="P38" s="3408" t="s">
        <v>1696</v>
      </c>
      <c r="Q38" s="1262" t="str">
        <f t="shared" si="11"/>
        <v>业态</v>
      </c>
      <c r="R38" s="665" t="s">
        <v>14</v>
      </c>
      <c r="S38" s="666">
        <f t="shared" si="12"/>
        <v>97</v>
      </c>
      <c r="T38" s="665" t="s">
        <v>14</v>
      </c>
      <c r="U38" s="666">
        <f t="shared" si="13"/>
        <v>97</v>
      </c>
      <c r="V38" s="665" t="s">
        <v>14</v>
      </c>
      <c r="W38" s="666">
        <f t="shared" si="14"/>
        <v>97</v>
      </c>
      <c r="X38" s="1264"/>
      <c r="Y38" s="3410" t="s">
        <v>1696</v>
      </c>
      <c r="Z38" s="1263" t="str">
        <f t="shared" si="15"/>
        <v>业态</v>
      </c>
      <c r="AA38" s="1263">
        <f t="shared" si="3"/>
        <v>1.0309278350515463</v>
      </c>
      <c r="AB38" s="1263">
        <f t="shared" si="4"/>
        <v>1.0309278350515463</v>
      </c>
      <c r="AC38" s="1263">
        <f t="shared" si="5"/>
        <v>1.0309278350515463</v>
      </c>
    </row>
    <row r="39" spans="1:29" ht="15">
      <c r="A39" s="409"/>
      <c r="B39" s="364" t="s">
        <v>1789</v>
      </c>
      <c r="C39" s="1759" t="s">
        <v>3457</v>
      </c>
      <c r="D39" s="374">
        <v>100</v>
      </c>
      <c r="E39" s="1759" t="s">
        <v>3457</v>
      </c>
      <c r="F39" s="400">
        <f>SUMIF(116:116,E39,117:117)-SUMIF(116:116,C39,117:117)+100</f>
        <v>100</v>
      </c>
      <c r="G39" s="1759" t="s">
        <v>3457</v>
      </c>
      <c r="H39" s="374">
        <f>SUMIF(116:116,G39,117:117)-SUMIF(116:116,C39,117:117)+100</f>
        <v>100</v>
      </c>
      <c r="I39" s="1759" t="s">
        <v>3457</v>
      </c>
      <c r="J39" s="374">
        <f>SUMIF(116:116,I39,117:117)-SUMIF(116:116,C39,117:117)+100</f>
        <v>100</v>
      </c>
      <c r="K39" s="538">
        <v>2</v>
      </c>
      <c r="L39" s="2491"/>
      <c r="M39" s="2486"/>
      <c r="N39" s="2486"/>
      <c r="O39" s="2486"/>
      <c r="P39" s="3408"/>
      <c r="Q39" s="1262" t="str">
        <f t="shared" si="11"/>
        <v>层高</v>
      </c>
      <c r="R39" s="665" t="s">
        <v>14</v>
      </c>
      <c r="S39" s="666">
        <f t="shared" si="12"/>
        <v>100</v>
      </c>
      <c r="T39" s="665" t="s">
        <v>14</v>
      </c>
      <c r="U39" s="666">
        <f t="shared" si="13"/>
        <v>100</v>
      </c>
      <c r="V39" s="665" t="s">
        <v>14</v>
      </c>
      <c r="W39" s="666">
        <f t="shared" si="14"/>
        <v>100</v>
      </c>
      <c r="X39" s="1264"/>
      <c r="Y39" s="341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08"/>
      <c r="Q40" s="1262" t="str">
        <f t="shared" si="11"/>
        <v>单套建筑面积</v>
      </c>
      <c r="R40" s="665" t="s">
        <v>14</v>
      </c>
      <c r="S40" s="666">
        <f t="shared" si="12"/>
        <v>100</v>
      </c>
      <c r="T40" s="665" t="s">
        <v>14</v>
      </c>
      <c r="U40" s="666">
        <f t="shared" si="13"/>
        <v>100</v>
      </c>
      <c r="V40" s="665" t="s">
        <v>14</v>
      </c>
      <c r="W40" s="666">
        <f t="shared" si="14"/>
        <v>100</v>
      </c>
      <c r="X40" s="1264"/>
      <c r="Y40" s="3410"/>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8"/>
      <c r="Q41" s="531" t="str">
        <f t="shared" si="11"/>
        <v>进深比</v>
      </c>
      <c r="R41" s="667" t="s">
        <v>14</v>
      </c>
      <c r="S41" s="668">
        <f t="shared" si="12"/>
        <v>100</v>
      </c>
      <c r="T41" s="667" t="s">
        <v>14</v>
      </c>
      <c r="U41" s="668">
        <f t="shared" si="13"/>
        <v>100</v>
      </c>
      <c r="V41" s="667" t="s">
        <v>14</v>
      </c>
      <c r="W41" s="668">
        <f t="shared" si="14"/>
        <v>100</v>
      </c>
      <c r="X41" s="669"/>
      <c r="Y41" s="3410"/>
      <c r="Z41" s="670"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1</v>
      </c>
      <c r="L42" s="2491"/>
      <c r="M42" s="2486"/>
      <c r="N42" s="2486"/>
      <c r="O42" s="2486"/>
      <c r="P42" s="3408"/>
      <c r="Q42" s="1262" t="str">
        <f t="shared" si="11"/>
        <v>内部装修</v>
      </c>
      <c r="R42" s="665" t="s">
        <v>14</v>
      </c>
      <c r="S42" s="666">
        <f t="shared" si="12"/>
        <v>100</v>
      </c>
      <c r="T42" s="665" t="s">
        <v>14</v>
      </c>
      <c r="U42" s="666">
        <f t="shared" si="13"/>
        <v>100</v>
      </c>
      <c r="V42" s="665" t="s">
        <v>14</v>
      </c>
      <c r="W42" s="666">
        <f t="shared" si="14"/>
        <v>100</v>
      </c>
      <c r="X42" s="1264"/>
      <c r="Y42" s="3410"/>
      <c r="Z42" s="1263" t="str">
        <f t="shared" si="15"/>
        <v>内部装修</v>
      </c>
      <c r="AA42" s="1263">
        <f t="shared" si="3"/>
        <v>1</v>
      </c>
      <c r="AB42" s="1263">
        <f t="shared" si="4"/>
        <v>1</v>
      </c>
      <c r="AC42" s="1263">
        <f t="shared" si="5"/>
        <v>1</v>
      </c>
    </row>
    <row r="43" spans="1:29" ht="15">
      <c r="A43" s="409"/>
      <c r="B43" s="364" t="s">
        <v>1707</v>
      </c>
      <c r="C43" s="1759" t="s">
        <v>3438</v>
      </c>
      <c r="D43" s="374">
        <v>100</v>
      </c>
      <c r="E43" s="1759" t="s">
        <v>3438</v>
      </c>
      <c r="F43" s="400">
        <f>SUMIF(124:124,E43,125:125)-SUMIF(124:124,C43,125:125)+100</f>
        <v>100</v>
      </c>
      <c r="G43" s="1759" t="s">
        <v>3438</v>
      </c>
      <c r="H43" s="374">
        <f>SUMIF(124:124,G43,125:125)-SUMIF(124:124,C43,125:125)+100</f>
        <v>100</v>
      </c>
      <c r="I43" s="1759" t="s">
        <v>3438</v>
      </c>
      <c r="J43" s="374">
        <f>SUMIF(124:124,I43,125:125)-SUMIF(124:124,C43,125:125)+100</f>
        <v>100</v>
      </c>
      <c r="K43" s="538">
        <v>1</v>
      </c>
      <c r="L43" s="2491"/>
      <c r="M43" s="2486"/>
      <c r="N43" s="2486"/>
      <c r="O43" s="2486"/>
      <c r="P43" s="3408"/>
      <c r="Q43" s="1262" t="str">
        <f t="shared" si="11"/>
        <v>内部装修维护情况</v>
      </c>
      <c r="R43" s="665" t="s">
        <v>14</v>
      </c>
      <c r="S43" s="666">
        <f t="shared" si="12"/>
        <v>100</v>
      </c>
      <c r="T43" s="665" t="s">
        <v>14</v>
      </c>
      <c r="U43" s="666">
        <f t="shared" si="13"/>
        <v>100</v>
      </c>
      <c r="V43" s="665" t="s">
        <v>14</v>
      </c>
      <c r="W43" s="666">
        <f t="shared" si="14"/>
        <v>100</v>
      </c>
      <c r="X43" s="1264"/>
      <c r="Y43" s="341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f>26*10000/E33/365</f>
        <v>4.4540034210172426</v>
      </c>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8"/>
      <c r="Q44" s="530">
        <f t="shared" si="11"/>
        <v>111</v>
      </c>
      <c r="R44" s="662" t="s">
        <v>14</v>
      </c>
      <c r="S44" s="663">
        <f t="shared" si="12"/>
        <v>100</v>
      </c>
      <c r="T44" s="662" t="s">
        <v>14</v>
      </c>
      <c r="U44" s="663">
        <f t="shared" si="13"/>
        <v>100</v>
      </c>
      <c r="V44" s="662" t="s">
        <v>14</v>
      </c>
      <c r="W44" s="663">
        <f t="shared" si="14"/>
        <v>100</v>
      </c>
      <c r="X44" s="664"/>
      <c r="Y44" s="3410"/>
      <c r="Z44" s="50">
        <f t="shared" si="15"/>
        <v>111</v>
      </c>
      <c r="AA44" s="50">
        <f t="shared" si="3"/>
        <v>1</v>
      </c>
      <c r="AB44" s="50">
        <f t="shared" si="4"/>
        <v>1</v>
      </c>
      <c r="AC44" s="50">
        <f t="shared" si="5"/>
        <v>1</v>
      </c>
    </row>
    <row r="45" spans="1:29" ht="15">
      <c r="A45" s="409"/>
      <c r="B45" s="3180" t="s">
        <v>3474</v>
      </c>
      <c r="C45" s="373">
        <v>2013</v>
      </c>
      <c r="D45" s="374">
        <v>100</v>
      </c>
      <c r="E45" s="373" t="s">
        <v>3475</v>
      </c>
      <c r="F45" s="400">
        <f>SUMIF(128:128,E45,129:129)-SUMIF(128:128,C45,129:129)+100</f>
        <v>100</v>
      </c>
      <c r="G45" s="373" t="s">
        <v>3473</v>
      </c>
      <c r="H45" s="374">
        <f>SUMIF(128:128,G45,129:129)-SUMIF(128:128,C45,129:129)+100</f>
        <v>100</v>
      </c>
      <c r="I45" s="373">
        <v>2015</v>
      </c>
      <c r="J45" s="374">
        <f>SUMIF(128:128,I45,129:129)-SUMIF(128:128,C45,129:129)+100</f>
        <v>100</v>
      </c>
      <c r="K45" s="539"/>
      <c r="L45" s="2491"/>
      <c r="M45" s="2486"/>
      <c r="N45" s="2486"/>
      <c r="O45" s="2486"/>
      <c r="P45" s="3408"/>
      <c r="Q45" s="1262" t="str">
        <f t="shared" si="11"/>
        <v>建成年代</v>
      </c>
      <c r="R45" s="665" t="s">
        <v>14</v>
      </c>
      <c r="S45" s="666">
        <f t="shared" si="12"/>
        <v>100</v>
      </c>
      <c r="T45" s="665" t="s">
        <v>14</v>
      </c>
      <c r="U45" s="666">
        <f t="shared" si="13"/>
        <v>100</v>
      </c>
      <c r="V45" s="665" t="s">
        <v>14</v>
      </c>
      <c r="W45" s="666">
        <f t="shared" si="14"/>
        <v>100</v>
      </c>
      <c r="X45" s="1264"/>
      <c r="Y45" s="3410"/>
      <c r="Z45" s="1263" t="str">
        <f t="shared" si="15"/>
        <v>建成年代</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9"/>
      <c r="Q46" s="1262">
        <f t="shared" si="11"/>
        <v>111</v>
      </c>
      <c r="R46" s="665" t="s">
        <v>14</v>
      </c>
      <c r="S46" s="666">
        <f t="shared" si="12"/>
        <v>100</v>
      </c>
      <c r="T46" s="665" t="s">
        <v>14</v>
      </c>
      <c r="U46" s="666">
        <f t="shared" si="13"/>
        <v>100</v>
      </c>
      <c r="V46" s="665" t="s">
        <v>14</v>
      </c>
      <c r="W46" s="666">
        <f t="shared" si="14"/>
        <v>100</v>
      </c>
      <c r="X46" s="1264"/>
      <c r="Y46" s="3411"/>
      <c r="Z46" s="1263">
        <f t="shared" si="15"/>
        <v>111</v>
      </c>
      <c r="AA46" s="1263">
        <f t="shared" si="3"/>
        <v>1</v>
      </c>
      <c r="AB46" s="1263">
        <f t="shared" si="4"/>
        <v>1</v>
      </c>
      <c r="AC46" s="1263">
        <f t="shared" si="5"/>
        <v>1</v>
      </c>
    </row>
    <row r="47" spans="1:29" ht="15">
      <c r="A47" s="416" t="s">
        <v>1708</v>
      </c>
      <c r="B47" s="417"/>
      <c r="C47" s="1080" t="s">
        <v>0</v>
      </c>
      <c r="D47" s="418"/>
      <c r="E47" s="419">
        <v>29951</v>
      </c>
      <c r="F47" s="420"/>
      <c r="G47" s="421">
        <v>33792</v>
      </c>
      <c r="H47" s="422"/>
      <c r="I47" s="419">
        <v>30194</v>
      </c>
      <c r="J47" s="422"/>
      <c r="K47" s="672"/>
      <c r="L47" s="2493"/>
      <c r="M47" s="2486"/>
      <c r="N47" s="2486"/>
      <c r="O47" s="2486"/>
      <c r="P47" s="3398" t="str">
        <f>A47</f>
        <v>成交单价（元/平方米）</v>
      </c>
      <c r="Q47" s="3398"/>
      <c r="R47" s="3399">
        <f>E47</f>
        <v>29951</v>
      </c>
      <c r="S47" s="3399"/>
      <c r="T47" s="3399">
        <f>G47</f>
        <v>33792</v>
      </c>
      <c r="U47" s="3399"/>
      <c r="V47" s="3399">
        <f>I47</f>
        <v>30194</v>
      </c>
      <c r="W47" s="3399"/>
      <c r="X47" s="385"/>
      <c r="Y47" s="671"/>
      <c r="Z47" s="385"/>
      <c r="AA47" s="385"/>
      <c r="AB47" s="385"/>
      <c r="AC47" s="385"/>
    </row>
    <row r="48" spans="1:29" ht="15.75" thickBot="1">
      <c r="A48" s="423" t="s">
        <v>1793</v>
      </c>
      <c r="B48" s="424"/>
      <c r="C48" s="1081">
        <f>R49</f>
        <v>30128</v>
      </c>
      <c r="D48" s="2140" t="s">
        <v>2135</v>
      </c>
      <c r="E48" s="1082">
        <f>R48</f>
        <v>28825</v>
      </c>
      <c r="F48" s="2141"/>
      <c r="G48" s="1081">
        <f>T48</f>
        <v>32206</v>
      </c>
      <c r="H48" s="2141"/>
      <c r="I48" s="1082">
        <f>V48</f>
        <v>29353</v>
      </c>
      <c r="J48" s="2141"/>
      <c r="K48" s="2143">
        <f>F48+H48+J48</f>
        <v>0</v>
      </c>
      <c r="L48" s="2493"/>
      <c r="M48" s="2486"/>
      <c r="N48" s="2486"/>
      <c r="O48" s="2486"/>
      <c r="P48" s="3398" t="str">
        <f>A48</f>
        <v>比较价值（元/平方米）</v>
      </c>
      <c r="Q48" s="3398"/>
      <c r="R48" s="3399">
        <f>IF(F1="售价",ROUND(PRODUCT(R47,AA7:AA46),0),ROUND(PRODUCT(R47,AA7:AA46),1))</f>
        <v>28825</v>
      </c>
      <c r="S48" s="3399"/>
      <c r="T48" s="3399">
        <f>IF(F1="售价",ROUND(PRODUCT(T47,AB7:AB46),0),ROUND(PRODUCT(T47,AB7:AB46),1))</f>
        <v>32206</v>
      </c>
      <c r="U48" s="3399"/>
      <c r="V48" s="3399">
        <f>IF(F1="售价",ROUND(PRODUCT(V47,AC7:AC46),0),ROUND(PRODUCT(V47,AC7:AC46),1))</f>
        <v>29353</v>
      </c>
      <c r="W48" s="3399"/>
      <c r="X48" s="385"/>
      <c r="Y48" s="385"/>
      <c r="Z48" s="385"/>
      <c r="AA48" s="385"/>
      <c r="AB48" s="385"/>
      <c r="AC48" s="385"/>
    </row>
    <row r="49" spans="1:29" ht="15.75" thickBot="1">
      <c r="A49" s="427" t="s">
        <v>1794</v>
      </c>
      <c r="B49" s="428"/>
      <c r="C49" s="351">
        <f>R49</f>
        <v>30128</v>
      </c>
      <c r="D49" s="351"/>
      <c r="E49" s="351"/>
      <c r="F49" s="351"/>
      <c r="G49" s="351"/>
      <c r="H49" s="351"/>
      <c r="I49" s="351"/>
      <c r="J49" s="351"/>
      <c r="K49" s="673"/>
      <c r="L49" s="2493"/>
      <c r="M49" s="2486"/>
      <c r="N49" s="2486"/>
      <c r="O49" s="2486"/>
      <c r="P49" s="3445" t="str">
        <f>A49</f>
        <v>估价对象XX用房的比较价值（楼面单价，元/平方米）</v>
      </c>
      <c r="Q49" s="3446"/>
      <c r="R49" s="3447">
        <f>IF(F1="售价",ROUND(IF(D48="简单平均",AVERAGE(R48:V48),R48*F48+T48*H48+V48*J48),0),ROUND(IF(D48="简单平均",AVERAGE(R48:V48),R48*F48+T48*H48+V48*J48),1))</f>
        <v>30128</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3.9063313096270535E-2</v>
      </c>
      <c r="F52" s="435" t="str">
        <f>IF(OR(E52&gt;=0.3,E52&lt;=-0.3),"超过30%","")</f>
        <v/>
      </c>
      <c r="G52" s="434">
        <f>IF(G47&lt;G48,G48/G47-1,G47/G48-1)</f>
        <v>4.9245482208284175E-2</v>
      </c>
      <c r="H52" s="435" t="str">
        <f>IF(OR(G52&gt;=0.3,G52&lt;=-0.3),"超过30%","")</f>
        <v/>
      </c>
      <c r="I52" s="434">
        <f>IF(I47&lt;I48,I48/I47-1,I47/I48-1)</f>
        <v>2.865124518788531E-2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0.11729401561144837</v>
      </c>
      <c r="F53" s="435" t="str">
        <f>IF(OR(E53&gt;=0.2,E53&lt;=-0.2),"超过20%","")</f>
        <v/>
      </c>
      <c r="G53" s="434">
        <f>IF(G48&lt;I48,I48/G48-1,G48/I48-1)</f>
        <v>9.7196198003611123E-2</v>
      </c>
      <c r="H53" s="435" t="str">
        <f>IF(OR(G53&gt;=0.2,G53&lt;=-0.2),"超过20%","")</f>
        <v/>
      </c>
      <c r="I53" s="434">
        <f>IF(I48&lt;E48,E48/I48-1,I48/E48-1)</f>
        <v>1.8317432784041632E-2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0.1282427965677273</v>
      </c>
      <c r="F54" s="435" t="str">
        <f>IF(OR(E54&gt;=0.3,E54&lt;=-0.3),"超过30%","")</f>
        <v/>
      </c>
      <c r="G54" s="434">
        <f>IF(G47&lt;I47,I47/G47-1,G47/I47-1)</f>
        <v>0.11916274756574152</v>
      </c>
      <c r="H54" s="435" t="str">
        <f>IF(OR(G54&gt;=0.3,G54&lt;=-0.3),"超过30%","")</f>
        <v/>
      </c>
      <c r="I54" s="434">
        <f>IF(I47&lt;E47,E47/I47-1,I47/E47-1)</f>
        <v>8.1132516443525038E-3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6" t="s">
        <v>1798</v>
      </c>
      <c r="B57" s="385"/>
      <c r="C57" s="657"/>
      <c r="D57" s="657"/>
      <c r="E57" s="657"/>
      <c r="F57" s="658"/>
      <c r="G57" s="658"/>
      <c r="H57" s="657"/>
      <c r="I57" s="657"/>
      <c r="J57" s="657"/>
      <c r="K57" s="659"/>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3429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3430</v>
      </c>
      <c r="D65" s="513" t="s">
        <v>3431</v>
      </c>
      <c r="E65" s="513" t="s">
        <v>3432</v>
      </c>
      <c r="F65" s="513" t="s">
        <v>3433</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3" t="s">
        <v>3435</v>
      </c>
      <c r="D86" s="3173" t="s">
        <v>3436</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3437</v>
      </c>
      <c r="D88" s="485" t="s">
        <v>3438</v>
      </c>
      <c r="E88" s="485" t="s">
        <v>3439</v>
      </c>
      <c r="F88" s="1779" t="s">
        <v>3440</v>
      </c>
      <c r="G88" s="485" t="s">
        <v>3441</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3" t="s">
        <v>3442</v>
      </c>
      <c r="D90" s="3173" t="s">
        <v>3443</v>
      </c>
      <c r="E90" s="3173" t="s">
        <v>3444</v>
      </c>
      <c r="F90" s="3173" t="s">
        <v>3445</v>
      </c>
      <c r="G90" s="3173" t="s">
        <v>3446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3447</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3469</v>
      </c>
      <c r="D100" s="3174" t="s">
        <v>3449</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3" t="s">
        <v>3450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73" t="s">
        <v>3451</v>
      </c>
      <c r="D107" s="3173" t="s">
        <v>3452</v>
      </c>
      <c r="E107" s="3173" t="s">
        <v>3453</v>
      </c>
      <c r="F107" s="3175" t="s">
        <v>3454</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3" t="s">
        <v>3455</v>
      </c>
      <c r="D114" s="3173"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3"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3" t="s">
        <v>3451</v>
      </c>
      <c r="D122" s="3173" t="s">
        <v>3452</v>
      </c>
      <c r="E122" s="3173" t="s">
        <v>3453</v>
      </c>
      <c r="F122" s="3175" t="s">
        <v>3454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t="str">
        <f>B45</f>
        <v>建成年代</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cfRule type="containsText" dxfId="114" priority="17" stopIfTrue="1" operator="containsText" text="超过">
      <formula>NOT(ISERROR(SEARCH("超过",F52)))</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G54">
    <cfRule type="expression" dxfId="111" priority="13"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conditionalFormatting sqref="J52:J54">
    <cfRule type="containsText" dxfId="10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30" t="s">
        <v>3459</v>
      </c>
      <c r="F1" s="1734" t="s">
        <v>3494</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686</v>
      </c>
      <c r="B3" s="536">
        <f>IF(C2="——",C50,ROUND(B2*10000/D3,0))</f>
        <v>4.7</v>
      </c>
      <c r="C3" s="344" t="s">
        <v>1665</v>
      </c>
      <c r="D3" s="343">
        <f>IF(D1="",'数据-汇总表'!E3,SUMIF('数据-汇总表'!$C19:$C33,D1,'数据-汇总表'!$E19:$E33))</f>
        <v>0</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1666</v>
      </c>
      <c r="B4" s="346"/>
      <c r="C4" s="3415" t="s">
        <v>1667</v>
      </c>
      <c r="D4" s="3416"/>
      <c r="E4" s="3417" t="s">
        <v>1668</v>
      </c>
      <c r="F4" s="3418"/>
      <c r="G4" s="3415" t="s">
        <v>1669</v>
      </c>
      <c r="H4" s="3416"/>
      <c r="I4" s="3415" t="s">
        <v>1670</v>
      </c>
      <c r="J4" s="3416"/>
      <c r="K4" s="537" t="s">
        <v>1671</v>
      </c>
      <c r="L4" s="2485"/>
      <c r="M4" s="2486"/>
      <c r="N4" s="2486"/>
      <c r="O4" s="2486"/>
      <c r="P4" s="3419" t="s">
        <v>1672</v>
      </c>
      <c r="Q4" s="3420"/>
      <c r="R4" s="3425" t="s">
        <v>1668</v>
      </c>
      <c r="S4" s="3426"/>
      <c r="T4" s="3425" t="s">
        <v>1669</v>
      </c>
      <c r="U4" s="3426"/>
      <c r="V4" s="3431" t="s">
        <v>1670</v>
      </c>
      <c r="W4" s="3431"/>
      <c r="X4" s="1808"/>
      <c r="Y4" s="3425" t="s">
        <v>1672</v>
      </c>
      <c r="Z4" s="3426"/>
      <c r="AA4" s="3442" t="s">
        <v>1668</v>
      </c>
      <c r="AB4" s="3442" t="s">
        <v>1669</v>
      </c>
      <c r="AC4" s="3412" t="s">
        <v>1670</v>
      </c>
    </row>
    <row r="5" spans="1:29" ht="15">
      <c r="A5" s="348"/>
      <c r="B5" s="349"/>
      <c r="C5" s="3434" t="s">
        <v>3503</v>
      </c>
      <c r="D5" s="3435"/>
      <c r="E5" s="3456" t="s">
        <v>3497</v>
      </c>
      <c r="F5" s="3457"/>
      <c r="G5" s="3434" t="s">
        <v>3497</v>
      </c>
      <c r="H5" s="3435"/>
      <c r="I5" s="3434" t="s">
        <v>3497</v>
      </c>
      <c r="J5" s="3435"/>
      <c r="K5" s="537"/>
      <c r="L5" s="2485"/>
      <c r="M5" s="2486"/>
      <c r="N5" s="2486"/>
      <c r="O5" s="2486"/>
      <c r="P5" s="3421"/>
      <c r="Q5" s="3422"/>
      <c r="R5" s="3427"/>
      <c r="S5" s="3428"/>
      <c r="T5" s="3427"/>
      <c r="U5" s="3428"/>
      <c r="V5" s="3399"/>
      <c r="W5" s="3399"/>
      <c r="X5" s="1264"/>
      <c r="Y5" s="3427"/>
      <c r="Z5" s="3428"/>
      <c r="AA5" s="3443"/>
      <c r="AB5" s="3443"/>
      <c r="AC5" s="341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23"/>
      <c r="Q6" s="3424"/>
      <c r="R6" s="3427"/>
      <c r="S6" s="3428"/>
      <c r="T6" s="3429"/>
      <c r="U6" s="3430"/>
      <c r="V6" s="3399"/>
      <c r="W6" s="3399"/>
      <c r="X6" s="1264"/>
      <c r="Y6" s="3429"/>
      <c r="Z6" s="3430"/>
      <c r="AA6" s="3444"/>
      <c r="AB6" s="3444"/>
      <c r="AC6" s="3414"/>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6"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800">
        <f>D7/J7</f>
        <v>1</v>
      </c>
    </row>
    <row r="8" spans="1:29" s="102" customFormat="1" ht="15.75" thickBot="1">
      <c r="A8" s="352" t="s">
        <v>1681</v>
      </c>
      <c r="B8" s="353"/>
      <c r="C8" s="358" t="s">
        <v>3427</v>
      </c>
      <c r="D8" s="355">
        <v>100</v>
      </c>
      <c r="E8" s="358" t="s">
        <v>3428</v>
      </c>
      <c r="F8" s="357">
        <f>SUMIF(62:62,E8,63:63)-SUMIF(62:62,C8,63:63)+100</f>
        <v>102</v>
      </c>
      <c r="G8" s="358" t="s">
        <v>3428</v>
      </c>
      <c r="H8" s="355">
        <f>SUMIF(62:62,G8,63:63)-SUMIF(62:62,C8,63:63)+100</f>
        <v>102</v>
      </c>
      <c r="I8" s="358" t="s">
        <v>3428</v>
      </c>
      <c r="J8" s="355">
        <f>SUMIF(62:62,I8,63:63)-SUMIF(62:62,C8,63:63)+100</f>
        <v>102</v>
      </c>
      <c r="K8" s="38"/>
      <c r="L8" s="2487"/>
      <c r="M8" s="2439"/>
      <c r="N8" s="2439"/>
      <c r="O8" s="2439"/>
      <c r="P8" s="3436" t="s">
        <v>1683</v>
      </c>
      <c r="Q8" s="3437"/>
      <c r="R8" s="662" t="s">
        <v>14</v>
      </c>
      <c r="S8" s="663">
        <f t="shared" si="0"/>
        <v>102</v>
      </c>
      <c r="T8" s="662" t="s">
        <v>14</v>
      </c>
      <c r="U8" s="663">
        <f t="shared" si="1"/>
        <v>102</v>
      </c>
      <c r="V8" s="662" t="s">
        <v>14</v>
      </c>
      <c r="W8" s="663">
        <f t="shared" si="2"/>
        <v>102</v>
      </c>
      <c r="X8" s="664"/>
      <c r="Y8" s="3438" t="s">
        <v>1683</v>
      </c>
      <c r="Z8" s="3437"/>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03" t="s">
        <v>1691</v>
      </c>
      <c r="Q15" s="1262" t="str">
        <f t="shared" si="6"/>
        <v>办公集聚程度</v>
      </c>
      <c r="R15" s="665" t="s">
        <v>14</v>
      </c>
      <c r="S15" s="666">
        <f t="shared" si="0"/>
        <v>100</v>
      </c>
      <c r="T15" s="665" t="s">
        <v>14</v>
      </c>
      <c r="U15" s="666">
        <f t="shared" si="1"/>
        <v>100</v>
      </c>
      <c r="V15" s="665" t="s">
        <v>14</v>
      </c>
      <c r="W15" s="666">
        <f t="shared" si="2"/>
        <v>100</v>
      </c>
      <c r="X15" s="1264"/>
      <c r="Y15" s="3405" t="s">
        <v>1691</v>
      </c>
      <c r="Z15" s="1263" t="str">
        <f t="shared" si="7"/>
        <v>办公集聚程度</v>
      </c>
      <c r="AA15" s="1263">
        <f t="shared" si="3"/>
        <v>1</v>
      </c>
      <c r="AB15" s="1263">
        <f t="shared" si="4"/>
        <v>1</v>
      </c>
      <c r="AC15" s="1811">
        <f t="shared" si="5"/>
        <v>1</v>
      </c>
    </row>
    <row r="16" spans="1:29" ht="15">
      <c r="A16" s="367"/>
      <c r="B16" s="554"/>
      <c r="C16" s="1757" t="s">
        <v>3437</v>
      </c>
      <c r="D16" s="387"/>
      <c r="E16" s="1757" t="s">
        <v>3437</v>
      </c>
      <c r="F16" s="387"/>
      <c r="G16" s="1757" t="s">
        <v>3437</v>
      </c>
      <c r="H16" s="389"/>
      <c r="I16" s="1757" t="s">
        <v>3437</v>
      </c>
      <c r="J16" s="387"/>
      <c r="K16" s="541"/>
      <c r="L16" s="2491"/>
      <c r="M16" s="2486"/>
      <c r="N16" s="2486"/>
      <c r="O16" s="2486"/>
      <c r="P16" s="3404"/>
      <c r="Q16" s="1262"/>
      <c r="R16" s="665"/>
      <c r="S16" s="666"/>
      <c r="T16" s="665"/>
      <c r="U16" s="666"/>
      <c r="V16" s="665"/>
      <c r="W16" s="666"/>
      <c r="X16" s="1264"/>
      <c r="Y16" s="340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811">
        <f t="shared" si="5"/>
        <v>1</v>
      </c>
    </row>
    <row r="18" spans="1:29" ht="15">
      <c r="A18" s="367"/>
      <c r="B18" s="401"/>
      <c r="C18" s="1813" t="s">
        <v>3437</v>
      </c>
      <c r="D18" s="389"/>
      <c r="E18" s="1813" t="s">
        <v>3437</v>
      </c>
      <c r="F18" s="389"/>
      <c r="G18" s="1813" t="s">
        <v>3437</v>
      </c>
      <c r="H18" s="387"/>
      <c r="I18" s="1813" t="s">
        <v>3437</v>
      </c>
      <c r="J18" s="387"/>
      <c r="K18" s="541"/>
      <c r="L18" s="2491"/>
      <c r="M18" s="2486"/>
      <c r="N18" s="2486"/>
      <c r="O18" s="2486"/>
      <c r="P18" s="3404"/>
      <c r="Q18" s="1262"/>
      <c r="R18" s="665"/>
      <c r="S18" s="666"/>
      <c r="T18" s="665"/>
      <c r="U18" s="666"/>
      <c r="V18" s="665"/>
      <c r="W18" s="666"/>
      <c r="X18" s="1264"/>
      <c r="Y18" s="340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811">
        <f t="shared" si="5"/>
        <v>1</v>
      </c>
    </row>
    <row r="20" spans="1:29" ht="15">
      <c r="A20" s="367"/>
      <c r="B20" s="401"/>
      <c r="C20" s="1757" t="s">
        <v>3438</v>
      </c>
      <c r="D20" s="387"/>
      <c r="E20" s="1757" t="s">
        <v>3438</v>
      </c>
      <c r="F20" s="387"/>
      <c r="G20" s="1757" t="s">
        <v>3438</v>
      </c>
      <c r="H20" s="387"/>
      <c r="I20" s="1757" t="s">
        <v>3438</v>
      </c>
      <c r="J20" s="387"/>
      <c r="K20" s="541"/>
      <c r="L20" s="2491"/>
      <c r="M20" s="2486"/>
      <c r="N20" s="2486"/>
      <c r="O20" s="2486"/>
      <c r="P20" s="3404"/>
      <c r="Q20" s="1262"/>
      <c r="R20" s="665"/>
      <c r="S20" s="666"/>
      <c r="T20" s="665"/>
      <c r="U20" s="666"/>
      <c r="V20" s="665"/>
      <c r="W20" s="666"/>
      <c r="X20" s="1264"/>
      <c r="Y20" s="340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811">
        <f t="shared" ref="AC21" si="10">D21/J21</f>
        <v>1</v>
      </c>
    </row>
    <row r="22" spans="1:29" ht="15">
      <c r="A22" s="367"/>
      <c r="B22" s="556"/>
      <c r="C22" s="1813" t="s">
        <v>3464</v>
      </c>
      <c r="D22" s="387"/>
      <c r="E22" s="1813" t="s">
        <v>3464</v>
      </c>
      <c r="F22" s="387"/>
      <c r="G22" s="1813" t="s">
        <v>3464</v>
      </c>
      <c r="H22" s="387"/>
      <c r="I22" s="1813" t="s">
        <v>3464</v>
      </c>
      <c r="J22" s="387"/>
      <c r="K22" s="1063"/>
      <c r="L22" s="2491"/>
      <c r="M22" s="2486"/>
      <c r="N22" s="2486"/>
      <c r="O22" s="2486"/>
      <c r="P22" s="3404"/>
      <c r="Q22" s="1262"/>
      <c r="R22" s="665"/>
      <c r="S22" s="666"/>
      <c r="T22" s="665"/>
      <c r="U22" s="666"/>
      <c r="V22" s="665"/>
      <c r="W22" s="666"/>
      <c r="X22" s="1264"/>
      <c r="Y22" s="340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4"/>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811">
        <f t="shared" si="5"/>
        <v>1</v>
      </c>
    </row>
    <row r="24" spans="1:29" ht="15">
      <c r="A24" s="367"/>
      <c r="B24" s="556"/>
      <c r="C24" s="1757" t="s">
        <v>3438</v>
      </c>
      <c r="D24" s="387"/>
      <c r="E24" s="1757" t="s">
        <v>3438</v>
      </c>
      <c r="F24" s="387"/>
      <c r="G24" s="1757" t="s">
        <v>3438</v>
      </c>
      <c r="H24" s="387"/>
      <c r="I24" s="1757" t="s">
        <v>3438</v>
      </c>
      <c r="J24" s="387"/>
      <c r="K24" s="541"/>
      <c r="L24" s="2491"/>
      <c r="M24" s="2486"/>
      <c r="N24" s="2486"/>
      <c r="O24" s="2486"/>
      <c r="P24" s="3404"/>
      <c r="Q24" s="1262"/>
      <c r="R24" s="665"/>
      <c r="S24" s="666"/>
      <c r="T24" s="665"/>
      <c r="U24" s="666"/>
      <c r="V24" s="665"/>
      <c r="W24" s="666"/>
      <c r="X24" s="1264"/>
      <c r="Y24" s="340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4"/>
      <c r="Q25" s="1262" t="str">
        <f>B25</f>
        <v>毗邻道路的类型与等级</v>
      </c>
      <c r="R25" s="665" t="s">
        <v>14</v>
      </c>
      <c r="S25" s="666">
        <f>F25</f>
        <v>100</v>
      </c>
      <c r="T25" s="665" t="s">
        <v>14</v>
      </c>
      <c r="U25" s="666">
        <f>H25</f>
        <v>100</v>
      </c>
      <c r="V25" s="665" t="s">
        <v>14</v>
      </c>
      <c r="W25" s="666">
        <f>J25</f>
        <v>100</v>
      </c>
      <c r="X25" s="1264"/>
      <c r="Y25" s="340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04"/>
      <c r="Q26" s="1262"/>
      <c r="R26" s="665"/>
      <c r="S26" s="666"/>
      <c r="T26" s="665"/>
      <c r="U26" s="666"/>
      <c r="V26" s="665"/>
      <c r="W26" s="666"/>
      <c r="X26" s="1264"/>
      <c r="Y26" s="3406"/>
      <c r="Z26" s="1263"/>
      <c r="AA26" s="1263">
        <v>1</v>
      </c>
      <c r="AB26" s="1263">
        <v>1</v>
      </c>
      <c r="AC26" s="1811">
        <v>1</v>
      </c>
    </row>
    <row r="27" spans="1:29" ht="15">
      <c r="A27" s="367"/>
      <c r="B27" s="401" t="s">
        <v>1783</v>
      </c>
      <c r="C27" s="557" t="s">
        <v>3480</v>
      </c>
      <c r="D27" s="374">
        <v>100</v>
      </c>
      <c r="E27" s="557" t="s">
        <v>3495</v>
      </c>
      <c r="F27" s="374">
        <f>SUMIF(89:89,E27,90:90)-SUMIF(89:89,C27,90:90)+100</f>
        <v>102</v>
      </c>
      <c r="G27" s="557" t="s">
        <v>3480</v>
      </c>
      <c r="H27" s="374">
        <f>SUMIF(89:89,G27,90:90)-SUMIF(89:89,C27,90:90)+100</f>
        <v>100</v>
      </c>
      <c r="I27" s="557" t="s">
        <v>3496</v>
      </c>
      <c r="J27" s="374">
        <f>SUMIF(89:89,I27,90:90)-SUMIF(89:89,C27,90:90)+100</f>
        <v>104</v>
      </c>
      <c r="K27" s="538">
        <v>2</v>
      </c>
      <c r="L27" s="2491"/>
      <c r="M27" s="2486"/>
      <c r="N27" s="2486"/>
      <c r="O27" s="2486"/>
      <c r="P27" s="3404"/>
      <c r="Q27" s="1262" t="str">
        <f t="shared" ref="Q27:Q47" si="11">B27</f>
        <v>楼层</v>
      </c>
      <c r="R27" s="665" t="s">
        <v>14</v>
      </c>
      <c r="S27" s="666">
        <f>F27</f>
        <v>102</v>
      </c>
      <c r="T27" s="665" t="s">
        <v>14</v>
      </c>
      <c r="U27" s="666">
        <f>H27</f>
        <v>100</v>
      </c>
      <c r="V27" s="665" t="s">
        <v>14</v>
      </c>
      <c r="W27" s="666">
        <f>J27</f>
        <v>104</v>
      </c>
      <c r="X27" s="1264"/>
      <c r="Y27" s="3406"/>
      <c r="Z27" s="1263" t="str">
        <f>Q27</f>
        <v>楼层</v>
      </c>
      <c r="AA27" s="1263">
        <f t="shared" si="3"/>
        <v>0.98039215686274506</v>
      </c>
      <c r="AB27" s="1263">
        <f t="shared" si="4"/>
        <v>1</v>
      </c>
      <c r="AC27" s="1811">
        <f t="shared" si="5"/>
        <v>0.96153846153846156</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4"/>
      <c r="Q28" s="530" t="str">
        <f t="shared" si="11"/>
        <v>朝向</v>
      </c>
      <c r="R28" s="662" t="s">
        <v>14</v>
      </c>
      <c r="S28" s="663">
        <f>F28</f>
        <v>100</v>
      </c>
      <c r="T28" s="662" t="s">
        <v>14</v>
      </c>
      <c r="U28" s="663">
        <f>H28</f>
        <v>100</v>
      </c>
      <c r="V28" s="662" t="s">
        <v>14</v>
      </c>
      <c r="W28" s="663">
        <f>J28</f>
        <v>100</v>
      </c>
      <c r="X28" s="664"/>
      <c r="Y28" s="34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4"/>
      <c r="Q29" s="1262">
        <f t="shared" si="11"/>
        <v>111</v>
      </c>
      <c r="R29" s="665" t="s">
        <v>14</v>
      </c>
      <c r="S29" s="666">
        <f t="shared" ref="S29:S47" si="12">F29</f>
        <v>100</v>
      </c>
      <c r="T29" s="665" t="s">
        <v>14</v>
      </c>
      <c r="U29" s="666">
        <f t="shared" ref="U29:U47" si="13">H29</f>
        <v>100</v>
      </c>
      <c r="V29" s="665" t="s">
        <v>14</v>
      </c>
      <c r="W29" s="666">
        <f t="shared" ref="W29:W47" si="14">J29</f>
        <v>100</v>
      </c>
      <c r="X29" s="1264"/>
      <c r="Y29" s="34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4"/>
      <c r="Q32" s="1262">
        <f t="shared" si="11"/>
        <v>111</v>
      </c>
      <c r="R32" s="665" t="s">
        <v>14</v>
      </c>
      <c r="S32" s="666">
        <f t="shared" si="12"/>
        <v>100</v>
      </c>
      <c r="T32" s="665" t="s">
        <v>14</v>
      </c>
      <c r="U32" s="666">
        <f t="shared" si="13"/>
        <v>100</v>
      </c>
      <c r="V32" s="665" t="s">
        <v>14</v>
      </c>
      <c r="W32" s="666">
        <f t="shared" si="14"/>
        <v>100</v>
      </c>
      <c r="X32" s="1264"/>
      <c r="Y32" s="3406"/>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2</v>
      </c>
      <c r="L33" s="2491"/>
      <c r="M33" s="2486"/>
      <c r="N33" s="2486"/>
      <c r="O33" s="2486"/>
      <c r="P33" s="3407" t="s">
        <v>1696</v>
      </c>
      <c r="Q33" s="1262" t="str">
        <f t="shared" si="11"/>
        <v>建筑类型</v>
      </c>
      <c r="R33" s="665" t="s">
        <v>14</v>
      </c>
      <c r="S33" s="666">
        <f t="shared" si="12"/>
        <v>100</v>
      </c>
      <c r="T33" s="665" t="s">
        <v>14</v>
      </c>
      <c r="U33" s="666">
        <f t="shared" si="13"/>
        <v>100</v>
      </c>
      <c r="V33" s="665" t="s">
        <v>14</v>
      </c>
      <c r="W33" s="666">
        <f t="shared" si="14"/>
        <v>100</v>
      </c>
      <c r="X33" s="1264"/>
      <c r="Y33" s="3410"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454.18999999999994</v>
      </c>
      <c r="D34" s="119">
        <v>100</v>
      </c>
      <c r="E34" s="369">
        <v>159.05000000000001</v>
      </c>
      <c r="F34" s="364">
        <f>LOOKUP(E34,104:104,105:105)-LOOKUP(C34,104:104,105:105)+100</f>
        <v>99</v>
      </c>
      <c r="G34" s="368">
        <v>157.97</v>
      </c>
      <c r="H34" s="119">
        <f>LOOKUP(G34,104:104,105:105)-LOOKUP(C34,104:104,105:105)+100</f>
        <v>99</v>
      </c>
      <c r="I34" s="368">
        <v>280.36</v>
      </c>
      <c r="J34" s="119">
        <f>LOOKUP(I34,104:104,105:105)-LOOKUP(C34,104:104,105:105)+100</f>
        <v>99</v>
      </c>
      <c r="K34" s="539"/>
      <c r="L34" s="2490"/>
      <c r="M34" s="2492"/>
      <c r="N34" s="2492"/>
      <c r="O34" s="2492"/>
      <c r="P34" s="3408"/>
      <c r="Q34" s="531" t="str">
        <f t="shared" si="11"/>
        <v>项目建筑规模</v>
      </c>
      <c r="R34" s="667" t="s">
        <v>14</v>
      </c>
      <c r="S34" s="668">
        <f t="shared" si="12"/>
        <v>99</v>
      </c>
      <c r="T34" s="667" t="s">
        <v>14</v>
      </c>
      <c r="U34" s="668">
        <f t="shared" si="13"/>
        <v>99</v>
      </c>
      <c r="V34" s="667" t="s">
        <v>14</v>
      </c>
      <c r="W34" s="668">
        <f t="shared" si="14"/>
        <v>99</v>
      </c>
      <c r="X34" s="669"/>
      <c r="Y34" s="3410"/>
      <c r="Z34" s="670" t="str">
        <f t="shared" si="15"/>
        <v>项目建筑规模</v>
      </c>
      <c r="AA34" s="1263">
        <f t="shared" si="3"/>
        <v>1.0101010101010102</v>
      </c>
      <c r="AB34" s="1263">
        <f t="shared" si="4"/>
        <v>1.0101010101010102</v>
      </c>
      <c r="AC34" s="1811">
        <f t="shared" si="5"/>
        <v>1.0101010101010102</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08"/>
      <c r="Q35" s="1262" t="str">
        <f t="shared" si="11"/>
        <v>建筑结构</v>
      </c>
      <c r="R35" s="665" t="s">
        <v>14</v>
      </c>
      <c r="S35" s="666">
        <f t="shared" si="12"/>
        <v>100</v>
      </c>
      <c r="T35" s="665" t="s">
        <v>14</v>
      </c>
      <c r="U35" s="666">
        <f t="shared" si="13"/>
        <v>100</v>
      </c>
      <c r="V35" s="665" t="s">
        <v>14</v>
      </c>
      <c r="W35" s="666">
        <f t="shared" si="14"/>
        <v>100</v>
      </c>
      <c r="X35" s="1264"/>
      <c r="Y35" s="3410"/>
      <c r="Z35" s="1263" t="str">
        <f t="shared" si="15"/>
        <v>建筑结构</v>
      </c>
      <c r="AA35" s="1263">
        <f t="shared" si="3"/>
        <v>1</v>
      </c>
      <c r="AB35" s="1263">
        <f t="shared" si="4"/>
        <v>1</v>
      </c>
      <c r="AC35" s="1811">
        <f t="shared" si="5"/>
        <v>1</v>
      </c>
    </row>
    <row r="36" spans="1:29" ht="15">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08"/>
      <c r="Q36" s="1262" t="str">
        <f t="shared" si="11"/>
        <v>公共部分装修</v>
      </c>
      <c r="R36" s="665" t="s">
        <v>14</v>
      </c>
      <c r="S36" s="666">
        <f t="shared" si="12"/>
        <v>100</v>
      </c>
      <c r="T36" s="665" t="s">
        <v>14</v>
      </c>
      <c r="U36" s="666">
        <f t="shared" si="13"/>
        <v>100</v>
      </c>
      <c r="V36" s="665" t="s">
        <v>14</v>
      </c>
      <c r="W36" s="666">
        <f t="shared" si="14"/>
        <v>100</v>
      </c>
      <c r="X36" s="1264"/>
      <c r="Y36" s="3410"/>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8"/>
      <c r="Q37" s="1262" t="str">
        <f t="shared" si="11"/>
        <v>成新度</v>
      </c>
      <c r="R37" s="665" t="s">
        <v>14</v>
      </c>
      <c r="S37" s="666">
        <f t="shared" si="12"/>
        <v>100</v>
      </c>
      <c r="T37" s="665" t="s">
        <v>14</v>
      </c>
      <c r="U37" s="666">
        <f t="shared" si="13"/>
        <v>100</v>
      </c>
      <c r="V37" s="665" t="s">
        <v>14</v>
      </c>
      <c r="W37" s="666">
        <f t="shared" si="14"/>
        <v>100</v>
      </c>
      <c r="X37" s="1264"/>
      <c r="Y37" s="341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8"/>
      <c r="Q38" s="530" t="str">
        <f t="shared" si="11"/>
        <v>写字楼等级</v>
      </c>
      <c r="R38" s="662" t="s">
        <v>14</v>
      </c>
      <c r="S38" s="663">
        <f t="shared" si="12"/>
        <v>100</v>
      </c>
      <c r="T38" s="662" t="s">
        <v>14</v>
      </c>
      <c r="U38" s="663">
        <f t="shared" si="13"/>
        <v>100</v>
      </c>
      <c r="V38" s="662" t="s">
        <v>14</v>
      </c>
      <c r="W38" s="663">
        <f t="shared" si="14"/>
        <v>100</v>
      </c>
      <c r="X38" s="664"/>
      <c r="Y38" s="341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08" t="s">
        <v>1696</v>
      </c>
      <c r="Q39" s="1262" t="str">
        <f t="shared" si="11"/>
        <v>物业管理</v>
      </c>
      <c r="R39" s="665" t="s">
        <v>14</v>
      </c>
      <c r="S39" s="666">
        <f t="shared" si="12"/>
        <v>100</v>
      </c>
      <c r="T39" s="665" t="s">
        <v>14</v>
      </c>
      <c r="U39" s="666">
        <f t="shared" si="13"/>
        <v>100</v>
      </c>
      <c r="V39" s="665" t="s">
        <v>14</v>
      </c>
      <c r="W39" s="666">
        <f t="shared" si="14"/>
        <v>100</v>
      </c>
      <c r="X39" s="1264"/>
      <c r="Y39" s="341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8"/>
      <c r="Q40" s="1262" t="str">
        <f t="shared" si="11"/>
        <v>市政基础设施</v>
      </c>
      <c r="R40" s="665" t="s">
        <v>14</v>
      </c>
      <c r="S40" s="666">
        <f t="shared" si="12"/>
        <v>100</v>
      </c>
      <c r="T40" s="665" t="s">
        <v>14</v>
      </c>
      <c r="U40" s="666">
        <f t="shared" si="13"/>
        <v>100</v>
      </c>
      <c r="V40" s="665" t="s">
        <v>14</v>
      </c>
      <c r="W40" s="666">
        <f t="shared" si="14"/>
        <v>100</v>
      </c>
      <c r="X40" s="1264"/>
      <c r="Y40" s="341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08"/>
      <c r="Q41" s="1262" t="str">
        <f t="shared" si="11"/>
        <v>层高</v>
      </c>
      <c r="R41" s="665" t="s">
        <v>14</v>
      </c>
      <c r="S41" s="666">
        <f t="shared" si="12"/>
        <v>100</v>
      </c>
      <c r="T41" s="665" t="s">
        <v>14</v>
      </c>
      <c r="U41" s="666">
        <f t="shared" si="13"/>
        <v>100</v>
      </c>
      <c r="V41" s="665" t="s">
        <v>14</v>
      </c>
      <c r="W41" s="666">
        <f t="shared" si="14"/>
        <v>100</v>
      </c>
      <c r="X41" s="1264"/>
      <c r="Y41" s="341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7" t="s">
        <v>14</v>
      </c>
      <c r="S42" s="668">
        <f t="shared" si="12"/>
        <v>100</v>
      </c>
      <c r="T42" s="667" t="s">
        <v>14</v>
      </c>
      <c r="U42" s="668">
        <f t="shared" si="13"/>
        <v>100</v>
      </c>
      <c r="V42" s="667" t="s">
        <v>14</v>
      </c>
      <c r="W42" s="668">
        <f t="shared" si="14"/>
        <v>100</v>
      </c>
      <c r="X42" s="669"/>
      <c r="Y42" s="3410"/>
      <c r="Z42" s="670" t="str">
        <f t="shared" si="15"/>
        <v>单套建筑面积</v>
      </c>
      <c r="AA42" s="1263">
        <f t="shared" si="3"/>
        <v>1</v>
      </c>
      <c r="AB42" s="1263">
        <f t="shared" si="4"/>
        <v>1</v>
      </c>
      <c r="AC42" s="1811">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1"/>
      <c r="M43" s="2486"/>
      <c r="N43" s="2486"/>
      <c r="O43" s="2486"/>
      <c r="P43" s="3408"/>
      <c r="Q43" s="1262" t="str">
        <f t="shared" si="11"/>
        <v>内部装修</v>
      </c>
      <c r="R43" s="665" t="s">
        <v>14</v>
      </c>
      <c r="S43" s="666">
        <f t="shared" si="12"/>
        <v>100</v>
      </c>
      <c r="T43" s="665" t="s">
        <v>14</v>
      </c>
      <c r="U43" s="666">
        <f t="shared" si="13"/>
        <v>100</v>
      </c>
      <c r="V43" s="665" t="s">
        <v>14</v>
      </c>
      <c r="W43" s="666">
        <f t="shared" si="14"/>
        <v>100</v>
      </c>
      <c r="X43" s="1264"/>
      <c r="Y43" s="341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08"/>
      <c r="Q44" s="1262" t="str">
        <f t="shared" si="11"/>
        <v>内部装修维护情况</v>
      </c>
      <c r="R44" s="665" t="s">
        <v>14</v>
      </c>
      <c r="S44" s="666">
        <f t="shared" si="12"/>
        <v>100</v>
      </c>
      <c r="T44" s="665" t="s">
        <v>14</v>
      </c>
      <c r="U44" s="666">
        <f t="shared" si="13"/>
        <v>100</v>
      </c>
      <c r="V44" s="665" t="s">
        <v>14</v>
      </c>
      <c r="W44" s="666">
        <f t="shared" si="14"/>
        <v>100</v>
      </c>
      <c r="X44" s="1264"/>
      <c r="Y44" s="341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8"/>
      <c r="Q45" s="530">
        <f t="shared" si="11"/>
        <v>111</v>
      </c>
      <c r="R45" s="662" t="s">
        <v>14</v>
      </c>
      <c r="S45" s="663">
        <f t="shared" si="12"/>
        <v>100</v>
      </c>
      <c r="T45" s="662" t="s">
        <v>14</v>
      </c>
      <c r="U45" s="663">
        <f t="shared" si="13"/>
        <v>100</v>
      </c>
      <c r="V45" s="662" t="s">
        <v>14</v>
      </c>
      <c r="W45" s="663">
        <f t="shared" si="14"/>
        <v>100</v>
      </c>
      <c r="X45" s="664"/>
      <c r="Y45" s="341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2">
        <f t="shared" si="11"/>
        <v>111</v>
      </c>
      <c r="R46" s="665" t="s">
        <v>14</v>
      </c>
      <c r="S46" s="666">
        <f t="shared" si="12"/>
        <v>100</v>
      </c>
      <c r="T46" s="665" t="s">
        <v>14</v>
      </c>
      <c r="U46" s="666">
        <f t="shared" si="13"/>
        <v>100</v>
      </c>
      <c r="V46" s="665" t="s">
        <v>14</v>
      </c>
      <c r="W46" s="666">
        <f t="shared" si="14"/>
        <v>100</v>
      </c>
      <c r="X46" s="1264"/>
      <c r="Y46" s="341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9"/>
      <c r="Q47" s="1262">
        <f t="shared" si="11"/>
        <v>111</v>
      </c>
      <c r="R47" s="665" t="s">
        <v>14</v>
      </c>
      <c r="S47" s="666">
        <f t="shared" si="12"/>
        <v>100</v>
      </c>
      <c r="T47" s="665" t="s">
        <v>14</v>
      </c>
      <c r="U47" s="666">
        <f t="shared" si="13"/>
        <v>100</v>
      </c>
      <c r="V47" s="665" t="s">
        <v>14</v>
      </c>
      <c r="W47" s="666">
        <f t="shared" si="14"/>
        <v>100</v>
      </c>
      <c r="X47" s="1264"/>
      <c r="Y47" s="3411"/>
      <c r="Z47" s="1263">
        <f t="shared" si="15"/>
        <v>111</v>
      </c>
      <c r="AA47" s="1263">
        <f t="shared" si="3"/>
        <v>1</v>
      </c>
      <c r="AB47" s="1263">
        <f t="shared" si="4"/>
        <v>1</v>
      </c>
      <c r="AC47" s="1811">
        <f t="shared" si="5"/>
        <v>1</v>
      </c>
    </row>
    <row r="48" spans="1:29" ht="15">
      <c r="A48" s="416" t="s">
        <v>1708</v>
      </c>
      <c r="B48" s="417"/>
      <c r="C48" s="1080" t="s">
        <v>0</v>
      </c>
      <c r="D48" s="418"/>
      <c r="E48" s="419">
        <v>4.75</v>
      </c>
      <c r="F48" s="420"/>
      <c r="G48" s="421">
        <v>4.95</v>
      </c>
      <c r="H48" s="422"/>
      <c r="I48" s="419">
        <f>ROUND(4.5*(1+5%),2)</f>
        <v>4.7300000000000004</v>
      </c>
      <c r="J48" s="422"/>
      <c r="K48" s="672"/>
      <c r="L48" s="2493"/>
      <c r="M48" s="2486"/>
      <c r="N48" s="2486"/>
      <c r="O48" s="2486"/>
      <c r="P48" s="3397" t="str">
        <f>A48</f>
        <v>成交单价（元/平方米）</v>
      </c>
      <c r="Q48" s="3398"/>
      <c r="R48" s="3399">
        <f>E48</f>
        <v>4.75</v>
      </c>
      <c r="S48" s="3399"/>
      <c r="T48" s="3399">
        <f>G48</f>
        <v>4.95</v>
      </c>
      <c r="U48" s="3399"/>
      <c r="V48" s="3399">
        <f>I48</f>
        <v>4.7300000000000004</v>
      </c>
      <c r="W48" s="3399"/>
      <c r="X48" s="385"/>
      <c r="Y48" s="671"/>
      <c r="Z48" s="385"/>
      <c r="AA48" s="385"/>
      <c r="AB48" s="385"/>
      <c r="AC48" s="554"/>
    </row>
    <row r="49" spans="1:29" ht="15.75" thickBot="1">
      <c r="A49" s="423" t="s">
        <v>1709</v>
      </c>
      <c r="B49" s="424"/>
      <c r="C49" s="1081">
        <f>R50</f>
        <v>4.7</v>
      </c>
      <c r="D49" s="2140" t="s">
        <v>2135</v>
      </c>
      <c r="E49" s="1082">
        <f>R49</f>
        <v>4.5999999999999996</v>
      </c>
      <c r="F49" s="2141"/>
      <c r="G49" s="1081">
        <f>T49</f>
        <v>4.9000000000000004</v>
      </c>
      <c r="H49" s="2141"/>
      <c r="I49" s="1082">
        <f>V49</f>
        <v>4.5</v>
      </c>
      <c r="J49" s="2141"/>
      <c r="K49" s="2143">
        <f>F49+H49+J49</f>
        <v>0</v>
      </c>
      <c r="L49" s="2493"/>
      <c r="M49" s="2486"/>
      <c r="N49" s="2486"/>
      <c r="O49" s="2486"/>
      <c r="P49" s="3397" t="str">
        <f>A49</f>
        <v>比较价值（元/平方米）</v>
      </c>
      <c r="Q49" s="3398"/>
      <c r="R49" s="3399">
        <f>IF(F1="售价",ROUND(PRODUCT(R48,AA7:AA47),0),ROUND(PRODUCT(R48,AA7:AA47),1))</f>
        <v>4.5999999999999996</v>
      </c>
      <c r="S49" s="3399"/>
      <c r="T49" s="3399">
        <f>IF(F1="售价",ROUND(PRODUCT(T48,AB7:AB47),0),ROUND(PRODUCT(T48,AB7:AB47),1))</f>
        <v>4.9000000000000004</v>
      </c>
      <c r="U49" s="3399"/>
      <c r="V49" s="3399">
        <f>IF(F1="售价",ROUND(PRODUCT(V48,AC7:AC47),0),ROUND(PRODUCT(V48,AC7:AC47),1))</f>
        <v>4.5</v>
      </c>
      <c r="W49" s="3399"/>
      <c r="X49" s="385"/>
      <c r="Y49" s="385"/>
      <c r="Z49" s="385"/>
      <c r="AA49" s="385"/>
      <c r="AB49" s="385"/>
      <c r="AC49" s="554"/>
    </row>
    <row r="50" spans="1:29" ht="15.75" thickBot="1">
      <c r="A50" s="427" t="s">
        <v>1710</v>
      </c>
      <c r="B50" s="428"/>
      <c r="C50" s="351">
        <f>R50</f>
        <v>4.7</v>
      </c>
      <c r="D50" s="351"/>
      <c r="E50" s="351"/>
      <c r="F50" s="351"/>
      <c r="G50" s="351"/>
      <c r="H50" s="351"/>
      <c r="I50" s="351"/>
      <c r="J50" s="429"/>
      <c r="K50" s="673"/>
      <c r="L50" s="2493"/>
      <c r="M50" s="2486"/>
      <c r="N50" s="2486"/>
      <c r="O50" s="2486"/>
      <c r="P50" s="3400" t="str">
        <f>A50</f>
        <v>估价对象XX用房的比较价值（楼面单价，元/平方米）</v>
      </c>
      <c r="Q50" s="3401"/>
      <c r="R50" s="3402">
        <f>IF(F1="售价",ROUND(IF(D49="简单平均",AVERAGE(R49:V49),R49*F49+T49*H49+V49*J49),0),ROUND(IF(D49="简单平均",AVERAGE(R49:V49),R49*F49+T49*H49+V49*J49),1))</f>
        <v>4.7</v>
      </c>
      <c r="S50" s="3402"/>
      <c r="T50" s="3402"/>
      <c r="U50" s="3402"/>
      <c r="V50" s="3402"/>
      <c r="W50" s="340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3.2608695652174058E-2</v>
      </c>
      <c r="F53" s="435" t="str">
        <f>IF(OR(E53&gt;=0.3,E53&lt;=-0.3),"超过30%","")</f>
        <v/>
      </c>
      <c r="G53" s="434">
        <f>IF(G48&lt;G49,G49/G48-1,G48/G49-1)</f>
        <v>1.0204081632652962E-2</v>
      </c>
      <c r="H53" s="435" t="str">
        <f>IF(OR(G53&gt;=0.3,G53&lt;=-0.3),"超过30%","")</f>
        <v/>
      </c>
      <c r="I53" s="434">
        <f>IF(I48&lt;I49,I49/I48-1,I48/I49-1)</f>
        <v>5.1111111111111107E-2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6.5217391304347894E-2</v>
      </c>
      <c r="F54" s="435" t="str">
        <f>IF(OR(E54&gt;=0.2,E54&lt;=-0.2),"超过20%","")</f>
        <v/>
      </c>
      <c r="G54" s="434">
        <f>IF(G49&lt;I49,I49/G49-1,G49/I49-1)</f>
        <v>8.8888888888889017E-2</v>
      </c>
      <c r="H54" s="435" t="str">
        <f>IF(OR(G54&gt;=0.2,G54&lt;=-0.2),"超过20%","")</f>
        <v/>
      </c>
      <c r="I54" s="434">
        <f>IF(I49&lt;E49,E49/I49-1,I49/E49-1)</f>
        <v>2.2222222222222143E-2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4.2105263157894868E-2</v>
      </c>
      <c r="F55" s="435" t="str">
        <f>IF(OR(E55&gt;=0.3,E55&lt;=-0.3),"超过30%","")</f>
        <v/>
      </c>
      <c r="G55" s="434">
        <f>IF(G48&lt;I48,I48/G48-1,G48/I48-1)</f>
        <v>4.6511627906976605E-2</v>
      </c>
      <c r="H55" s="435" t="str">
        <f>IF(OR(G55&gt;=0.3,G55&lt;=-0.3),"超过30%","")</f>
        <v/>
      </c>
      <c r="I55" s="434">
        <f>IF(I48&lt;E48,E48/I48-1,I48/E48-1)</f>
        <v>4.2283298097249844E-3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1714</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3483</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99</v>
      </c>
      <c r="D105" s="467">
        <v>100</v>
      </c>
      <c r="E105" s="467">
        <v>99</v>
      </c>
      <c r="F105" s="467">
        <v>98</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F7:F47 H7:H47 J7:J47">
    <cfRule type="cellIs" dxfId="101" priority="1" operator="notEqual">
      <formula>100</formula>
    </cfRule>
  </conditionalFormatting>
  <conditionalFormatting sqref="F49">
    <cfRule type="expression" dxfId="100" priority="4">
      <formula>$D$49="简单平均"</formula>
    </cfRule>
  </conditionalFormatting>
  <conditionalFormatting sqref="F53:F55 H53:H55">
    <cfRule type="containsText" dxfId="99" priority="17" stopIfTrue="1" operator="containsText" text="超过">
      <formula>NOT(ISERROR(SEARCH("超过",F53)))</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G55">
    <cfRule type="expression" dxfId="96" priority="13" stopIfTrue="1">
      <formula>$H$55="超过30%"</formula>
    </cfRule>
  </conditionalFormatting>
  <conditionalFormatting sqref="H49">
    <cfRule type="expression" dxfId="95" priority="3">
      <formula>$D$49="简单平均"</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J49">
    <cfRule type="expression" dxfId="91" priority="2">
      <formula>$D$49="简单平均"</formula>
    </cfRule>
  </conditionalFormatting>
  <conditionalFormatting sqref="J53:J55">
    <cfRule type="containsText" dxfId="9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41" sqref="F4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3507</v>
      </c>
      <c r="D1" s="1270" t="s">
        <v>43</v>
      </c>
      <c r="E1" s="1271" t="s">
        <v>678</v>
      </c>
      <c r="F1" s="998">
        <f ca="1">J53</f>
        <v>35.5</v>
      </c>
      <c r="G1" s="1285">
        <f>MATCH(C1,'数据-取费表'!A6:A16,0)+5</f>
        <v>6</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2">
        <f ca="1">ROUND(D2/10000,4)</f>
        <v>464.81319999999999</v>
      </c>
      <c r="C2" s="1288" t="s">
        <v>879</v>
      </c>
      <c r="D2" s="1374">
        <f ca="1">C40+J29+L46</f>
        <v>4648132</v>
      </c>
      <c r="E2" s="1294" t="s">
        <v>880</v>
      </c>
      <c r="F2" s="1295"/>
      <c r="G2" s="2477"/>
      <c r="H2" s="2467"/>
      <c r="I2" s="2467"/>
      <c r="J2" s="2467"/>
      <c r="K2" s="2468"/>
      <c r="L2" s="2467"/>
      <c r="M2" s="2467"/>
    </row>
    <row r="3" spans="1:37" ht="18" customHeight="1" thickBot="1">
      <c r="A3" s="1296" t="s">
        <v>881</v>
      </c>
      <c r="B3" s="1297">
        <f ca="1">IF(ISERROR(D2/F43),0,ROUND(D2/F43,0))</f>
        <v>6823</v>
      </c>
      <c r="C3" s="1288" t="s">
        <v>882</v>
      </c>
      <c r="D3" s="1288"/>
      <c r="E3" s="1294"/>
      <c r="F3" s="1295"/>
      <c r="G3" s="2477"/>
      <c r="H3" s="647"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275124</v>
      </c>
      <c r="D5" s="1272" t="s">
        <v>889</v>
      </c>
      <c r="E5" s="1007"/>
      <c r="F5" s="1008"/>
      <c r="G5" s="1291"/>
      <c r="H5" s="291">
        <v>1</v>
      </c>
      <c r="I5" s="292" t="s">
        <v>888</v>
      </c>
      <c r="J5" s="1006">
        <f ca="1">J6+J10+J12</f>
        <v>0</v>
      </c>
      <c r="K5" s="1272" t="s">
        <v>889</v>
      </c>
      <c r="L5" s="1007"/>
      <c r="M5" s="1008"/>
    </row>
    <row r="6" spans="1:37" ht="18" customHeight="1">
      <c r="A6" s="1005" t="s">
        <v>398</v>
      </c>
      <c r="B6" s="3369" t="s">
        <v>694</v>
      </c>
      <c r="C6" s="1010">
        <f ca="1">ROUND(F6*F8*F7*(1-F9),0)</f>
        <v>274781</v>
      </c>
      <c r="D6" s="147" t="s">
        <v>2103</v>
      </c>
      <c r="E6" s="294" t="s">
        <v>696</v>
      </c>
      <c r="F6" s="295">
        <f ca="1">INDIRECT("'数据-取费表'!u"&amp;$G$1)</f>
        <v>1.3</v>
      </c>
      <c r="G6" s="1291"/>
      <c r="H6" s="1005" t="s">
        <v>398</v>
      </c>
      <c r="I6" s="3369" t="s">
        <v>694</v>
      </c>
      <c r="J6" s="293">
        <f ca="1">ROUND(M6*M8*M7*(1-M9),0)</f>
        <v>0</v>
      </c>
      <c r="K6" s="1283" t="s">
        <v>2104</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681.29</v>
      </c>
      <c r="G7" s="1291"/>
      <c r="H7" s="296"/>
      <c r="I7" s="3370"/>
      <c r="J7" s="298"/>
      <c r="K7" s="299"/>
      <c r="L7" s="294" t="s">
        <v>697</v>
      </c>
      <c r="M7" s="295">
        <f ca="1">F7</f>
        <v>681.29</v>
      </c>
    </row>
    <row r="8" spans="1:37" ht="18" customHeight="1">
      <c r="A8" s="296"/>
      <c r="B8" s="3370"/>
      <c r="C8" s="298"/>
      <c r="D8" s="299"/>
      <c r="E8" s="294" t="s">
        <v>698</v>
      </c>
      <c r="F8" s="295">
        <f ca="1">INDIRECT("'数据-取费表'!ai"&amp;$G$1)</f>
        <v>365</v>
      </c>
      <c r="G8" s="1291"/>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0.15</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343</v>
      </c>
      <c r="D10" s="150" t="s">
        <v>2113</v>
      </c>
      <c r="E10" s="305" t="s">
        <v>701</v>
      </c>
      <c r="F10" s="1052" t="s">
        <v>3423</v>
      </c>
      <c r="G10" s="1291"/>
      <c r="H10" s="1005" t="s">
        <v>402</v>
      </c>
      <c r="I10" s="1273" t="s">
        <v>700</v>
      </c>
      <c r="J10" s="293">
        <f ca="1">ROUND(IF(M10="押一",J6/12*M11,IF(M10="押二",J6/12*2*M11,IF(M10="押三",J6/12*3*M11,J11*M11))),0)</f>
        <v>0</v>
      </c>
      <c r="K10" s="1284" t="s">
        <v>2115</v>
      </c>
      <c r="L10" s="305" t="s">
        <v>701</v>
      </c>
      <c r="M10" s="1052" t="s">
        <v>3423</v>
      </c>
    </row>
    <row r="11" spans="1:37" ht="18" customHeight="1">
      <c r="A11" s="300"/>
      <c r="B11" s="1274" t="s">
        <v>890</v>
      </c>
      <c r="C11" s="903"/>
      <c r="D11" s="299"/>
      <c r="E11" s="305" t="s">
        <v>702</v>
      </c>
      <c r="F11" s="306">
        <f ca="1">'数据-取费表'!B39</f>
        <v>1.4999999999999999E-2</v>
      </c>
      <c r="G11" s="1291"/>
      <c r="H11" s="1013"/>
      <c r="I11" s="1274" t="s">
        <v>891</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2508566</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6" t="s">
        <v>397</v>
      </c>
      <c r="B14" s="294" t="s">
        <v>707</v>
      </c>
      <c r="C14" s="310">
        <f ca="1">ROUND(INDIRECT("'数据-取费表'!l"&amp;$G$1)*F43+'数据-取费表'!L14*INDIRECT("'数据-取费表'!S"&amp;$G$1),0)</f>
        <v>2043870</v>
      </c>
      <c r="D14" s="1256" t="s">
        <v>708</v>
      </c>
      <c r="E14" s="1254"/>
      <c r="F14" s="311"/>
      <c r="G14" s="1291"/>
      <c r="H14" s="926" t="s">
        <v>398</v>
      </c>
      <c r="I14" s="294" t="s">
        <v>709</v>
      </c>
      <c r="J14" s="21">
        <f ca="1">C29</f>
        <v>3059227</v>
      </c>
      <c r="K14" s="12"/>
      <c r="L14" s="757"/>
      <c r="M14" s="758"/>
    </row>
    <row r="15" spans="1:37" s="1303" customFormat="1" ht="18" customHeight="1" thickBot="1">
      <c r="A15" s="926" t="s">
        <v>399</v>
      </c>
      <c r="B15" s="294" t="s">
        <v>710</v>
      </c>
      <c r="C15" s="21">
        <f ca="1">ROUND(C14*F15,0)</f>
        <v>102194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6118</v>
      </c>
      <c r="K16" s="1023" t="s">
        <v>715</v>
      </c>
      <c r="L16" s="1024"/>
      <c r="M16" s="1008"/>
    </row>
    <row r="17" spans="1:37" s="1303" customFormat="1" ht="18" customHeight="1">
      <c r="A17" s="926" t="s">
        <v>681</v>
      </c>
      <c r="B17" s="294" t="s">
        <v>716</v>
      </c>
      <c r="C17" s="21">
        <f ca="1">ROUND(F17*(F43+INDIRECT("'数据-取费表'!S"&amp;$G$1)),0)</f>
        <v>136258</v>
      </c>
      <c r="D17" s="294" t="s">
        <v>717</v>
      </c>
      <c r="E17" s="294" t="s">
        <v>718</v>
      </c>
      <c r="F17" s="23">
        <f>'数据-取费表'!B35</f>
        <v>200</v>
      </c>
      <c r="G17" s="1302"/>
      <c r="H17" s="926"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40877</v>
      </c>
      <c r="D18" s="294" t="s">
        <v>711</v>
      </c>
      <c r="E18" s="294" t="s">
        <v>712</v>
      </c>
      <c r="F18" s="314">
        <f>'数据-取费表'!B36</f>
        <v>0.02</v>
      </c>
      <c r="G18" s="1302"/>
      <c r="H18" s="926"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2323199</v>
      </c>
      <c r="D19" s="123" t="s">
        <v>726</v>
      </c>
      <c r="E19" s="1268"/>
      <c r="F19" s="23"/>
      <c r="G19" s="1291"/>
      <c r="H19" s="926"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6" t="s">
        <v>402</v>
      </c>
      <c r="B20" s="294" t="s">
        <v>728</v>
      </c>
      <c r="C20" s="21">
        <f ca="1">ROUND(C19*F20,0)</f>
        <v>69696</v>
      </c>
      <c r="D20" s="315" t="s">
        <v>729</v>
      </c>
      <c r="E20" s="294" t="s">
        <v>712</v>
      </c>
      <c r="F20" s="314">
        <f>'数据-取费表'!B37</f>
        <v>0.03</v>
      </c>
      <c r="G20" s="1302"/>
      <c r="H20" s="926"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ROUND(J14*M22,0)</f>
        <v>6118</v>
      </c>
      <c r="K22" s="1255" t="s">
        <v>739</v>
      </c>
      <c r="L22" s="294" t="s">
        <v>712</v>
      </c>
      <c r="M22" s="320">
        <f ca="1">INDIRECT("'数据-取费表'!Ak"&amp;$G$1)</f>
        <v>2E-3</v>
      </c>
    </row>
    <row r="23" spans="1:37" s="1303" customFormat="1" ht="18" customHeight="1">
      <c r="A23" s="926" t="s">
        <v>397</v>
      </c>
      <c r="B23" s="294" t="s">
        <v>740</v>
      </c>
      <c r="C23" s="21">
        <f ca="1">IF('数据-取费表'!B22&lt;=1,ROUND(C19*F24*F23/2,0)+ROUND(C20*F24*F23/2,0),ROUND(C19*(POWER((1+F24),F23/2)-1),0)+ROUND(C20*(POWER((1+F24),F23/2)-1),0))</f>
        <v>74897</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4" t="s">
        <v>750</v>
      </c>
      <c r="C25" s="21"/>
      <c r="D25" s="123" t="s">
        <v>751</v>
      </c>
      <c r="E25" s="1268"/>
      <c r="F25" s="23"/>
      <c r="G25" s="1291"/>
      <c r="H25" s="1015" t="s">
        <v>394</v>
      </c>
      <c r="I25" s="1030" t="s">
        <v>752</v>
      </c>
      <c r="J25" s="302">
        <f ca="1">J5-J16</f>
        <v>-6118</v>
      </c>
      <c r="K25" s="1031" t="s">
        <v>753</v>
      </c>
      <c r="L25" s="1032"/>
      <c r="M25" s="1033"/>
    </row>
    <row r="26" spans="1:37" ht="18" customHeight="1">
      <c r="A26" s="926" t="s">
        <v>397</v>
      </c>
      <c r="B26" s="294" t="s">
        <v>754</v>
      </c>
      <c r="C26" s="21">
        <f ca="1">ROUND((C19+C20)*F26,0)</f>
        <v>358934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3059227</v>
      </c>
      <c r="D29" s="1028"/>
      <c r="E29" s="1026"/>
      <c r="F29" s="1029"/>
      <c r="G29" s="1302"/>
      <c r="H29" s="325" t="s">
        <v>396</v>
      </c>
      <c r="I29" s="326" t="s">
        <v>768</v>
      </c>
      <c r="J29" s="327">
        <f ca="1">ROUND(J26/(1+F40)^F41,0)</f>
        <v>0</v>
      </c>
      <c r="K29" s="328" t="s">
        <v>769</v>
      </c>
      <c r="L29" s="329"/>
      <c r="M29" s="330">
        <f ca="1">INDIRECT("'数据-取费表'!k"&amp;$G$1)</f>
        <v>681.29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31073</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ROUND(IF(AND(项目基本情况!B11="自然人",项目基本情况!B10="北京市"),C6*F31/(1+'数据-取费表'!C42),C32+C33+C34),0)</f>
        <v>18319</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6118</v>
      </c>
      <c r="D36" s="1255" t="s">
        <v>771</v>
      </c>
      <c r="E36" s="294" t="s">
        <v>712</v>
      </c>
      <c r="F36" s="320">
        <f ca="1">INDIRECT("'数据-取费表'!Ak"&amp;$G$1)</f>
        <v>2E-3</v>
      </c>
      <c r="G36" s="1291"/>
      <c r="H36" s="2472"/>
      <c r="I36" s="1304"/>
      <c r="J36" s="1305"/>
      <c r="K36" s="2330"/>
      <c r="L36" s="2472"/>
      <c r="M36" s="2472"/>
    </row>
    <row r="37" spans="1:18" ht="18" customHeight="1">
      <c r="A37" s="926" t="s">
        <v>437</v>
      </c>
      <c r="B37" s="294" t="s">
        <v>742</v>
      </c>
      <c r="C37" s="21">
        <f ca="1">ROUND(C13*F37,0)</f>
        <v>2509</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4127</v>
      </c>
      <c r="D38" s="1028" t="s">
        <v>748</v>
      </c>
      <c r="E38" s="1026" t="s">
        <v>744</v>
      </c>
      <c r="F38" s="1022">
        <f ca="1">INDIRECT("'数据-取费表'!Am"&amp;$G$1)</f>
        <v>1.4999999999999999E-2</v>
      </c>
      <c r="G38" s="1291"/>
      <c r="H38" s="2472"/>
      <c r="I38" s="1304"/>
      <c r="J38" s="1305"/>
      <c r="K38" s="2470"/>
      <c r="L38" s="2472"/>
      <c r="M38" s="2472"/>
    </row>
    <row r="39" spans="1:18" ht="24.6" customHeight="1" thickTop="1">
      <c r="A39" s="1015" t="s">
        <v>394</v>
      </c>
      <c r="B39" s="1030" t="s">
        <v>772</v>
      </c>
      <c r="C39" s="302">
        <f ca="1">C5-C30</f>
        <v>244051</v>
      </c>
      <c r="D39" s="1031" t="s">
        <v>773</v>
      </c>
      <c r="E39" s="1032"/>
      <c r="F39" s="1033"/>
      <c r="G39" s="1291"/>
      <c r="H39" s="2472"/>
      <c r="I39" s="1304"/>
      <c r="J39" s="1305"/>
      <c r="K39" s="2470"/>
      <c r="L39" s="2472"/>
      <c r="M39" s="2472"/>
    </row>
    <row r="40" spans="1:18" ht="18" customHeight="1">
      <c r="A40" s="291" t="s">
        <v>395</v>
      </c>
      <c r="B40" s="292" t="s">
        <v>774</v>
      </c>
      <c r="C40" s="293">
        <f ca="1">ROUND(C39*(1-((1+F42)/(1+F40))^F41)/(F40-F42),0)</f>
        <v>4554231</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35.5</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6685</v>
      </c>
      <c r="D43" s="328" t="s">
        <v>777</v>
      </c>
      <c r="E43" s="329" t="s">
        <v>778</v>
      </c>
      <c r="F43" s="330">
        <f ca="1">INDIRECT("'数据-取费表'!k"&amp;$G$1)</f>
        <v>681.29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3347</v>
      </c>
      <c r="B45" s="1306"/>
      <c r="C45" s="1375">
        <f ca="1">ROUND((C68-C40)/10000,4)</f>
        <v>-468.76409999999998</v>
      </c>
      <c r="D45" s="3129" t="s">
        <v>3348</v>
      </c>
      <c r="E45" s="1306"/>
      <c r="F45" s="1306"/>
      <c r="O45" s="1309" t="s">
        <v>808</v>
      </c>
      <c r="P45" s="1365"/>
      <c r="Q45" s="1365"/>
      <c r="R45" s="1365"/>
    </row>
    <row r="46" spans="1:18" s="1291" customFormat="1" ht="13.5" thickBot="1">
      <c r="A46" s="1310" t="s">
        <v>809</v>
      </c>
      <c r="C46" s="1311">
        <f ca="1">ROUND(C45,0)</f>
        <v>-469</v>
      </c>
      <c r="D46" s="1312" t="str">
        <f>C2</f>
        <v>万元</v>
      </c>
      <c r="I46" s="1313" t="s">
        <v>810</v>
      </c>
      <c r="J46" s="1314"/>
      <c r="K46" s="1315"/>
      <c r="L46" s="1316">
        <f ca="1">IF(M47="住宅",0,IF(L48&gt;J51,L60,J60))</f>
        <v>93901</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3424</v>
      </c>
      <c r="K47" s="1322" t="s">
        <v>816</v>
      </c>
      <c r="L47" s="1323">
        <f ca="1">INDIRECT("'数据-取费表'!d"&amp;$G$1)</f>
        <v>50</v>
      </c>
      <c r="M47" s="1287" t="str">
        <f>IF(ISNUMBER(FIND("住宅",C1)),"住宅","非住宅")</f>
        <v>非住宅</v>
      </c>
      <c r="O47" s="1324" t="s">
        <v>403</v>
      </c>
      <c r="P47" s="1325" t="s">
        <v>817</v>
      </c>
      <c r="Q47" s="1326">
        <f ca="1">C40+J29</f>
        <v>4554231</v>
      </c>
      <c r="R47" s="1326" t="s">
        <v>818</v>
      </c>
    </row>
    <row r="48" spans="1:18" s="1291" customFormat="1" ht="28.5" thickBot="1">
      <c r="A48" s="1046" t="s">
        <v>438</v>
      </c>
      <c r="B48" s="292" t="s">
        <v>692</v>
      </c>
      <c r="C48" s="1267">
        <f ca="1">C49+C53+C55</f>
        <v>0</v>
      </c>
      <c r="D48" s="1048"/>
      <c r="E48" s="1049"/>
      <c r="F48" s="906"/>
      <c r="G48" s="679"/>
      <c r="H48" s="680"/>
      <c r="I48" s="1327" t="s">
        <v>819</v>
      </c>
      <c r="J48" s="1328" t="s">
        <v>3425</v>
      </c>
      <c r="K48" s="1329" t="s">
        <v>820</v>
      </c>
      <c r="L48" s="1330">
        <f ca="1">INDIRECT("'数据-取费表'!f"&amp;$G$1)</f>
        <v>35.5</v>
      </c>
      <c r="O48" s="1324" t="s">
        <v>404</v>
      </c>
      <c r="P48" s="1325" t="s">
        <v>821</v>
      </c>
      <c r="Q48" s="1326">
        <f ca="1">J60</f>
        <v>93901</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'数据-取费表'!N18</f>
        <v>2014</v>
      </c>
      <c r="K49" s="1329" t="s">
        <v>824</v>
      </c>
      <c r="L49" s="1332"/>
      <c r="O49" s="1333" t="s">
        <v>405</v>
      </c>
      <c r="P49" s="1325" t="s">
        <v>825</v>
      </c>
      <c r="Q49" s="1326">
        <f ca="1">C29</f>
        <v>3059227</v>
      </c>
      <c r="R49" s="1326" t="s">
        <v>818</v>
      </c>
    </row>
    <row r="50" spans="1:18" s="1291" customFormat="1" ht="13.5" thickBot="1">
      <c r="A50" s="920"/>
      <c r="B50" s="923"/>
      <c r="C50" s="924"/>
      <c r="D50" s="897"/>
      <c r="E50" s="992" t="s">
        <v>697</v>
      </c>
      <c r="F50" s="993">
        <f ca="1">F7</f>
        <v>681.29</v>
      </c>
      <c r="H50" s="680"/>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1"/>
      <c r="B51" s="923"/>
      <c r="C51" s="924"/>
      <c r="D51" s="897"/>
      <c r="E51" s="925" t="s">
        <v>698</v>
      </c>
      <c r="F51" s="295">
        <f ca="1">F8</f>
        <v>365</v>
      </c>
      <c r="I51" s="1337" t="s">
        <v>829</v>
      </c>
      <c r="J51" s="1330">
        <f>IF(J49="",J50,J49+J50-YEAR('数据-取费表'!B2))</f>
        <v>49</v>
      </c>
      <c r="K51" s="1338" t="s">
        <v>830</v>
      </c>
      <c r="L51" s="1339">
        <f ca="1">ROUND(-PV(INDIRECT("'数据-取费表'!h"&amp;$G$1),J51,(C39-C13*C76),0),0)</f>
        <v>1243674</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f ca="1">J53</f>
        <v>35.5</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35.5</v>
      </c>
      <c r="K53" s="3367" t="s">
        <v>837</v>
      </c>
      <c r="L53" s="3368"/>
      <c r="O53" s="1324" t="s">
        <v>409</v>
      </c>
      <c r="P53" s="1325" t="s">
        <v>838</v>
      </c>
      <c r="Q53" s="1326">
        <f ca="1">Q47+Q48</f>
        <v>4648132</v>
      </c>
      <c r="R53" s="1326" t="s">
        <v>410</v>
      </c>
    </row>
    <row r="54" spans="1:18" s="1291" customFormat="1" ht="13.5" thickBot="1">
      <c r="A54" s="919"/>
      <c r="B54" s="1376" t="s">
        <v>891</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0.22500000000000001</v>
      </c>
      <c r="K55" s="1349" t="s">
        <v>841</v>
      </c>
      <c r="L55" s="1350"/>
      <c r="O55" s="1317" t="s">
        <v>811</v>
      </c>
      <c r="P55" s="1318" t="s">
        <v>812</v>
      </c>
      <c r="Q55" s="1319" t="s">
        <v>813</v>
      </c>
      <c r="R55" s="1319" t="s">
        <v>814</v>
      </c>
    </row>
    <row r="56" spans="1:18" s="1291" customFormat="1" ht="36" customHeight="1" thickTop="1" thickBot="1">
      <c r="A56" s="901">
        <v>2</v>
      </c>
      <c r="B56" s="902" t="s">
        <v>704</v>
      </c>
      <c r="C56" s="224">
        <f ca="1">C13</f>
        <v>2508566</v>
      </c>
      <c r="D56" s="1351"/>
      <c r="E56" s="1352"/>
      <c r="F56" s="1344"/>
      <c r="I56" s="1353" t="s">
        <v>842</v>
      </c>
      <c r="J56" s="1354" t="s">
        <v>3426</v>
      </c>
      <c r="K56" s="1327" t="s">
        <v>843</v>
      </c>
      <c r="L56" s="1330" t="str">
        <f ca="1">IF(L48&lt;J51,"——",L48-J51)</f>
        <v>——</v>
      </c>
      <c r="O56" s="1324" t="s">
        <v>403</v>
      </c>
      <c r="P56" s="1325" t="s">
        <v>817</v>
      </c>
      <c r="Q56" s="1326">
        <f ca="1">C40+J29</f>
        <v>4554231</v>
      </c>
      <c r="R56" s="1326" t="s">
        <v>818</v>
      </c>
    </row>
    <row r="57" spans="1:18" s="1291" customFormat="1" ht="24.75" thickBot="1">
      <c r="A57" s="1355"/>
      <c r="B57" s="894" t="s">
        <v>767</v>
      </c>
      <c r="C57" s="230">
        <f ca="1">C29</f>
        <v>3059227</v>
      </c>
      <c r="D57" s="1356"/>
      <c r="E57" s="1357"/>
      <c r="F57" s="1358"/>
      <c r="I57" s="1359" t="s">
        <v>844</v>
      </c>
      <c r="J57" s="1360">
        <f ca="1">IF(OR(M47="住宅",J51&lt;L48,J56="是"),"——",J51-L48)</f>
        <v>13.5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2" t="s">
        <v>714</v>
      </c>
      <c r="C58" s="308">
        <f ca="1">ROUND(C59+C64+C65+C66,0)</f>
        <v>8627</v>
      </c>
      <c r="D58" s="904" t="s">
        <v>715</v>
      </c>
      <c r="E58" s="905"/>
      <c r="F58" s="906"/>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1223691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IF(项目基本情况!B11="自然人","——",ROUND(C48*F60/(1+'数据-取费表'!C42),0))</f>
        <v>——</v>
      </c>
      <c r="D60" s="908" t="s">
        <v>724</v>
      </c>
      <c r="E60" s="894" t="s">
        <v>712</v>
      </c>
      <c r="F60" s="322">
        <f t="shared" ref="F60:F66" si="0">F32</f>
        <v>5.5000000000000007E-2</v>
      </c>
      <c r="I60" s="1362" t="s">
        <v>853</v>
      </c>
      <c r="J60" s="1363">
        <f ca="1">IF(OR(M47="住宅",J51&lt;L48,J56="是"),"0",ROUND(J59/(1+J52)^J53,0))</f>
        <v>93901</v>
      </c>
      <c r="K60" s="1364" t="s">
        <v>854</v>
      </c>
      <c r="L60" s="1363">
        <f ca="1">IF(OR(M47="住宅",L48&lt;J51),0,ROUND(L57*(L58/L59-1),0))</f>
        <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IF(项目基本情况!B11="自然人","——",ROUND(F62*F63,0))</f>
        <v>——</v>
      </c>
      <c r="D62" s="909" t="s">
        <v>786</v>
      </c>
      <c r="E62" s="894" t="s">
        <v>787</v>
      </c>
      <c r="F62" s="317">
        <f t="shared" si="0"/>
        <v>0</v>
      </c>
      <c r="I62" s="1366" t="s">
        <v>858</v>
      </c>
      <c r="J62" s="609" t="s">
        <v>859</v>
      </c>
      <c r="K62" s="609" t="s">
        <v>860</v>
      </c>
      <c r="L62" s="609" t="s">
        <v>861</v>
      </c>
      <c r="M62" s="1367" t="s">
        <v>862</v>
      </c>
      <c r="O62" s="1324" t="s">
        <v>409</v>
      </c>
      <c r="P62" s="1325" t="s">
        <v>863</v>
      </c>
      <c r="Q62" s="1326">
        <f ca="1">Q56+Q57</f>
        <v>4554231</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6118</v>
      </c>
      <c r="D64" s="908" t="s">
        <v>791</v>
      </c>
      <c r="E64" s="894"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2509</v>
      </c>
      <c r="D65" s="908" t="s">
        <v>743</v>
      </c>
      <c r="E65" s="894" t="s">
        <v>744</v>
      </c>
      <c r="F65" s="321">
        <f t="shared" ca="1" si="0"/>
        <v>1E-3</v>
      </c>
      <c r="I65" s="1366" t="s">
        <v>867</v>
      </c>
      <c r="J65" s="609">
        <v>40</v>
      </c>
      <c r="K65" s="609">
        <v>30</v>
      </c>
      <c r="L65" s="609">
        <v>50</v>
      </c>
      <c r="M65" s="1368">
        <v>0.02</v>
      </c>
      <c r="O65" s="1324" t="s">
        <v>403</v>
      </c>
      <c r="P65" s="1325" t="s">
        <v>868</v>
      </c>
      <c r="Q65" s="1326">
        <f ca="1">C40+J29</f>
        <v>4554231</v>
      </c>
      <c r="R65" s="1326" t="s">
        <v>818</v>
      </c>
    </row>
    <row r="66" spans="1:18" s="1291" customFormat="1" ht="16.5" thickBot="1">
      <c r="A66" s="926" t="s">
        <v>793</v>
      </c>
      <c r="B66" s="894" t="s">
        <v>728</v>
      </c>
      <c r="C66" s="21">
        <f ca="1">ROUND(C48*F66,0)</f>
        <v>0</v>
      </c>
      <c r="D66" s="908" t="s">
        <v>794</v>
      </c>
      <c r="E66" s="894" t="s">
        <v>712</v>
      </c>
      <c r="F66" s="304">
        <f t="shared" ca="1" si="0"/>
        <v>1.4999999999999999E-2</v>
      </c>
      <c r="O66" s="1324" t="s">
        <v>404</v>
      </c>
      <c r="P66" s="1325" t="s">
        <v>846</v>
      </c>
      <c r="Q66" s="1326">
        <f ca="1">L60</f>
        <v>0</v>
      </c>
      <c r="R66" s="1326" t="s">
        <v>869</v>
      </c>
    </row>
    <row r="67" spans="1:18" s="1291" customFormat="1" ht="16.5" thickBot="1">
      <c r="A67" s="901" t="s">
        <v>394</v>
      </c>
      <c r="B67" s="911" t="s">
        <v>752</v>
      </c>
      <c r="C67" s="308">
        <f ca="1">C48-C58</f>
        <v>-8627</v>
      </c>
      <c r="D67" s="907" t="s">
        <v>753</v>
      </c>
      <c r="E67" s="912"/>
      <c r="F67" s="913"/>
      <c r="O67" s="1333" t="s">
        <v>405</v>
      </c>
      <c r="P67" s="1325" t="s">
        <v>850</v>
      </c>
      <c r="Q67" s="1369">
        <f ca="1">L51</f>
        <v>1243674</v>
      </c>
      <c r="R67" s="1326" t="s">
        <v>870</v>
      </c>
    </row>
    <row r="68" spans="1:18" s="1291" customFormat="1" ht="16.5" thickBot="1">
      <c r="A68" s="891" t="s">
        <v>395</v>
      </c>
      <c r="B68" s="892" t="s">
        <v>774</v>
      </c>
      <c r="C68" s="293">
        <f ca="1">ROUND(C67*(1-((1+F70)/(1+F68))^F69)/(F68-F70),0)</f>
        <v>-133410</v>
      </c>
      <c r="D68" s="909" t="s">
        <v>758</v>
      </c>
      <c r="E68" s="894" t="s">
        <v>759</v>
      </c>
      <c r="F68" s="304">
        <f ca="1">F40</f>
        <v>5.5E-2</v>
      </c>
      <c r="O68" s="1333" t="s">
        <v>406</v>
      </c>
      <c r="P68" s="1370" t="s">
        <v>871</v>
      </c>
      <c r="Q68" s="1326">
        <f ca="1">ROUND(Q69-Q70*Q71,0)</f>
        <v>68451</v>
      </c>
      <c r="R68" s="1326" t="s">
        <v>414</v>
      </c>
    </row>
    <row r="69" spans="1:18" s="1291" customFormat="1" ht="13.5" thickBot="1">
      <c r="A69" s="895"/>
      <c r="B69" s="896"/>
      <c r="C69" s="298"/>
      <c r="D69" s="914" t="s">
        <v>762</v>
      </c>
      <c r="E69" s="894" t="s">
        <v>763</v>
      </c>
      <c r="F69" s="324">
        <f ca="1">F41</f>
        <v>35.5</v>
      </c>
      <c r="O69" s="1333" t="s">
        <v>411</v>
      </c>
      <c r="P69" s="1370" t="s">
        <v>872</v>
      </c>
      <c r="Q69" s="1326">
        <f ca="1">C39</f>
        <v>244051</v>
      </c>
      <c r="R69" s="1326" t="s">
        <v>818</v>
      </c>
    </row>
    <row r="70" spans="1:18" s="1291" customFormat="1" ht="13.5" thickBot="1">
      <c r="A70" s="898"/>
      <c r="B70" s="899"/>
      <c r="C70" s="302"/>
      <c r="D70" s="910"/>
      <c r="E70" s="894" t="s">
        <v>766</v>
      </c>
      <c r="F70" s="990"/>
      <c r="O70" s="1333" t="s">
        <v>412</v>
      </c>
      <c r="P70" s="1370" t="s">
        <v>873</v>
      </c>
      <c r="Q70" s="1326">
        <f ca="1">C13</f>
        <v>2508566</v>
      </c>
      <c r="R70" s="1326" t="s">
        <v>818</v>
      </c>
    </row>
    <row r="71" spans="1:18" s="1291" customFormat="1" ht="13.5" thickBot="1">
      <c r="A71" s="915" t="s">
        <v>396</v>
      </c>
      <c r="B71" s="916" t="s">
        <v>776</v>
      </c>
      <c r="C71" s="327">
        <f ca="1">ROUND(C68/F71,0)</f>
        <v>-196</v>
      </c>
      <c r="D71" s="917" t="s">
        <v>777</v>
      </c>
      <c r="E71" s="918" t="s">
        <v>778</v>
      </c>
      <c r="F71" s="330">
        <f ca="1">F43</f>
        <v>681.29</v>
      </c>
      <c r="O71" s="1333" t="s">
        <v>413</v>
      </c>
      <c r="P71" s="1370" t="s">
        <v>874</v>
      </c>
      <c r="Q71" s="1336">
        <f ca="1">C76</f>
        <v>7.0000000000000007E-2</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175600</v>
      </c>
      <c r="D75" s="1291"/>
      <c r="E75" s="1291"/>
      <c r="F75" s="1291"/>
      <c r="K75" s="1308"/>
      <c r="L75" s="1291"/>
      <c r="O75" s="1324" t="s">
        <v>409</v>
      </c>
      <c r="P75" s="1325" t="s">
        <v>838</v>
      </c>
      <c r="Q75" s="1326">
        <f ca="1">Q65+Q66</f>
        <v>4554231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0.28000000000000003</v>
      </c>
    </row>
    <row r="80" spans="1:18">
      <c r="B80" s="331" t="s">
        <v>800</v>
      </c>
      <c r="C80" s="266">
        <f ca="1">ROUND(C75/C39,3)</f>
        <v>0.72</v>
      </c>
    </row>
    <row r="81" spans="2:3">
      <c r="B81" s="262" t="s">
        <v>801</v>
      </c>
      <c r="C81" s="230"/>
    </row>
    <row r="82" spans="2:3">
      <c r="B82" s="265" t="s">
        <v>802</v>
      </c>
      <c r="C82" s="267">
        <f ca="1">1-C83</f>
        <v>0.44899999999999995</v>
      </c>
    </row>
    <row r="83" spans="2:3">
      <c r="B83" s="265" t="s">
        <v>803</v>
      </c>
      <c r="C83" s="266">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
      <formula>$J$51&gt;$L$48</formula>
    </cfRule>
  </conditionalFormatting>
  <conditionalFormatting sqref="J11">
    <cfRule type="expression" dxfId="86" priority="2">
      <formula>$M$10="自定义"</formula>
    </cfRule>
  </conditionalFormatting>
  <conditionalFormatting sqref="K55 K60">
    <cfRule type="expression" dxfId="8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15" customHeight="1">
      <c r="A2" s="1292" t="s">
        <v>2312</v>
      </c>
      <c r="B2" s="2593" t="e">
        <f>IF(D2="——",C40,C40+E2)</f>
        <v>#DIV/0!</v>
      </c>
      <c r="C2" s="2594" t="s">
        <v>2313</v>
      </c>
      <c r="D2" s="3137" t="s">
        <v>3354</v>
      </c>
      <c r="E2" s="3138"/>
      <c r="F2" s="2596"/>
      <c r="G2" s="2597"/>
      <c r="H2" s="2598"/>
      <c r="I2" s="2599"/>
      <c r="J2" s="3464" t="s">
        <v>2314</v>
      </c>
      <c r="K2" s="3465"/>
      <c r="L2" s="2600" t="s">
        <v>2315</v>
      </c>
      <c r="M2" s="2600" t="s">
        <v>2316</v>
      </c>
      <c r="N2" s="2600" t="s">
        <v>2317</v>
      </c>
      <c r="O2" s="2600" t="s">
        <v>2318</v>
      </c>
      <c r="P2" s="2600" t="s">
        <v>2319</v>
      </c>
      <c r="Q2" s="2601" t="s">
        <v>2320</v>
      </c>
      <c r="R2" s="2602" t="s">
        <v>2321</v>
      </c>
      <c r="S2" s="2591"/>
      <c r="T2" s="2591"/>
      <c r="U2" s="2591"/>
      <c r="V2" s="2599"/>
    </row>
    <row r="3" spans="1:22" s="2603" customFormat="1" ht="13.15" customHeight="1">
      <c r="A3" s="2604" t="s">
        <v>2322</v>
      </c>
      <c r="B3" s="2605" t="e">
        <f>ROUND(B2*10000/B4,0)</f>
        <v>#DIV/0!</v>
      </c>
      <c r="C3" s="2594" t="s">
        <v>2323</v>
      </c>
      <c r="D3" s="2594"/>
      <c r="E3" s="2595"/>
      <c r="F3" s="2596"/>
      <c r="G3" s="2597"/>
      <c r="H3" s="2598"/>
      <c r="I3" s="2599"/>
      <c r="J3" s="3466" t="s">
        <v>2324</v>
      </c>
      <c r="K3" s="3467"/>
      <c r="L3" s="2606"/>
      <c r="M3" s="2606"/>
      <c r="N3" s="2606"/>
      <c r="O3" s="2606"/>
      <c r="P3" s="2606"/>
      <c r="Q3" s="2607"/>
      <c r="R3" s="2608">
        <f>SUM(L3:Q3)</f>
        <v>0</v>
      </c>
      <c r="S3" s="2591"/>
      <c r="T3" s="2591"/>
      <c r="U3" s="2591"/>
      <c r="V3" s="2599"/>
    </row>
    <row r="4" spans="1:22" s="2603" customFormat="1" ht="13.15" customHeight="1">
      <c r="A4" s="2609" t="s">
        <v>2325</v>
      </c>
      <c r="B4" s="2610"/>
      <c r="C4" s="2594"/>
      <c r="D4" s="2594"/>
      <c r="E4" s="2595"/>
      <c r="F4" s="2596"/>
      <c r="G4" s="2597"/>
      <c r="H4" s="2598"/>
      <c r="I4" s="2599"/>
      <c r="J4" s="3466" t="s">
        <v>2326</v>
      </c>
      <c r="K4" s="3467"/>
      <c r="L4" s="2611"/>
      <c r="M4" s="2611"/>
      <c r="N4" s="2611"/>
      <c r="O4" s="2611"/>
      <c r="P4" s="2611"/>
      <c r="Q4" s="2612"/>
      <c r="R4" s="2613">
        <f>SUM(L4:Q4)</f>
        <v>0</v>
      </c>
      <c r="S4" s="2591"/>
      <c r="T4" s="2591"/>
      <c r="U4" s="2591"/>
      <c r="V4" s="2599"/>
    </row>
    <row r="5" spans="1:22" s="2603" customFormat="1" ht="13.15"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15" customHeight="1" thickBot="1">
      <c r="A6" s="3472" t="s">
        <v>2330</v>
      </c>
      <c r="B6" s="3473"/>
      <c r="C6" s="3474"/>
      <c r="D6" s="2620"/>
      <c r="E6" s="2621"/>
      <c r="F6" s="2622"/>
      <c r="G6" s="2623"/>
      <c r="H6" s="2598"/>
      <c r="I6" s="2599"/>
      <c r="J6" s="3458">
        <v>1</v>
      </c>
      <c r="K6" s="3459"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15" customHeight="1">
      <c r="A7" s="2626" t="s">
        <v>2340</v>
      </c>
      <c r="B7" s="2627"/>
      <c r="C7" s="2628"/>
      <c r="D7" s="2629">
        <f>SUM(D9,D10,D11,D17,0)</f>
        <v>0</v>
      </c>
      <c r="E7" s="2630" t="e">
        <f>E9+E10+E11+E17</f>
        <v>#DIV/0!</v>
      </c>
      <c r="F7" s="2631"/>
      <c r="G7" s="2632"/>
      <c r="H7" s="2598"/>
      <c r="I7" s="2599"/>
      <c r="J7" s="3458"/>
      <c r="K7" s="3460"/>
      <c r="L7" s="2633" t="s">
        <v>2341</v>
      </c>
      <c r="M7" s="2634"/>
      <c r="N7" s="2610"/>
      <c r="O7" s="2635"/>
      <c r="P7" s="2635"/>
      <c r="Q7" s="2636">
        <v>365</v>
      </c>
      <c r="R7" s="2637">
        <f>ROUND(M7*N7*O7*P7*Q7/10000,0)</f>
        <v>0</v>
      </c>
      <c r="S7" s="2591"/>
      <c r="T7" s="2591" t="s">
        <v>2342</v>
      </c>
      <c r="U7" s="2591"/>
      <c r="V7" s="2599"/>
    </row>
    <row r="8" spans="1:22" s="2603" customFormat="1" ht="13.15" customHeight="1">
      <c r="A8" s="2638" t="s">
        <v>2343</v>
      </c>
      <c r="B8" s="3475" t="s">
        <v>2344</v>
      </c>
      <c r="C8" s="3476"/>
      <c r="D8" s="2639" t="s">
        <v>2345</v>
      </c>
      <c r="E8" s="2640" t="s">
        <v>2346</v>
      </c>
      <c r="F8" s="2641" t="s">
        <v>2347</v>
      </c>
      <c r="G8" s="2642"/>
      <c r="H8" s="2598"/>
      <c r="I8" s="2599"/>
      <c r="J8" s="3458"/>
      <c r="K8" s="3460"/>
      <c r="L8" s="2633" t="s">
        <v>2348</v>
      </c>
      <c r="M8" s="2634"/>
      <c r="N8" s="2610"/>
      <c r="O8" s="2635"/>
      <c r="P8" s="2635"/>
      <c r="Q8" s="2636">
        <v>365</v>
      </c>
      <c r="R8" s="2637">
        <f t="shared" ref="R8:R13" si="0">ROUND(M8*N8*O8*P8*Q8/10000,0)</f>
        <v>0</v>
      </c>
      <c r="S8" s="2591"/>
      <c r="T8" s="2591" t="s">
        <v>2349</v>
      </c>
      <c r="U8" s="2591"/>
      <c r="V8" s="2599"/>
    </row>
    <row r="9" spans="1:22" s="2603" customFormat="1" ht="13.15" customHeight="1">
      <c r="A9" s="2638">
        <v>1</v>
      </c>
      <c r="B9" s="3475" t="s">
        <v>2350</v>
      </c>
      <c r="C9" s="3476"/>
      <c r="D9" s="2639">
        <f>ROUND(D6*E9,0)</f>
        <v>0</v>
      </c>
      <c r="E9" s="2643"/>
      <c r="F9" s="2644" t="s">
        <v>2351</v>
      </c>
      <c r="G9" s="2623"/>
      <c r="H9" s="2598"/>
      <c r="I9" s="2599"/>
      <c r="J9" s="3458"/>
      <c r="K9" s="3460"/>
      <c r="L9" s="2633" t="s">
        <v>2352</v>
      </c>
      <c r="M9" s="2634"/>
      <c r="N9" s="2610"/>
      <c r="O9" s="2635"/>
      <c r="P9" s="2635"/>
      <c r="Q9" s="2636">
        <v>365</v>
      </c>
      <c r="R9" s="2637">
        <f t="shared" si="0"/>
        <v>0</v>
      </c>
      <c r="S9" s="2591"/>
      <c r="T9" s="2591"/>
      <c r="U9" s="2591"/>
      <c r="V9" s="2599"/>
    </row>
    <row r="10" spans="1:22" s="2603" customFormat="1" ht="13.15" customHeight="1">
      <c r="A10" s="2638">
        <v>2</v>
      </c>
      <c r="B10" s="3475" t="s">
        <v>2353</v>
      </c>
      <c r="C10" s="3476"/>
      <c r="D10" s="2639">
        <f>ROUND(D6*E10,0)</f>
        <v>0</v>
      </c>
      <c r="E10" s="2643"/>
      <c r="F10" s="2644" t="s">
        <v>2354</v>
      </c>
      <c r="G10" s="2623"/>
      <c r="H10" s="2598"/>
      <c r="I10" s="2599"/>
      <c r="J10" s="3458"/>
      <c r="K10" s="3460"/>
      <c r="L10" s="2633" t="s">
        <v>2355</v>
      </c>
      <c r="M10" s="2634"/>
      <c r="N10" s="2610"/>
      <c r="O10" s="2635"/>
      <c r="P10" s="2635"/>
      <c r="Q10" s="2636">
        <v>365</v>
      </c>
      <c r="R10" s="2637">
        <f t="shared" si="0"/>
        <v>0</v>
      </c>
      <c r="S10" s="2591"/>
      <c r="T10" s="2591"/>
      <c r="U10" s="2591"/>
      <c r="V10" s="2599"/>
    </row>
    <row r="11" spans="1:22" s="2603" customFormat="1" ht="13.15" customHeight="1">
      <c r="A11" s="2638">
        <v>3</v>
      </c>
      <c r="B11" s="3475" t="s">
        <v>2356</v>
      </c>
      <c r="C11" s="3476"/>
      <c r="D11" s="2639">
        <f>D12+D14+D15+D16</f>
        <v>0</v>
      </c>
      <c r="E11" s="2645" t="e">
        <f>D11/D6</f>
        <v>#DIV/0!</v>
      </c>
      <c r="F11" s="2641"/>
      <c r="G11" s="2642"/>
      <c r="H11" s="2598"/>
      <c r="I11" s="2599"/>
      <c r="J11" s="3458"/>
      <c r="K11" s="3460"/>
      <c r="L11" s="2633" t="s">
        <v>2357</v>
      </c>
      <c r="M11" s="2634"/>
      <c r="N11" s="2610"/>
      <c r="O11" s="2635"/>
      <c r="P11" s="2635"/>
      <c r="Q11" s="2636">
        <v>365</v>
      </c>
      <c r="R11" s="2637">
        <f t="shared" si="0"/>
        <v>0</v>
      </c>
      <c r="S11" s="2591"/>
      <c r="T11" s="2591"/>
      <c r="U11" s="2591"/>
      <c r="V11" s="2599"/>
    </row>
    <row r="12" spans="1:22" s="2603" customFormat="1" ht="13.15" customHeight="1">
      <c r="A12" s="2646" t="s">
        <v>2358</v>
      </c>
      <c r="B12" s="3468" t="s">
        <v>2359</v>
      </c>
      <c r="C12" s="3469"/>
      <c r="D12" s="2647">
        <f>ROUND(D13*1.2%*(1-30%),0)</f>
        <v>0</v>
      </c>
      <c r="E12" s="2648">
        <v>1.2E-2</v>
      </c>
      <c r="F12" s="2641" t="s">
        <v>2360</v>
      </c>
      <c r="G12" s="2642"/>
      <c r="H12" s="2598"/>
      <c r="I12" s="2599"/>
      <c r="J12" s="3458"/>
      <c r="K12" s="3460"/>
      <c r="L12" s="2633" t="s">
        <v>2361</v>
      </c>
      <c r="M12" s="2634"/>
      <c r="N12" s="2610"/>
      <c r="O12" s="2635"/>
      <c r="P12" s="2635"/>
      <c r="Q12" s="2636">
        <v>365</v>
      </c>
      <c r="R12" s="2637">
        <f t="shared" si="0"/>
        <v>0</v>
      </c>
      <c r="S12" s="2591"/>
      <c r="T12" s="2591"/>
      <c r="U12" s="2591"/>
      <c r="V12" s="2599"/>
    </row>
    <row r="13" spans="1:22" s="2603" customFormat="1" ht="13.15" customHeight="1">
      <c r="A13" s="2646"/>
      <c r="B13" s="2649"/>
      <c r="C13" s="2650" t="s">
        <v>2362</v>
      </c>
      <c r="D13" s="2651"/>
      <c r="E13" s="2652"/>
      <c r="F13" s="2641"/>
      <c r="G13" s="2642"/>
      <c r="H13" s="2598"/>
      <c r="I13" s="2599"/>
      <c r="J13" s="3458"/>
      <c r="K13" s="3460"/>
      <c r="L13" s="2633" t="s">
        <v>2363</v>
      </c>
      <c r="M13" s="2634"/>
      <c r="N13" s="2610"/>
      <c r="O13" s="2635"/>
      <c r="P13" s="2635"/>
      <c r="Q13" s="2636">
        <v>365</v>
      </c>
      <c r="R13" s="2637">
        <f t="shared" si="0"/>
        <v>0</v>
      </c>
      <c r="S13" s="2591"/>
      <c r="T13" s="2591"/>
      <c r="U13" s="2591"/>
      <c r="V13" s="2599"/>
    </row>
    <row r="14" spans="1:22" s="2603" customFormat="1" ht="13.15" customHeight="1">
      <c r="A14" s="2646" t="s">
        <v>2364</v>
      </c>
      <c r="B14" s="3468" t="s">
        <v>2365</v>
      </c>
      <c r="C14" s="3469"/>
      <c r="D14" s="2647">
        <f>ROUND(E14*B5/10000,0)</f>
        <v>0</v>
      </c>
      <c r="E14" s="2636"/>
      <c r="F14" s="2641" t="s">
        <v>2366</v>
      </c>
      <c r="G14" s="2642"/>
      <c r="H14" s="2598"/>
      <c r="I14" s="2599"/>
      <c r="J14" s="3458"/>
      <c r="K14" s="3461"/>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2368</v>
      </c>
      <c r="B15" s="3468" t="s">
        <v>2369</v>
      </c>
      <c r="C15" s="3469"/>
      <c r="D15" s="2647">
        <f>ROUND(D6*E15,0)</f>
        <v>0</v>
      </c>
      <c r="E15" s="2648">
        <v>5.5E-2</v>
      </c>
      <c r="F15" s="2641" t="s">
        <v>2370</v>
      </c>
      <c r="G15" s="2623"/>
      <c r="H15" s="2598"/>
      <c r="I15" s="2599"/>
      <c r="J15" s="3458">
        <v>2</v>
      </c>
      <c r="K15" s="3459"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15" customHeight="1">
      <c r="A16" s="2646" t="s">
        <v>2377</v>
      </c>
      <c r="B16" s="3468" t="s">
        <v>2378</v>
      </c>
      <c r="C16" s="3469"/>
      <c r="D16" s="2658">
        <f>D6*E16</f>
        <v>0</v>
      </c>
      <c r="E16" s="2659"/>
      <c r="F16" s="2644" t="s">
        <v>2379</v>
      </c>
      <c r="G16" s="2623"/>
      <c r="H16" s="2598"/>
      <c r="I16" s="2599"/>
      <c r="J16" s="3458"/>
      <c r="K16" s="3460"/>
      <c r="L16" s="2633" t="s">
        <v>2380</v>
      </c>
      <c r="M16" s="2634"/>
      <c r="N16" s="2634"/>
      <c r="O16" s="2635"/>
      <c r="P16" s="2636">
        <v>365</v>
      </c>
      <c r="Q16" s="2610"/>
      <c r="R16" s="2657">
        <f>ROUND(M16*N16*O16*P16/10000,0)</f>
        <v>0</v>
      </c>
      <c r="S16" s="2591"/>
      <c r="T16" s="2591"/>
      <c r="U16" s="2591"/>
      <c r="V16" s="2599"/>
    </row>
    <row r="17" spans="1:22" s="2603" customFormat="1" ht="13.15" customHeight="1" thickBot="1">
      <c r="A17" s="2660">
        <v>4</v>
      </c>
      <c r="B17" s="3470" t="s">
        <v>2381</v>
      </c>
      <c r="C17" s="3471"/>
      <c r="D17" s="2661">
        <f>ROUND(D6*E17,0)</f>
        <v>0</v>
      </c>
      <c r="E17" s="2662"/>
      <c r="F17" s="2663" t="s">
        <v>2382</v>
      </c>
      <c r="G17" s="2623"/>
      <c r="H17" s="2598"/>
      <c r="I17" s="2599"/>
      <c r="J17" s="3458"/>
      <c r="K17" s="3460"/>
      <c r="L17" s="2633" t="s">
        <v>2383</v>
      </c>
      <c r="M17" s="2634"/>
      <c r="N17" s="2634"/>
      <c r="O17" s="2635"/>
      <c r="P17" s="2636">
        <v>365</v>
      </c>
      <c r="Q17" s="2610"/>
      <c r="R17" s="2657">
        <f>ROUND(M17*N17*O17*P17/10000,0)</f>
        <v>0</v>
      </c>
      <c r="S17" s="2591"/>
      <c r="T17" s="2591"/>
      <c r="U17" s="2591"/>
      <c r="V17" s="2599"/>
    </row>
    <row r="18" spans="1:22" s="2603" customFormat="1" ht="13.15" customHeight="1" thickBot="1">
      <c r="A18" s="2626" t="s">
        <v>2384</v>
      </c>
      <c r="B18" s="2627"/>
      <c r="C18" s="2627"/>
      <c r="D18" s="2664">
        <f>ROUND(D6*E18,0)</f>
        <v>0</v>
      </c>
      <c r="E18" s="2665"/>
      <c r="F18" s="2666" t="s">
        <v>2385</v>
      </c>
      <c r="G18" s="2623"/>
      <c r="H18" s="2598"/>
      <c r="I18" s="2599"/>
      <c r="J18" s="3458"/>
      <c r="K18" s="3460"/>
      <c r="L18" s="2633" t="s">
        <v>2386</v>
      </c>
      <c r="M18" s="2634"/>
      <c r="N18" s="2634"/>
      <c r="O18" s="2635"/>
      <c r="P18" s="2636">
        <v>365</v>
      </c>
      <c r="Q18" s="2610"/>
      <c r="R18" s="2657">
        <f>ROUND(M18*N18*O18*P18/10000,0)</f>
        <v>0</v>
      </c>
      <c r="S18" s="2591"/>
      <c r="T18" s="2591"/>
      <c r="U18" s="2591"/>
      <c r="V18" s="2599"/>
    </row>
    <row r="19" spans="1:22" s="2603" customFormat="1" ht="13.15" customHeight="1" thickBot="1">
      <c r="A19" s="2667" t="s">
        <v>2387</v>
      </c>
      <c r="B19" s="2621"/>
      <c r="C19" s="2621"/>
      <c r="D19" s="2621"/>
      <c r="E19" s="2621"/>
      <c r="F19" s="2622"/>
      <c r="G19" s="2642"/>
      <c r="H19" s="2598"/>
      <c r="I19" s="2599"/>
      <c r="J19" s="3458"/>
      <c r="K19" s="3461"/>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58">
        <v>3</v>
      </c>
      <c r="K20" s="3459"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15" customHeight="1">
      <c r="A21" s="2626"/>
      <c r="B21" s="2627"/>
      <c r="C21" s="2672" t="s">
        <v>2396</v>
      </c>
      <c r="D21" s="2673" t="s">
        <v>2397</v>
      </c>
      <c r="E21" s="2674" t="s">
        <v>2398</v>
      </c>
      <c r="F21" s="2670"/>
      <c r="G21" s="2642"/>
      <c r="H21" s="2598"/>
      <c r="I21" s="2599"/>
      <c r="J21" s="3458"/>
      <c r="K21" s="3460"/>
      <c r="L21" s="2633" t="s">
        <v>2399</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2400</v>
      </c>
      <c r="D22" s="2677" t="s">
        <v>2401</v>
      </c>
      <c r="E22" s="2678" t="s">
        <v>2402</v>
      </c>
      <c r="F22" s="2670"/>
      <c r="G22" s="2591"/>
      <c r="H22" s="2598"/>
      <c r="I22" s="2599"/>
      <c r="J22" s="3458"/>
      <c r="K22" s="3460"/>
      <c r="L22" s="2633" t="s">
        <v>2403</v>
      </c>
      <c r="M22" s="2634"/>
      <c r="N22" s="2634"/>
      <c r="O22" s="2635"/>
      <c r="P22" s="2636">
        <v>365</v>
      </c>
      <c r="Q22" s="2610"/>
      <c r="R22" s="2675">
        <f>ROUND(M22*N22*O22*P22/10000,0)</f>
        <v>0</v>
      </c>
      <c r="S22" s="2591"/>
      <c r="T22" s="2591"/>
      <c r="U22" s="2591"/>
      <c r="V22" s="2599"/>
    </row>
    <row r="23" spans="1:22" s="2603" customFormat="1" ht="13.15" customHeight="1">
      <c r="A23" s="2679">
        <v>1</v>
      </c>
      <c r="B23" s="2680" t="s">
        <v>2404</v>
      </c>
      <c r="C23" s="2681">
        <f>D6</f>
        <v>0</v>
      </c>
      <c r="D23" s="2682">
        <f>C23*(1+D24)</f>
        <v>0</v>
      </c>
      <c r="E23" s="2683">
        <f>D23*(1+E24)</f>
        <v>0</v>
      </c>
      <c r="F23" s="2684"/>
      <c r="G23" s="2685"/>
      <c r="H23" s="2598"/>
      <c r="I23" s="2599"/>
      <c r="J23" s="3458"/>
      <c r="K23" s="3460"/>
      <c r="L23" s="2633" t="s">
        <v>2405</v>
      </c>
      <c r="M23" s="2634"/>
      <c r="N23" s="2634"/>
      <c r="O23" s="2635"/>
      <c r="P23" s="2636">
        <v>365</v>
      </c>
      <c r="Q23" s="2610"/>
      <c r="R23" s="2675">
        <f>ROUND(M23*N23*O23*P23/10000,0)</f>
        <v>0</v>
      </c>
      <c r="S23" s="2591"/>
      <c r="T23" s="2591"/>
      <c r="U23" s="2591"/>
      <c r="V23" s="2599"/>
    </row>
    <row r="24" spans="1:22" s="2603" customFormat="1" ht="13.15" customHeight="1">
      <c r="A24" s="2686"/>
      <c r="B24" s="2687" t="s">
        <v>2406</v>
      </c>
      <c r="C24" s="2688"/>
      <c r="D24" s="2689"/>
      <c r="E24" s="2690"/>
      <c r="F24" s="2691"/>
      <c r="G24" s="2685"/>
      <c r="H24" s="2598"/>
      <c r="I24" s="2599"/>
      <c r="J24" s="3458"/>
      <c r="K24" s="3461"/>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15" customHeight="1">
      <c r="A26" s="2679">
        <v>2</v>
      </c>
      <c r="B26" s="2680" t="s">
        <v>2408</v>
      </c>
      <c r="C26" s="2681">
        <f>D7</f>
        <v>0</v>
      </c>
      <c r="D26" s="2682">
        <f>D23*D27</f>
        <v>0</v>
      </c>
      <c r="E26" s="2683">
        <f>E23*E27</f>
        <v>0</v>
      </c>
      <c r="F26" s="2684"/>
      <c r="G26" s="2685"/>
      <c r="H26" s="2598"/>
      <c r="I26" s="2599"/>
      <c r="J26" s="3462">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15" customHeight="1">
      <c r="A27" s="2686"/>
      <c r="B27" s="2687" t="s">
        <v>2414</v>
      </c>
      <c r="C27" s="2704" t="e">
        <f>E7</f>
        <v>#DIV/0!</v>
      </c>
      <c r="D27" s="2689"/>
      <c r="E27" s="2690"/>
      <c r="F27" s="2691"/>
      <c r="G27" s="2685"/>
      <c r="H27" s="2705"/>
      <c r="I27" s="2697"/>
      <c r="J27" s="34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15"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15" customHeight="1">
      <c r="A32" s="2679">
        <v>4</v>
      </c>
      <c r="B32" s="2680" t="s">
        <v>2422</v>
      </c>
      <c r="C32" s="2681">
        <f>C23-C26-C29</f>
        <v>0</v>
      </c>
      <c r="D32" s="2682">
        <f>D23-D26-D29</f>
        <v>0</v>
      </c>
      <c r="E32" s="2683">
        <f>E23-E26-E29</f>
        <v>0</v>
      </c>
      <c r="F32" s="2684"/>
      <c r="G32" s="2591"/>
      <c r="H32" s="2598"/>
      <c r="I32" s="2599"/>
      <c r="J32" s="3464" t="s">
        <v>2314</v>
      </c>
      <c r="K32" s="3465"/>
      <c r="L32" s="2600" t="s">
        <v>2315</v>
      </c>
      <c r="M32" s="2600" t="s">
        <v>2316</v>
      </c>
      <c r="N32" s="2600" t="s">
        <v>2317</v>
      </c>
      <c r="O32" s="2600" t="s">
        <v>2318</v>
      </c>
      <c r="P32" s="2600" t="s">
        <v>2319</v>
      </c>
      <c r="Q32" s="2601" t="s">
        <v>2320</v>
      </c>
      <c r="R32" s="2720" t="s">
        <v>2321</v>
      </c>
      <c r="S32" s="2591"/>
      <c r="T32" s="2591"/>
      <c r="U32" s="2591"/>
      <c r="V32" s="2697"/>
    </row>
    <row r="33" spans="1:23" s="2603" customFormat="1" ht="13.15" customHeight="1">
      <c r="A33" s="2679"/>
      <c r="B33" s="2680"/>
      <c r="C33" s="2681"/>
      <c r="D33" s="2721"/>
      <c r="E33" s="2722"/>
      <c r="F33" s="2684"/>
      <c r="G33" s="2591"/>
      <c r="H33" s="2705"/>
      <c r="I33" s="2697"/>
      <c r="J33" s="3466" t="s">
        <v>2324</v>
      </c>
      <c r="K33" s="3467"/>
      <c r="L33" s="2606"/>
      <c r="M33" s="2606"/>
      <c r="N33" s="2606"/>
      <c r="O33" s="2606"/>
      <c r="P33" s="2606"/>
      <c r="Q33" s="2607"/>
      <c r="R33" s="2723">
        <f>SUM(L33:Q33)</f>
        <v>0</v>
      </c>
      <c r="S33" s="2591"/>
      <c r="T33" s="2591"/>
      <c r="U33" s="2591"/>
      <c r="V33" s="2599"/>
    </row>
    <row r="34" spans="1:23" s="2603" customFormat="1" ht="13.15" customHeight="1">
      <c r="A34" s="2679">
        <v>5</v>
      </c>
      <c r="B34" s="2680" t="s">
        <v>2423</v>
      </c>
      <c r="C34" s="2724"/>
      <c r="D34" s="2725"/>
      <c r="E34" s="2726"/>
      <c r="F34" s="2684"/>
      <c r="G34" s="2591"/>
      <c r="H34" s="2705"/>
      <c r="I34" s="2697"/>
      <c r="J34" s="3466" t="s">
        <v>2326</v>
      </c>
      <c r="K34" s="34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15" customHeight="1" thickBot="1">
      <c r="A36" s="2679">
        <v>7</v>
      </c>
      <c r="B36" s="2733" t="s">
        <v>2425</v>
      </c>
      <c r="C36" s="2734"/>
      <c r="D36" s="2735"/>
      <c r="E36" s="2736"/>
      <c r="F36" s="2737">
        <f>C36+D36+E36</f>
        <v>0</v>
      </c>
      <c r="G36" s="2591"/>
      <c r="H36" s="2598"/>
      <c r="I36" s="2599"/>
      <c r="J36" s="3458">
        <v>1</v>
      </c>
      <c r="K36" s="3459" t="s">
        <v>2426</v>
      </c>
      <c r="L36" s="2624"/>
      <c r="M36" s="2625"/>
      <c r="N36" s="2625"/>
      <c r="O36" s="2625"/>
      <c r="P36" s="2625"/>
      <c r="Q36" s="2625"/>
      <c r="R36" s="2608" t="s">
        <v>2338</v>
      </c>
      <c r="S36" s="2591"/>
      <c r="T36" s="2591" t="s">
        <v>2339</v>
      </c>
      <c r="U36" s="2591"/>
      <c r="V36" s="2599"/>
    </row>
    <row r="37" spans="1:23" s="2603" customFormat="1" ht="13.15" customHeight="1">
      <c r="A37" s="2679"/>
      <c r="B37" s="2680"/>
      <c r="C37" s="2680"/>
      <c r="D37" s="2680"/>
      <c r="E37" s="2680"/>
      <c r="F37" s="2684"/>
      <c r="G37" s="2591"/>
      <c r="H37" s="2598"/>
      <c r="I37" s="2599"/>
      <c r="J37" s="3458"/>
      <c r="K37" s="3460"/>
      <c r="L37" s="2633"/>
      <c r="M37" s="2634"/>
      <c r="N37" s="2610"/>
      <c r="O37" s="2635"/>
      <c r="P37" s="2635"/>
      <c r="Q37" s="2636"/>
      <c r="R37" s="2637"/>
      <c r="S37" s="2591"/>
      <c r="T37" s="2591" t="s">
        <v>2342</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58"/>
      <c r="K38" s="3460"/>
      <c r="L38" s="2633"/>
      <c r="M38" s="2634"/>
      <c r="N38" s="2610"/>
      <c r="O38" s="2635"/>
      <c r="P38" s="2635"/>
      <c r="Q38" s="2636"/>
      <c r="R38" s="2637"/>
      <c r="S38" s="2591"/>
      <c r="T38" s="2591" t="s">
        <v>2349</v>
      </c>
      <c r="U38" s="2591"/>
      <c r="V38" s="2599"/>
    </row>
    <row r="39" spans="1:23" s="2603" customFormat="1" ht="13.15" customHeight="1">
      <c r="A39" s="2679">
        <v>9</v>
      </c>
      <c r="B39" s="2680" t="s">
        <v>2427</v>
      </c>
      <c r="C39" s="2647" t="e">
        <f>C38</f>
        <v>#DIV/0!</v>
      </c>
      <c r="D39" s="2680">
        <f>D38/(1+D34)^C36</f>
        <v>0</v>
      </c>
      <c r="E39" s="2680">
        <f>E38/(1+E34)^(C36+D36)</f>
        <v>0</v>
      </c>
      <c r="F39" s="2684"/>
      <c r="G39" s="2599"/>
      <c r="H39" s="2598"/>
      <c r="I39" s="2599"/>
      <c r="J39" s="3458"/>
      <c r="K39" s="3460"/>
      <c r="L39" s="2633"/>
      <c r="M39" s="2634"/>
      <c r="N39" s="2610"/>
      <c r="O39" s="2635"/>
      <c r="P39" s="2635"/>
      <c r="Q39" s="2636"/>
      <c r="R39" s="2637"/>
      <c r="S39" s="2591"/>
      <c r="T39" s="2591"/>
      <c r="U39" s="2591"/>
      <c r="V39" s="2599"/>
    </row>
    <row r="40" spans="1:23" s="2603" customFormat="1" ht="13.15" customHeight="1">
      <c r="A40" s="2738">
        <v>10</v>
      </c>
      <c r="B40" s="2680" t="s">
        <v>2428</v>
      </c>
      <c r="C40" s="2739" t="e">
        <f>C39+D39+E39</f>
        <v>#DIV/0!</v>
      </c>
      <c r="D40" s="2740"/>
      <c r="E40" s="2740"/>
      <c r="F40" s="2741"/>
      <c r="G40" s="2591"/>
      <c r="H40" s="2598"/>
      <c r="I40" s="2599"/>
      <c r="J40" s="3458"/>
      <c r="K40" s="3461"/>
      <c r="L40" s="2653" t="s">
        <v>2367</v>
      </c>
      <c r="M40" s="2654"/>
      <c r="N40" s="2654"/>
      <c r="O40" s="2655"/>
      <c r="P40" s="2655"/>
      <c r="Q40" s="2656"/>
      <c r="R40" s="2602">
        <f>SUM(R37:R39)</f>
        <v>0</v>
      </c>
      <c r="S40" s="2591"/>
      <c r="T40" s="2591"/>
      <c r="U40" s="2591"/>
      <c r="V40" s="2599"/>
    </row>
    <row r="41" spans="1:23" s="2603" customFormat="1" ht="13.15"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15" customHeight="1">
      <c r="G42" s="2598"/>
      <c r="H42" s="2598"/>
      <c r="I42" s="2599"/>
      <c r="J42" s="3462">
        <v>3</v>
      </c>
      <c r="K42" s="2699" t="s">
        <v>2409</v>
      </c>
      <c r="L42" s="2700"/>
      <c r="M42" s="2701"/>
      <c r="N42" s="2702" t="s">
        <v>2410</v>
      </c>
      <c r="O42" s="2702" t="s">
        <v>2411</v>
      </c>
      <c r="P42" s="2703" t="s">
        <v>2412</v>
      </c>
      <c r="Q42" s="2703" t="s">
        <v>2413</v>
      </c>
      <c r="R42" s="2608" t="s">
        <v>2338</v>
      </c>
      <c r="S42" s="2642"/>
      <c r="T42" s="2642"/>
      <c r="U42" s="2591"/>
      <c r="V42" s="2599"/>
    </row>
    <row r="43" spans="1:23" ht="13.15" customHeight="1">
      <c r="A43" s="2603"/>
      <c r="B43" s="2603"/>
      <c r="C43" s="2603"/>
      <c r="D43" s="2603"/>
      <c r="E43" s="2603"/>
      <c r="F43" s="2603"/>
      <c r="I43" s="2586"/>
      <c r="J43" s="34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受贵公司委托，我公司对北京市大兴区隆华大街55号院67号楼-1至2层01办公楼用房房地产抵押价值进行了预评估。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估价对象为北京市大兴区隆华大街55号院67号楼-1至2层01办公楼用房房地产，为所有。根据《国有土地使用证》[]，估价对象（分摊）出让国有建设用地使用权面积为0平方米，建筑面积为681.29平方米。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2025年11月7日（评估专业人员实地查勘之日）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09">
        <f ca="1">SUMIF(B6:B13,"&lt;&gt;#ref!",B6:B13)</f>
        <v>464.81319999999999</v>
      </c>
      <c r="C2" s="1728" t="s">
        <v>1651</v>
      </c>
      <c r="D2" s="1729" t="s">
        <v>1652</v>
      </c>
      <c r="E2" s="2392">
        <f>SUM(E6:E13)</f>
        <v>681.29</v>
      </c>
      <c r="F2" s="2478"/>
      <c r="G2" s="459"/>
      <c r="H2" s="459"/>
      <c r="I2" s="459"/>
      <c r="J2" s="459"/>
      <c r="K2" s="459"/>
      <c r="L2" s="459"/>
      <c r="M2" s="459"/>
      <c r="N2" s="459"/>
      <c r="O2" s="459"/>
      <c r="P2" s="459"/>
      <c r="Q2" s="459"/>
      <c r="R2" s="459"/>
      <c r="S2" s="459"/>
    </row>
    <row r="3" spans="1:22" ht="15.75">
      <c r="A3" s="1727" t="s">
        <v>686</v>
      </c>
      <c r="B3" s="2386">
        <f ca="1">ROUND(B2*10000/E2,0)</f>
        <v>6823</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77" t="s">
        <v>1654</v>
      </c>
      <c r="C5" s="3478"/>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464.81319999999999</v>
      </c>
      <c r="C6" s="1728" t="s">
        <v>1651</v>
      </c>
      <c r="D6" s="2478"/>
      <c r="E6" s="2391">
        <f>IF(OR(A6=0,F6="否"),0,'数据-取费表'!K6+'数据-取费表'!S6)</f>
        <v>681.29</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G15" sqref="G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21</v>
      </c>
      <c r="E1" s="3123" t="s">
        <v>3459</v>
      </c>
      <c r="F1" s="1734" t="s">
        <v>3460</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e">
        <f>IF(E1="项目模式",IF(C2="——",ROUND(C49*D3/10000,0),ROUND(C49*D3/10000,0)-D2),IF(E1="单套模式",IF(C2="——",ROUND(C49*D3/10000,4),ROUND(C49*D3/10000,4)-D2)))</f>
        <v>#DIV/0!</v>
      </c>
      <c r="C2" s="1736" t="s">
        <v>43</v>
      </c>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2"/>
      <c r="F3" s="1742"/>
      <c r="G3" s="852"/>
      <c r="H3" s="852"/>
      <c r="I3" s="852"/>
      <c r="J3" s="852"/>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415" t="s">
        <v>1667</v>
      </c>
      <c r="D4" s="3416"/>
      <c r="E4" s="3417" t="s">
        <v>1668</v>
      </c>
      <c r="F4" s="3418"/>
      <c r="G4" s="3415" t="s">
        <v>1669</v>
      </c>
      <c r="H4" s="3416"/>
      <c r="I4" s="3415" t="s">
        <v>1670</v>
      </c>
      <c r="J4" s="3416"/>
      <c r="K4" s="1743" t="s">
        <v>1671</v>
      </c>
      <c r="L4" s="2485"/>
      <c r="M4" s="2486"/>
      <c r="N4" s="2486"/>
      <c r="O4" s="2486"/>
      <c r="P4" s="3449" t="s">
        <v>1672</v>
      </c>
      <c r="Q4" s="3450"/>
      <c r="R4" s="3453" t="s">
        <v>1668</v>
      </c>
      <c r="S4" s="3454"/>
      <c r="T4" s="3453" t="s">
        <v>1669</v>
      </c>
      <c r="U4" s="3454"/>
      <c r="V4" s="3399" t="s">
        <v>1670</v>
      </c>
      <c r="W4" s="3399"/>
      <c r="X4" s="1264"/>
      <c r="Y4" s="3453" t="s">
        <v>1672</v>
      </c>
      <c r="Z4" s="3454"/>
      <c r="AA4" s="3448" t="s">
        <v>1668</v>
      </c>
      <c r="AB4" s="3448" t="s">
        <v>1669</v>
      </c>
      <c r="AC4" s="3448" t="s">
        <v>1670</v>
      </c>
    </row>
    <row r="5" spans="1:29" ht="15">
      <c r="A5" s="348"/>
      <c r="B5" s="349"/>
      <c r="C5" s="3455" t="s">
        <v>1673</v>
      </c>
      <c r="D5" s="3435"/>
      <c r="E5" s="3479" t="s">
        <v>1674</v>
      </c>
      <c r="F5" s="3457"/>
      <c r="G5" s="3455" t="s">
        <v>1675</v>
      </c>
      <c r="H5" s="3435"/>
      <c r="I5" s="3455" t="s">
        <v>1676</v>
      </c>
      <c r="J5" s="3435"/>
      <c r="K5" s="1744"/>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1744"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38" t="s">
        <v>1680</v>
      </c>
      <c r="Q7" s="3439"/>
      <c r="R7" s="662" t="s">
        <v>20</v>
      </c>
      <c r="S7" s="663">
        <f t="shared" ref="S7:S15" si="0">F7</f>
        <v>0</v>
      </c>
      <c r="T7" s="662" t="s">
        <v>20</v>
      </c>
      <c r="U7" s="663">
        <f t="shared" ref="U7:U15" si="1">H7</f>
        <v>0</v>
      </c>
      <c r="V7" s="662" t="s">
        <v>20</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38" t="s">
        <v>1683</v>
      </c>
      <c r="Q8" s="3437"/>
      <c r="R8" s="662" t="s">
        <v>20</v>
      </c>
      <c r="S8" s="663">
        <f t="shared" si="0"/>
        <v>100</v>
      </c>
      <c r="T8" s="662" t="s">
        <v>20</v>
      </c>
      <c r="U8" s="663">
        <f t="shared" si="1"/>
        <v>100</v>
      </c>
      <c r="V8" s="662" t="s">
        <v>20</v>
      </c>
      <c r="W8" s="663">
        <f t="shared" si="2"/>
        <v>100</v>
      </c>
      <c r="X8" s="664"/>
      <c r="Y8" s="3438" t="s">
        <v>1683</v>
      </c>
      <c r="Z8" s="343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7"/>
      <c r="Q11" s="530" t="str">
        <f t="shared" si="6"/>
        <v>容积率</v>
      </c>
      <c r="R11" s="662" t="s">
        <v>18</v>
      </c>
      <c r="S11" s="663" t="e">
        <f t="shared" si="0"/>
        <v>#N/A</v>
      </c>
      <c r="T11" s="662" t="s">
        <v>18</v>
      </c>
      <c r="U11" s="663" t="e">
        <f t="shared" si="1"/>
        <v>#N/A</v>
      </c>
      <c r="V11" s="662" t="s">
        <v>18</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97"/>
      <c r="Q12" s="530">
        <f t="shared" si="6"/>
        <v>111</v>
      </c>
      <c r="R12" s="662" t="s">
        <v>18</v>
      </c>
      <c r="S12" s="663">
        <f t="shared" si="0"/>
        <v>100</v>
      </c>
      <c r="T12" s="662" t="s">
        <v>18</v>
      </c>
      <c r="U12" s="663">
        <f t="shared" si="1"/>
        <v>100</v>
      </c>
      <c r="V12" s="662" t="s">
        <v>18</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97"/>
      <c r="Q13" s="530">
        <f t="shared" si="6"/>
        <v>111</v>
      </c>
      <c r="R13" s="662" t="s">
        <v>18</v>
      </c>
      <c r="S13" s="663">
        <f t="shared" si="0"/>
        <v>100</v>
      </c>
      <c r="T13" s="662" t="s">
        <v>18</v>
      </c>
      <c r="U13" s="663">
        <f t="shared" si="1"/>
        <v>100</v>
      </c>
      <c r="V13" s="662" t="s">
        <v>18</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97"/>
      <c r="Q14" s="530">
        <f t="shared" si="6"/>
        <v>111</v>
      </c>
      <c r="R14" s="662" t="s">
        <v>18</v>
      </c>
      <c r="S14" s="663">
        <f t="shared" si="0"/>
        <v>100</v>
      </c>
      <c r="T14" s="662" t="s">
        <v>18</v>
      </c>
      <c r="U14" s="663">
        <f t="shared" si="1"/>
        <v>100</v>
      </c>
      <c r="V14" s="662" t="s">
        <v>18</v>
      </c>
      <c r="W14" s="663">
        <f t="shared" si="2"/>
        <v>100</v>
      </c>
      <c r="X14" s="664"/>
      <c r="Y14" s="327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3" t="s">
        <v>1691</v>
      </c>
      <c r="Q15" s="1262" t="str">
        <f t="shared" si="6"/>
        <v>居住社区成熟度</v>
      </c>
      <c r="R15" s="665" t="s">
        <v>18</v>
      </c>
      <c r="S15" s="666">
        <f t="shared" si="0"/>
        <v>100</v>
      </c>
      <c r="T15" s="665" t="s">
        <v>18</v>
      </c>
      <c r="U15" s="666">
        <f t="shared" si="1"/>
        <v>100</v>
      </c>
      <c r="V15" s="665" t="s">
        <v>18</v>
      </c>
      <c r="W15" s="666">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4"/>
      <c r="Q16" s="1262"/>
      <c r="R16" s="665"/>
      <c r="S16" s="666"/>
      <c r="T16" s="665"/>
      <c r="U16" s="666"/>
      <c r="V16" s="665"/>
      <c r="W16" s="666"/>
      <c r="X16" s="1264"/>
      <c r="Y16" s="3406"/>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4"/>
      <c r="Q17" s="1262" t="str">
        <f>B17</f>
        <v>交通便捷度</v>
      </c>
      <c r="R17" s="665" t="s">
        <v>18</v>
      </c>
      <c r="S17" s="666">
        <f>F17</f>
        <v>100</v>
      </c>
      <c r="T17" s="665" t="s">
        <v>18</v>
      </c>
      <c r="U17" s="666">
        <f>H17</f>
        <v>100</v>
      </c>
      <c r="V17" s="665" t="s">
        <v>18</v>
      </c>
      <c r="W17" s="666">
        <f>J17</f>
        <v>100</v>
      </c>
      <c r="X17" s="1264"/>
      <c r="Y17" s="340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4"/>
      <c r="Q18" s="1262"/>
      <c r="R18" s="665"/>
      <c r="S18" s="666"/>
      <c r="T18" s="665"/>
      <c r="U18" s="666"/>
      <c r="V18" s="665"/>
      <c r="W18" s="666"/>
      <c r="X18" s="1264"/>
      <c r="Y18" s="3406"/>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4"/>
      <c r="Q19" s="1262" t="str">
        <f>B19</f>
        <v>公共配套设施</v>
      </c>
      <c r="R19" s="665" t="s">
        <v>18</v>
      </c>
      <c r="S19" s="666">
        <f>F19</f>
        <v>100</v>
      </c>
      <c r="T19" s="665" t="s">
        <v>18</v>
      </c>
      <c r="U19" s="666">
        <f>H19</f>
        <v>100</v>
      </c>
      <c r="V19" s="665" t="s">
        <v>18</v>
      </c>
      <c r="W19" s="666">
        <f>J19</f>
        <v>100</v>
      </c>
      <c r="X19" s="1264"/>
      <c r="Y19" s="340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4"/>
      <c r="Q20" s="1262"/>
      <c r="R20" s="665"/>
      <c r="S20" s="666"/>
      <c r="T20" s="665"/>
      <c r="U20" s="666"/>
      <c r="V20" s="665"/>
      <c r="W20" s="666"/>
      <c r="X20" s="1264"/>
      <c r="Y20" s="3406"/>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404"/>
      <c r="Q22" s="1262"/>
      <c r="R22" s="665"/>
      <c r="S22" s="666"/>
      <c r="T22" s="665"/>
      <c r="U22" s="666"/>
      <c r="V22" s="665"/>
      <c r="W22" s="666"/>
      <c r="X22" s="1264"/>
      <c r="Y22" s="340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4"/>
      <c r="Q23" s="1262" t="str">
        <f>B23</f>
        <v>自然及人文环境</v>
      </c>
      <c r="R23" s="665" t="s">
        <v>18</v>
      </c>
      <c r="S23" s="666">
        <f>F23</f>
        <v>100</v>
      </c>
      <c r="T23" s="665" t="s">
        <v>18</v>
      </c>
      <c r="U23" s="666">
        <f>H23</f>
        <v>100</v>
      </c>
      <c r="V23" s="665" t="s">
        <v>18</v>
      </c>
      <c r="W23" s="666">
        <f>J23</f>
        <v>100</v>
      </c>
      <c r="X23" s="1264"/>
      <c r="Y23" s="340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4"/>
      <c r="Q24" s="1262"/>
      <c r="R24" s="665"/>
      <c r="S24" s="666"/>
      <c r="T24" s="665"/>
      <c r="U24" s="666"/>
      <c r="V24" s="665"/>
      <c r="W24" s="666"/>
      <c r="X24" s="1264"/>
      <c r="Y24" s="340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4"/>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4"/>
      <c r="Q26" s="1262" t="str">
        <f t="shared" si="11"/>
        <v>朝向</v>
      </c>
      <c r="R26" s="665" t="s">
        <v>18</v>
      </c>
      <c r="S26" s="666">
        <f t="shared" si="12"/>
        <v>100</v>
      </c>
      <c r="T26" s="665" t="s">
        <v>18</v>
      </c>
      <c r="U26" s="666">
        <f t="shared" si="13"/>
        <v>100</v>
      </c>
      <c r="V26" s="665" t="s">
        <v>18</v>
      </c>
      <c r="W26" s="666">
        <f t="shared" si="14"/>
        <v>100</v>
      </c>
      <c r="X26" s="1264"/>
      <c r="Y26" s="34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4"/>
      <c r="Q27" s="530">
        <f t="shared" si="11"/>
        <v>111</v>
      </c>
      <c r="R27" s="662" t="s">
        <v>18</v>
      </c>
      <c r="S27" s="663">
        <f t="shared" si="12"/>
        <v>100</v>
      </c>
      <c r="T27" s="662" t="s">
        <v>18</v>
      </c>
      <c r="U27" s="663">
        <f t="shared" si="13"/>
        <v>100</v>
      </c>
      <c r="V27" s="662" t="s">
        <v>18</v>
      </c>
      <c r="W27" s="663">
        <f t="shared" si="14"/>
        <v>100</v>
      </c>
      <c r="X27" s="664"/>
      <c r="Y27" s="34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4"/>
      <c r="Q28" s="1262">
        <f t="shared" si="11"/>
        <v>111</v>
      </c>
      <c r="R28" s="665" t="s">
        <v>18</v>
      </c>
      <c r="S28" s="666">
        <f t="shared" si="12"/>
        <v>100</v>
      </c>
      <c r="T28" s="665" t="s">
        <v>18</v>
      </c>
      <c r="U28" s="666">
        <f t="shared" si="13"/>
        <v>100</v>
      </c>
      <c r="V28" s="665" t="s">
        <v>18</v>
      </c>
      <c r="W28" s="666">
        <f t="shared" si="14"/>
        <v>100</v>
      </c>
      <c r="X28" s="1264"/>
      <c r="Y28" s="34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4"/>
      <c r="Q29" s="1262">
        <f t="shared" si="11"/>
        <v>111</v>
      </c>
      <c r="R29" s="665" t="s">
        <v>18</v>
      </c>
      <c r="S29" s="666">
        <f t="shared" si="12"/>
        <v>100</v>
      </c>
      <c r="T29" s="665" t="s">
        <v>18</v>
      </c>
      <c r="U29" s="666">
        <f t="shared" si="13"/>
        <v>100</v>
      </c>
      <c r="V29" s="665" t="s">
        <v>18</v>
      </c>
      <c r="W29" s="666">
        <f t="shared" si="14"/>
        <v>100</v>
      </c>
      <c r="X29" s="1264"/>
      <c r="Y29" s="34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4"/>
      <c r="Q30" s="1262">
        <f t="shared" si="11"/>
        <v>111</v>
      </c>
      <c r="R30" s="665" t="s">
        <v>18</v>
      </c>
      <c r="S30" s="666">
        <f t="shared" si="12"/>
        <v>100</v>
      </c>
      <c r="T30" s="665" t="s">
        <v>18</v>
      </c>
      <c r="U30" s="666">
        <f t="shared" si="13"/>
        <v>100</v>
      </c>
      <c r="V30" s="665" t="s">
        <v>18</v>
      </c>
      <c r="W30" s="666">
        <f t="shared" si="14"/>
        <v>100</v>
      </c>
      <c r="X30" s="1264"/>
      <c r="Y30" s="340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4"/>
      <c r="Q31" s="1262">
        <f t="shared" si="11"/>
        <v>111</v>
      </c>
      <c r="R31" s="665" t="s">
        <v>18</v>
      </c>
      <c r="S31" s="666">
        <f t="shared" si="12"/>
        <v>100</v>
      </c>
      <c r="T31" s="665" t="s">
        <v>18</v>
      </c>
      <c r="U31" s="666">
        <f t="shared" si="13"/>
        <v>100</v>
      </c>
      <c r="V31" s="665" t="s">
        <v>18</v>
      </c>
      <c r="W31" s="666">
        <f t="shared" si="14"/>
        <v>100</v>
      </c>
      <c r="X31" s="1264"/>
      <c r="Y31" s="340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07" t="s">
        <v>1696</v>
      </c>
      <c r="Q32" s="1262" t="str">
        <f t="shared" si="11"/>
        <v>建筑类型</v>
      </c>
      <c r="R32" s="665" t="s">
        <v>18</v>
      </c>
      <c r="S32" s="666">
        <f t="shared" si="12"/>
        <v>100</v>
      </c>
      <c r="T32" s="665" t="s">
        <v>18</v>
      </c>
      <c r="U32" s="666">
        <f t="shared" si="13"/>
        <v>100</v>
      </c>
      <c r="V32" s="665" t="s">
        <v>18</v>
      </c>
      <c r="W32" s="666">
        <f t="shared" si="14"/>
        <v>100</v>
      </c>
      <c r="X32" s="1264"/>
      <c r="Y32" s="34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08"/>
      <c r="Q33" s="531" t="str">
        <f t="shared" si="11"/>
        <v>项目建筑规模</v>
      </c>
      <c r="R33" s="667" t="s">
        <v>18</v>
      </c>
      <c r="S33" s="668" t="e">
        <f t="shared" si="12"/>
        <v>#N/A</v>
      </c>
      <c r="T33" s="667" t="s">
        <v>18</v>
      </c>
      <c r="U33" s="668" t="e">
        <f t="shared" si="13"/>
        <v>#N/A</v>
      </c>
      <c r="V33" s="667" t="s">
        <v>18</v>
      </c>
      <c r="W33" s="668" t="e">
        <f t="shared" si="14"/>
        <v>#N/A</v>
      </c>
      <c r="X33" s="669"/>
      <c r="Y33" s="3410"/>
      <c r="Z33" s="670"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8"/>
      <c r="Q34" s="1262" t="str">
        <f t="shared" si="11"/>
        <v>建筑结构</v>
      </c>
      <c r="R34" s="665" t="s">
        <v>18</v>
      </c>
      <c r="S34" s="666">
        <f t="shared" si="12"/>
        <v>100</v>
      </c>
      <c r="T34" s="665" t="s">
        <v>18</v>
      </c>
      <c r="U34" s="666">
        <f t="shared" si="13"/>
        <v>100</v>
      </c>
      <c r="V34" s="665" t="s">
        <v>18</v>
      </c>
      <c r="W34" s="666">
        <f t="shared" si="14"/>
        <v>100</v>
      </c>
      <c r="X34" s="1264"/>
      <c r="Y34" s="341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8"/>
      <c r="Q35" s="1262" t="str">
        <f t="shared" si="11"/>
        <v>建筑品质</v>
      </c>
      <c r="R35" s="665" t="s">
        <v>18</v>
      </c>
      <c r="S35" s="666">
        <f t="shared" si="12"/>
        <v>100</v>
      </c>
      <c r="T35" s="665" t="s">
        <v>18</v>
      </c>
      <c r="U35" s="666">
        <f t="shared" si="13"/>
        <v>100</v>
      </c>
      <c r="V35" s="665" t="s">
        <v>18</v>
      </c>
      <c r="W35" s="666">
        <f t="shared" si="14"/>
        <v>100</v>
      </c>
      <c r="X35" s="1264"/>
      <c r="Y35" s="341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8"/>
      <c r="Q36" s="1262" t="str">
        <f t="shared" si="11"/>
        <v>公共部分装修</v>
      </c>
      <c r="R36" s="665" t="s">
        <v>18</v>
      </c>
      <c r="S36" s="666">
        <f t="shared" si="12"/>
        <v>100</v>
      </c>
      <c r="T36" s="665" t="s">
        <v>18</v>
      </c>
      <c r="U36" s="666">
        <f t="shared" si="13"/>
        <v>100</v>
      </c>
      <c r="V36" s="665" t="s">
        <v>18</v>
      </c>
      <c r="W36" s="666">
        <f t="shared" si="14"/>
        <v>100</v>
      </c>
      <c r="X36" s="1264"/>
      <c r="Y36" s="34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8"/>
      <c r="Q37" s="530" t="str">
        <f t="shared" si="11"/>
        <v>成新度</v>
      </c>
      <c r="R37" s="662" t="s">
        <v>18</v>
      </c>
      <c r="S37" s="663" t="e">
        <f t="shared" si="12"/>
        <v>#N/A</v>
      </c>
      <c r="T37" s="662" t="s">
        <v>18</v>
      </c>
      <c r="U37" s="663" t="e">
        <f t="shared" si="13"/>
        <v>#N/A</v>
      </c>
      <c r="V37" s="662" t="s">
        <v>18</v>
      </c>
      <c r="W37" s="663" t="e">
        <f t="shared" si="14"/>
        <v>#N/A</v>
      </c>
      <c r="X37" s="664"/>
      <c r="Y37" s="341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8" t="s">
        <v>1696</v>
      </c>
      <c r="Q38" s="1262" t="str">
        <f t="shared" si="11"/>
        <v>物业管理</v>
      </c>
      <c r="R38" s="665" t="s">
        <v>18</v>
      </c>
      <c r="S38" s="666">
        <f t="shared" si="12"/>
        <v>100</v>
      </c>
      <c r="T38" s="665" t="s">
        <v>18</v>
      </c>
      <c r="U38" s="666">
        <f t="shared" si="13"/>
        <v>100</v>
      </c>
      <c r="V38" s="665" t="s">
        <v>18</v>
      </c>
      <c r="W38" s="666">
        <f t="shared" si="14"/>
        <v>100</v>
      </c>
      <c r="X38" s="1264"/>
      <c r="Y38" s="341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8"/>
      <c r="Q39" s="1262" t="str">
        <f t="shared" si="11"/>
        <v>市政基础设施</v>
      </c>
      <c r="R39" s="665" t="s">
        <v>18</v>
      </c>
      <c r="S39" s="666">
        <f t="shared" si="12"/>
        <v>100</v>
      </c>
      <c r="T39" s="665" t="s">
        <v>18</v>
      </c>
      <c r="U39" s="666">
        <f t="shared" si="13"/>
        <v>100</v>
      </c>
      <c r="V39" s="665" t="s">
        <v>18</v>
      </c>
      <c r="W39" s="666">
        <f t="shared" si="14"/>
        <v>100</v>
      </c>
      <c r="X39" s="1264"/>
      <c r="Y39" s="341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8"/>
      <c r="Q40" s="1262" t="str">
        <f t="shared" si="11"/>
        <v>房型</v>
      </c>
      <c r="R40" s="665" t="s">
        <v>18</v>
      </c>
      <c r="S40" s="666">
        <f t="shared" si="12"/>
        <v>100</v>
      </c>
      <c r="T40" s="665" t="s">
        <v>18</v>
      </c>
      <c r="U40" s="666">
        <f t="shared" si="13"/>
        <v>100</v>
      </c>
      <c r="V40" s="665" t="s">
        <v>18</v>
      </c>
      <c r="W40" s="666">
        <f t="shared" si="14"/>
        <v>100</v>
      </c>
      <c r="X40" s="1264"/>
      <c r="Y40" s="341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8"/>
      <c r="Q41" s="531" t="str">
        <f t="shared" si="11"/>
        <v>单套/主力户型建筑面积</v>
      </c>
      <c r="R41" s="667" t="s">
        <v>18</v>
      </c>
      <c r="S41" s="668">
        <f t="shared" si="12"/>
        <v>100</v>
      </c>
      <c r="T41" s="667" t="s">
        <v>18</v>
      </c>
      <c r="U41" s="668">
        <f t="shared" si="13"/>
        <v>100</v>
      </c>
      <c r="V41" s="667" t="s">
        <v>18</v>
      </c>
      <c r="W41" s="668">
        <f t="shared" si="14"/>
        <v>100</v>
      </c>
      <c r="X41" s="669"/>
      <c r="Y41" s="3410"/>
      <c r="Z41" s="670"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8"/>
      <c r="Q42" s="1262" t="str">
        <f t="shared" si="11"/>
        <v>内部装修</v>
      </c>
      <c r="R42" s="665" t="s">
        <v>18</v>
      </c>
      <c r="S42" s="666">
        <f t="shared" si="12"/>
        <v>100</v>
      </c>
      <c r="T42" s="665" t="s">
        <v>18</v>
      </c>
      <c r="U42" s="666">
        <f t="shared" si="13"/>
        <v>100</v>
      </c>
      <c r="V42" s="665" t="s">
        <v>18</v>
      </c>
      <c r="W42" s="666">
        <f t="shared" si="14"/>
        <v>100</v>
      </c>
      <c r="X42" s="1264"/>
      <c r="Y42" s="3410"/>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8"/>
      <c r="Q43" s="1262" t="str">
        <f t="shared" si="11"/>
        <v>内部装修维护情况</v>
      </c>
      <c r="R43" s="665" t="s">
        <v>18</v>
      </c>
      <c r="S43" s="666">
        <f t="shared" si="12"/>
        <v>100</v>
      </c>
      <c r="T43" s="665" t="s">
        <v>18</v>
      </c>
      <c r="U43" s="666">
        <f t="shared" si="13"/>
        <v>100</v>
      </c>
      <c r="V43" s="665" t="s">
        <v>18</v>
      </c>
      <c r="W43" s="666">
        <f t="shared" si="14"/>
        <v>100</v>
      </c>
      <c r="X43" s="1264"/>
      <c r="Y43" s="34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8"/>
      <c r="Q44" s="530">
        <f t="shared" si="11"/>
        <v>111</v>
      </c>
      <c r="R44" s="662" t="s">
        <v>18</v>
      </c>
      <c r="S44" s="663">
        <f t="shared" si="12"/>
        <v>100</v>
      </c>
      <c r="T44" s="662" t="s">
        <v>18</v>
      </c>
      <c r="U44" s="663">
        <f t="shared" si="13"/>
        <v>100</v>
      </c>
      <c r="V44" s="662" t="s">
        <v>18</v>
      </c>
      <c r="W44" s="663">
        <f t="shared" si="14"/>
        <v>100</v>
      </c>
      <c r="X44" s="664"/>
      <c r="Y44" s="34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8"/>
      <c r="Q45" s="1262">
        <f t="shared" si="11"/>
        <v>111</v>
      </c>
      <c r="R45" s="665" t="s">
        <v>18</v>
      </c>
      <c r="S45" s="666">
        <f t="shared" si="12"/>
        <v>100</v>
      </c>
      <c r="T45" s="665" t="s">
        <v>18</v>
      </c>
      <c r="U45" s="666">
        <f t="shared" si="13"/>
        <v>100</v>
      </c>
      <c r="V45" s="665" t="s">
        <v>18</v>
      </c>
      <c r="W45" s="666">
        <f t="shared" si="14"/>
        <v>100</v>
      </c>
      <c r="X45" s="1264"/>
      <c r="Y45" s="341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9"/>
      <c r="Q46" s="1262">
        <f t="shared" si="11"/>
        <v>111</v>
      </c>
      <c r="R46" s="665" t="s">
        <v>17</v>
      </c>
      <c r="S46" s="666">
        <f t="shared" si="12"/>
        <v>100</v>
      </c>
      <c r="T46" s="665" t="s">
        <v>17</v>
      </c>
      <c r="U46" s="666">
        <f t="shared" si="13"/>
        <v>100</v>
      </c>
      <c r="V46" s="665" t="s">
        <v>17</v>
      </c>
      <c r="W46" s="666">
        <f t="shared" si="14"/>
        <v>100</v>
      </c>
      <c r="X46" s="1264"/>
      <c r="Y46" s="341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398" t="str">
        <f>A47</f>
        <v>成交单价（元/平方米）</v>
      </c>
      <c r="Q47" s="3398"/>
      <c r="R47" s="3399">
        <f>E47</f>
        <v>0</v>
      </c>
      <c r="S47" s="3399"/>
      <c r="T47" s="3399">
        <f>G47</f>
        <v>0</v>
      </c>
      <c r="U47" s="3399"/>
      <c r="V47" s="3399">
        <f>I47</f>
        <v>0</v>
      </c>
      <c r="W47" s="3399"/>
      <c r="X47" s="385"/>
      <c r="Y47" s="671"/>
      <c r="Z47" s="385"/>
      <c r="AA47" s="385"/>
      <c r="AB47" s="385"/>
      <c r="AC47" s="385"/>
    </row>
    <row r="48" spans="1:29" ht="15.75" thickBot="1">
      <c r="A48" s="423" t="s">
        <v>1709</v>
      </c>
      <c r="B48" s="424"/>
      <c r="C48" s="1081" t="e">
        <f>R49</f>
        <v>#DIV/0!</v>
      </c>
      <c r="D48" s="2140" t="s">
        <v>2135</v>
      </c>
      <c r="E48" s="1082" t="e">
        <f>R48</f>
        <v>#DIV/0!</v>
      </c>
      <c r="F48" s="2141"/>
      <c r="G48" s="1081" t="e">
        <f>T48</f>
        <v>#DIV/0!</v>
      </c>
      <c r="H48" s="2141"/>
      <c r="I48" s="1082" t="e">
        <f>V48</f>
        <v>#DIV/0!</v>
      </c>
      <c r="J48" s="2141"/>
      <c r="K48" s="2142">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6" t="s">
        <v>1714</v>
      </c>
      <c r="B57" s="385"/>
      <c r="C57" s="657"/>
      <c r="D57" s="657"/>
      <c r="E57" s="657"/>
      <c r="F57" s="658"/>
      <c r="G57" s="658"/>
      <c r="H57" s="657"/>
      <c r="I57" s="657"/>
      <c r="J57" s="657"/>
      <c r="K57" s="885"/>
      <c r="L57" s="886"/>
      <c r="M57" s="884"/>
      <c r="N57" s="884"/>
      <c r="O57" s="884"/>
      <c r="P57" s="1770"/>
      <c r="Q57" s="439"/>
    </row>
    <row r="58" spans="1:29" s="442" customFormat="1" ht="15">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6"/>
      <c r="O61" s="876"/>
      <c r="P61" s="1773"/>
      <c r="Q61" s="439"/>
    </row>
    <row r="62" spans="1:29" s="102" customFormat="1" ht="15.75" thickBot="1">
      <c r="A62" s="455"/>
      <c r="B62" s="444"/>
      <c r="C62" s="445">
        <v>100</v>
      </c>
      <c r="D62" s="446"/>
      <c r="E62" s="446"/>
      <c r="F62" s="446"/>
      <c r="G62" s="446"/>
      <c r="H62" s="446"/>
      <c r="I62" s="446"/>
      <c r="J62" s="446"/>
      <c r="K62" s="446"/>
      <c r="L62" s="446"/>
      <c r="M62" s="448"/>
      <c r="N62" s="876"/>
      <c r="O62" s="876"/>
      <c r="P62" s="1772"/>
      <c r="Q62" s="439"/>
    </row>
    <row r="63" spans="1:29">
      <c r="A63" s="379" t="s">
        <v>1719</v>
      </c>
      <c r="B63" s="460" t="s">
        <v>1685</v>
      </c>
      <c r="C63" s="461">
        <f>C9</f>
        <v>0</v>
      </c>
      <c r="D63" s="462"/>
      <c r="E63" s="462"/>
      <c r="F63" s="462"/>
      <c r="G63" s="462"/>
      <c r="H63" s="462"/>
      <c r="I63" s="462"/>
      <c r="J63" s="462"/>
      <c r="K63" s="463"/>
      <c r="L63" s="464"/>
      <c r="M63" s="465"/>
      <c r="N63" s="877"/>
      <c r="O63" s="877"/>
      <c r="P63" s="1774"/>
      <c r="Q63" s="439"/>
    </row>
    <row r="64" spans="1:29" ht="15.75" thickBot="1">
      <c r="A64" s="367"/>
      <c r="B64" s="466"/>
      <c r="C64" s="467">
        <v>100</v>
      </c>
      <c r="D64" s="467"/>
      <c r="E64" s="467"/>
      <c r="F64" s="467"/>
      <c r="G64" s="467"/>
      <c r="H64" s="467"/>
      <c r="I64" s="467"/>
      <c r="J64" s="467"/>
      <c r="K64" s="467"/>
      <c r="L64" s="467"/>
      <c r="M64" s="468"/>
      <c r="N64" s="878"/>
      <c r="O64" s="878"/>
      <c r="P64" s="1774"/>
      <c r="Q64" s="439"/>
    </row>
    <row r="65" spans="1:17" ht="27.75" thickTop="1">
      <c r="A65" s="367"/>
      <c r="B65" s="469" t="s">
        <v>1688</v>
      </c>
      <c r="C65" s="513"/>
      <c r="D65" s="513"/>
      <c r="E65" s="513"/>
      <c r="F65" s="513"/>
      <c r="G65" s="513"/>
      <c r="H65" s="513"/>
      <c r="I65" s="513"/>
      <c r="J65" s="513"/>
      <c r="K65" s="513"/>
      <c r="L65" s="513"/>
      <c r="M65" s="513"/>
      <c r="N65" s="878"/>
      <c r="O65" s="878"/>
      <c r="P65" s="1774"/>
      <c r="Q65" s="439"/>
    </row>
    <row r="66" spans="1:17" ht="15.75" thickBot="1">
      <c r="A66" s="367"/>
      <c r="B66" s="474"/>
      <c r="C66" s="467"/>
      <c r="D66" s="467"/>
      <c r="E66" s="467"/>
      <c r="F66" s="467"/>
      <c r="G66" s="467"/>
      <c r="H66" s="467"/>
      <c r="I66" s="467"/>
      <c r="J66" s="467"/>
      <c r="K66" s="467"/>
      <c r="L66" s="467"/>
      <c r="M66" s="468"/>
      <c r="N66" s="878"/>
      <c r="O66" s="878"/>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4"/>
      <c r="Q67" s="439"/>
    </row>
    <row r="68" spans="1:17" ht="15">
      <c r="A68" s="367"/>
      <c r="B68" s="479"/>
      <c r="C68" s="480"/>
      <c r="D68" s="480"/>
      <c r="E68" s="480"/>
      <c r="F68" s="480"/>
      <c r="G68" s="480"/>
      <c r="H68" s="480"/>
      <c r="I68" s="480"/>
      <c r="J68" s="480"/>
      <c r="K68" s="481"/>
      <c r="L68" s="482"/>
      <c r="M68" s="483"/>
      <c r="N68" s="877"/>
      <c r="O68" s="877"/>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4"/>
      <c r="Q69" s="439"/>
    </row>
    <row r="70" spans="1:17" s="408" customFormat="1" ht="15.75" thickTop="1">
      <c r="A70" s="484"/>
      <c r="B70" s="469">
        <f>B12</f>
        <v>111</v>
      </c>
      <c r="C70" s="485"/>
      <c r="D70" s="485"/>
      <c r="E70" s="485"/>
      <c r="F70" s="485"/>
      <c r="G70" s="485"/>
      <c r="H70" s="486"/>
      <c r="I70" s="486"/>
      <c r="J70" s="486"/>
      <c r="K70" s="486"/>
      <c r="L70" s="487"/>
      <c r="M70" s="488"/>
      <c r="N70" s="879"/>
      <c r="O70" s="879"/>
      <c r="P70" s="1775"/>
      <c r="Q70" s="490"/>
    </row>
    <row r="71" spans="1:17" s="408" customFormat="1" ht="15.75" thickBot="1">
      <c r="A71" s="484"/>
      <c r="B71" s="474"/>
      <c r="C71" s="491"/>
      <c r="D71" s="467"/>
      <c r="E71" s="467"/>
      <c r="F71" s="467"/>
      <c r="G71" s="467"/>
      <c r="H71" s="467"/>
      <c r="I71" s="467"/>
      <c r="J71" s="467"/>
      <c r="K71" s="467"/>
      <c r="L71" s="467"/>
      <c r="M71" s="468"/>
      <c r="N71" s="878"/>
      <c r="O71" s="878"/>
      <c r="P71" s="1775"/>
      <c r="Q71" s="490"/>
    </row>
    <row r="72" spans="1:17" s="408" customFormat="1" ht="15.75" thickTop="1">
      <c r="A72" s="484"/>
      <c r="B72" s="469">
        <f>B13</f>
        <v>111</v>
      </c>
      <c r="C72" s="485"/>
      <c r="D72" s="485"/>
      <c r="E72" s="485"/>
      <c r="F72" s="485"/>
      <c r="G72" s="485"/>
      <c r="H72" s="486"/>
      <c r="I72" s="486"/>
      <c r="J72" s="486"/>
      <c r="K72" s="486"/>
      <c r="L72" s="487"/>
      <c r="M72" s="488"/>
      <c r="N72" s="879"/>
      <c r="O72" s="879"/>
      <c r="P72" s="1776"/>
      <c r="Q72" s="492"/>
    </row>
    <row r="73" spans="1:17" s="408" customFormat="1" ht="15.75" thickBot="1">
      <c r="A73" s="484"/>
      <c r="B73" s="474"/>
      <c r="C73" s="491"/>
      <c r="D73" s="491"/>
      <c r="E73" s="491"/>
      <c r="F73" s="491"/>
      <c r="G73" s="491"/>
      <c r="H73" s="493"/>
      <c r="I73" s="493"/>
      <c r="J73" s="493"/>
      <c r="K73" s="493"/>
      <c r="L73" s="493"/>
      <c r="M73" s="494"/>
      <c r="N73" s="879"/>
      <c r="O73" s="879"/>
      <c r="P73" s="1775"/>
      <c r="Q73" s="490"/>
    </row>
    <row r="74" spans="1:17" s="408" customFormat="1" ht="15.75" thickTop="1">
      <c r="A74" s="484"/>
      <c r="B74" s="477">
        <f>B14</f>
        <v>111</v>
      </c>
      <c r="C74" s="485"/>
      <c r="D74" s="485"/>
      <c r="E74" s="485"/>
      <c r="F74" s="485"/>
      <c r="G74" s="31"/>
      <c r="H74" s="495"/>
      <c r="I74" s="495"/>
      <c r="J74" s="495"/>
      <c r="K74" s="495"/>
      <c r="L74" s="496"/>
      <c r="M74" s="497"/>
      <c r="N74" s="879"/>
      <c r="O74" s="879"/>
      <c r="P74" s="1777"/>
      <c r="Q74" s="490"/>
    </row>
    <row r="75" spans="1:17" s="408" customFormat="1" ht="15.75" thickBot="1">
      <c r="A75" s="499"/>
      <c r="B75" s="500"/>
      <c r="C75" s="501"/>
      <c r="D75" s="501"/>
      <c r="E75" s="501"/>
      <c r="F75" s="501"/>
      <c r="G75" s="501"/>
      <c r="H75" s="502"/>
      <c r="I75" s="502"/>
      <c r="J75" s="502"/>
      <c r="K75" s="502"/>
      <c r="L75" s="502"/>
      <c r="M75" s="503"/>
      <c r="N75" s="879"/>
      <c r="O75" s="879"/>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8"/>
      <c r="O82" s="878"/>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8"/>
      <c r="O83" s="878"/>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4"/>
      <c r="Q85" s="439"/>
    </row>
    <row r="86" spans="1:17" s="102" customFormat="1" ht="15.75" thickTop="1">
      <c r="A86" s="370"/>
      <c r="B86" s="469" t="s">
        <v>1734</v>
      </c>
      <c r="C86" s="485"/>
      <c r="D86" s="485"/>
      <c r="E86" s="485"/>
      <c r="F86" s="485"/>
      <c r="G86" s="485"/>
      <c r="H86" s="485"/>
      <c r="I86" s="485"/>
      <c r="J86" s="485"/>
      <c r="K86" s="485"/>
      <c r="L86" s="510"/>
      <c r="M86" s="511"/>
      <c r="N86" s="876"/>
      <c r="O86" s="876"/>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4"/>
      <c r="Q87" s="439"/>
    </row>
    <row r="88" spans="1:17" s="102" customFormat="1" ht="15.75" thickTop="1">
      <c r="A88" s="370"/>
      <c r="B88" s="469" t="s">
        <v>1735</v>
      </c>
      <c r="C88" s="485"/>
      <c r="D88" s="485"/>
      <c r="E88" s="485"/>
      <c r="F88" s="1779"/>
      <c r="G88" s="485"/>
      <c r="H88" s="485"/>
      <c r="I88" s="485"/>
      <c r="J88" s="485"/>
      <c r="K88" s="485"/>
      <c r="L88" s="485"/>
      <c r="M88" s="511"/>
      <c r="N88" s="876"/>
      <c r="O88" s="876"/>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4"/>
      <c r="Q89" s="439"/>
    </row>
    <row r="90" spans="1:17" s="408" customFormat="1" ht="15.75" thickTop="1">
      <c r="A90" s="484"/>
      <c r="B90" s="469">
        <f>B27</f>
        <v>111</v>
      </c>
      <c r="C90" s="485"/>
      <c r="D90" s="485"/>
      <c r="E90" s="485"/>
      <c r="F90" s="485"/>
      <c r="G90" s="485"/>
      <c r="H90" s="486"/>
      <c r="I90" s="486"/>
      <c r="J90" s="486"/>
      <c r="K90" s="486"/>
      <c r="L90" s="487"/>
      <c r="M90" s="488"/>
      <c r="N90" s="879"/>
      <c r="O90" s="879"/>
      <c r="P90" s="1775"/>
      <c r="Q90" s="490"/>
    </row>
    <row r="91" spans="1:17" s="408" customFormat="1" ht="15.75" thickBot="1">
      <c r="A91" s="484"/>
      <c r="B91" s="474"/>
      <c r="C91" s="491"/>
      <c r="D91" s="491"/>
      <c r="E91" s="491"/>
      <c r="F91" s="491"/>
      <c r="G91" s="491"/>
      <c r="H91" s="493"/>
      <c r="I91" s="493"/>
      <c r="J91" s="493"/>
      <c r="K91" s="493"/>
      <c r="L91" s="493"/>
      <c r="M91" s="494"/>
      <c r="N91" s="879"/>
      <c r="O91" s="879"/>
      <c r="P91" s="1775"/>
      <c r="Q91" s="490"/>
    </row>
    <row r="92" spans="1:17" ht="15.75" thickTop="1">
      <c r="A92" s="367"/>
      <c r="B92" s="469">
        <f>B28</f>
        <v>111</v>
      </c>
      <c r="C92" s="485"/>
      <c r="D92" s="485"/>
      <c r="E92" s="485"/>
      <c r="F92" s="485"/>
      <c r="G92" s="513"/>
      <c r="H92" s="513"/>
      <c r="I92" s="513"/>
      <c r="J92" s="513"/>
      <c r="K92" s="514"/>
      <c r="L92" s="515"/>
      <c r="M92" s="516"/>
      <c r="N92" s="877"/>
      <c r="O92" s="877"/>
      <c r="P92" s="1774"/>
      <c r="Q92" s="439"/>
    </row>
    <row r="93" spans="1:17" ht="15.75" thickBot="1">
      <c r="A93" s="367"/>
      <c r="B93" s="474"/>
      <c r="C93" s="491"/>
      <c r="D93" s="467"/>
      <c r="E93" s="467"/>
      <c r="F93" s="467"/>
      <c r="G93" s="467"/>
      <c r="H93" s="467"/>
      <c r="I93" s="467"/>
      <c r="J93" s="467"/>
      <c r="K93" s="467"/>
      <c r="L93" s="467"/>
      <c r="M93" s="468"/>
      <c r="N93" s="878"/>
      <c r="O93" s="878"/>
      <c r="P93" s="1774"/>
      <c r="Q93" s="439"/>
    </row>
    <row r="94" spans="1:17" ht="15.75" thickTop="1">
      <c r="A94" s="367"/>
      <c r="B94" s="469">
        <f>B29</f>
        <v>111</v>
      </c>
      <c r="C94" s="485"/>
      <c r="D94" s="485"/>
      <c r="E94" s="485"/>
      <c r="F94" s="485"/>
      <c r="G94" s="513"/>
      <c r="H94" s="513"/>
      <c r="I94" s="513"/>
      <c r="J94" s="513"/>
      <c r="K94" s="514"/>
      <c r="L94" s="515"/>
      <c r="M94" s="516"/>
      <c r="N94" s="877"/>
      <c r="O94" s="877"/>
      <c r="P94" s="1774"/>
      <c r="Q94" s="439"/>
    </row>
    <row r="95" spans="1:17" ht="15.75" thickBot="1">
      <c r="A95" s="367"/>
      <c r="B95" s="474"/>
      <c r="C95" s="491"/>
      <c r="D95" s="491"/>
      <c r="E95" s="491"/>
      <c r="F95" s="491"/>
      <c r="G95" s="467"/>
      <c r="H95" s="467"/>
      <c r="I95" s="467"/>
      <c r="J95" s="467"/>
      <c r="K95" s="467"/>
      <c r="L95" s="467"/>
      <c r="M95" s="468"/>
      <c r="N95" s="878"/>
      <c r="O95" s="878"/>
      <c r="P95" s="1774"/>
      <c r="Q95" s="439"/>
    </row>
    <row r="96" spans="1:17" ht="15.75" thickTop="1">
      <c r="A96" s="367"/>
      <c r="B96" s="469">
        <f>B30</f>
        <v>111</v>
      </c>
      <c r="C96" s="485"/>
      <c r="D96" s="485"/>
      <c r="E96" s="485"/>
      <c r="F96" s="485"/>
      <c r="G96" s="513"/>
      <c r="H96" s="513"/>
      <c r="I96" s="513"/>
      <c r="J96" s="513"/>
      <c r="K96" s="514"/>
      <c r="L96" s="515"/>
      <c r="M96" s="516"/>
      <c r="N96" s="877"/>
      <c r="O96" s="877"/>
      <c r="P96" s="1774"/>
      <c r="Q96" s="439"/>
    </row>
    <row r="97" spans="1:17" ht="15.75" thickBot="1">
      <c r="A97" s="367"/>
      <c r="B97" s="474"/>
      <c r="C97" s="501"/>
      <c r="D97" s="501"/>
      <c r="E97" s="501"/>
      <c r="F97" s="501"/>
      <c r="G97" s="467"/>
      <c r="H97" s="467"/>
      <c r="I97" s="467"/>
      <c r="J97" s="467"/>
      <c r="K97" s="467"/>
      <c r="L97" s="467"/>
      <c r="M97" s="468"/>
      <c r="N97" s="878"/>
      <c r="O97" s="878"/>
      <c r="P97" s="1774"/>
      <c r="Q97" s="439"/>
    </row>
    <row r="98" spans="1:17" ht="15.75" thickTop="1">
      <c r="A98" s="367"/>
      <c r="B98" s="477">
        <f>B31</f>
        <v>111</v>
      </c>
      <c r="C98" s="517"/>
      <c r="D98" s="517"/>
      <c r="E98" s="517"/>
      <c r="F98" s="517"/>
      <c r="G98" s="517"/>
      <c r="H98" s="517"/>
      <c r="I98" s="517"/>
      <c r="J98" s="517"/>
      <c r="K98" s="518"/>
      <c r="L98" s="519"/>
      <c r="M98" s="520"/>
      <c r="N98" s="877"/>
      <c r="O98" s="877"/>
      <c r="P98" s="1774"/>
      <c r="Q98" s="439"/>
    </row>
    <row r="99" spans="1:17" ht="15.75" thickBot="1">
      <c r="A99" s="375"/>
      <c r="B99" s="500"/>
      <c r="C99" s="521"/>
      <c r="D99" s="521"/>
      <c r="E99" s="521"/>
      <c r="F99" s="521"/>
      <c r="G99" s="521"/>
      <c r="H99" s="521"/>
      <c r="I99" s="521"/>
      <c r="J99" s="521"/>
      <c r="K99" s="521"/>
      <c r="L99" s="521"/>
      <c r="M99" s="522"/>
      <c r="N99" s="878"/>
      <c r="O99" s="878"/>
      <c r="P99" s="1774"/>
      <c r="Q99" s="439"/>
    </row>
    <row r="100" spans="1:17">
      <c r="A100" s="379" t="s">
        <v>1694</v>
      </c>
      <c r="B100" s="460" t="s">
        <v>1736</v>
      </c>
      <c r="C100" s="462"/>
      <c r="D100" s="462"/>
      <c r="E100" s="462"/>
      <c r="F100" s="462"/>
      <c r="G100" s="462"/>
      <c r="H100" s="462"/>
      <c r="I100" s="462"/>
      <c r="J100" s="462"/>
      <c r="K100" s="463"/>
      <c r="L100" s="464"/>
      <c r="M100" s="465"/>
      <c r="N100" s="877"/>
      <c r="O100" s="877"/>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4"/>
      <c r="Q102" s="439"/>
    </row>
    <row r="103" spans="1:17" s="408" customFormat="1">
      <c r="A103" s="406"/>
      <c r="B103" s="523"/>
      <c r="C103" s="6"/>
      <c r="D103" s="6"/>
      <c r="E103" s="6"/>
      <c r="F103" s="6"/>
      <c r="G103" s="6"/>
      <c r="H103" s="6"/>
      <c r="I103" s="6"/>
      <c r="J103" s="524"/>
      <c r="K103" s="524"/>
      <c r="L103" s="525"/>
      <c r="M103" s="526"/>
      <c r="N103" s="879"/>
      <c r="O103" s="879"/>
      <c r="P103" s="1775"/>
      <c r="Q103" s="490"/>
    </row>
    <row r="104" spans="1:17" s="408" customFormat="1" ht="15.75" thickBot="1">
      <c r="A104" s="484"/>
      <c r="B104" s="474"/>
      <c r="C104" s="491"/>
      <c r="D104" s="467"/>
      <c r="E104" s="467"/>
      <c r="F104" s="467"/>
      <c r="G104" s="467"/>
      <c r="H104" s="467"/>
      <c r="I104" s="467"/>
      <c r="J104" s="467"/>
      <c r="K104" s="467"/>
      <c r="L104" s="467"/>
      <c r="M104" s="467"/>
      <c r="N104" s="878"/>
      <c r="O104" s="878"/>
      <c r="P104" s="1775"/>
      <c r="Q104" s="490"/>
    </row>
    <row r="105" spans="1:17" ht="15" thickTop="1">
      <c r="A105" s="409"/>
      <c r="B105" s="469" t="s">
        <v>1738</v>
      </c>
      <c r="C105" s="485"/>
      <c r="D105" s="485"/>
      <c r="E105" s="513"/>
      <c r="F105" s="513"/>
      <c r="G105" s="513"/>
      <c r="H105" s="513"/>
      <c r="I105" s="513"/>
      <c r="J105" s="513"/>
      <c r="K105" s="514"/>
      <c r="L105" s="515"/>
      <c r="M105" s="516"/>
      <c r="N105" s="877"/>
      <c r="O105" s="877"/>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4"/>
      <c r="Q106" s="439"/>
    </row>
    <row r="107" spans="1:17" ht="15" thickTop="1">
      <c r="A107" s="409"/>
      <c r="B107" s="469" t="s">
        <v>1739</v>
      </c>
      <c r="C107" s="513"/>
      <c r="D107" s="513"/>
      <c r="E107" s="513"/>
      <c r="F107" s="513"/>
      <c r="G107" s="513"/>
      <c r="H107" s="513"/>
      <c r="I107" s="513"/>
      <c r="J107" s="513"/>
      <c r="K107" s="514"/>
      <c r="L107" s="515"/>
      <c r="M107" s="516"/>
      <c r="N107" s="877"/>
      <c r="O107" s="877"/>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4"/>
      <c r="Q108" s="439"/>
    </row>
    <row r="109" spans="1:17" ht="15" thickTop="1">
      <c r="A109" s="409"/>
      <c r="B109" s="469" t="s">
        <v>1740</v>
      </c>
      <c r="C109" s="485"/>
      <c r="D109" s="485"/>
      <c r="E109" s="485"/>
      <c r="F109" s="513"/>
      <c r="G109" s="513"/>
      <c r="H109" s="513"/>
      <c r="I109" s="513"/>
      <c r="J109" s="513"/>
      <c r="K109" s="514"/>
      <c r="L109" s="515"/>
      <c r="M109" s="516"/>
      <c r="N109" s="877"/>
      <c r="O109" s="877"/>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5"/>
      <c r="Q113" s="490"/>
    </row>
    <row r="114" spans="1:17" ht="15" thickTop="1">
      <c r="A114" s="409"/>
      <c r="B114" s="469" t="s">
        <v>1741</v>
      </c>
      <c r="C114" s="485"/>
      <c r="D114" s="485"/>
      <c r="E114" s="513"/>
      <c r="F114" s="513"/>
      <c r="G114" s="513"/>
      <c r="H114" s="513"/>
      <c r="I114" s="513"/>
      <c r="J114" s="513"/>
      <c r="K114" s="514"/>
      <c r="L114" s="515"/>
      <c r="M114" s="516"/>
      <c r="N114" s="877"/>
      <c r="O114" s="877"/>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4"/>
      <c r="Q115" s="439"/>
    </row>
    <row r="116" spans="1:17" ht="15" thickTop="1">
      <c r="A116" s="409"/>
      <c r="B116" s="469" t="s">
        <v>1742</v>
      </c>
      <c r="C116" s="485"/>
      <c r="D116" s="485"/>
      <c r="E116" s="485"/>
      <c r="F116" s="485"/>
      <c r="G116" s="485"/>
      <c r="H116" s="513"/>
      <c r="I116" s="513"/>
      <c r="J116" s="513"/>
      <c r="K116" s="514"/>
      <c r="L116" s="515"/>
      <c r="M116" s="516"/>
      <c r="N116" s="877"/>
      <c r="O116" s="877"/>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4"/>
      <c r="Q117" s="439"/>
    </row>
    <row r="118" spans="1:17" ht="15" thickTop="1">
      <c r="A118" s="409"/>
      <c r="B118" s="469" t="s">
        <v>1743</v>
      </c>
      <c r="C118" s="513"/>
      <c r="D118" s="513"/>
      <c r="E118" s="513"/>
      <c r="F118" s="513"/>
      <c r="G118" s="513"/>
      <c r="H118" s="513"/>
      <c r="I118" s="513"/>
      <c r="J118" s="513"/>
      <c r="K118" s="514"/>
      <c r="L118" s="515"/>
      <c r="M118" s="516"/>
      <c r="N118" s="877"/>
      <c r="O118" s="877"/>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4"/>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5"/>
      <c r="Q120" s="490"/>
    </row>
    <row r="121" spans="1:17" s="408" customFormat="1" ht="15.75" thickBot="1">
      <c r="A121" s="484"/>
      <c r="B121" s="466"/>
      <c r="C121" s="491"/>
      <c r="D121" s="467"/>
      <c r="E121" s="467"/>
      <c r="F121" s="467"/>
      <c r="G121" s="467"/>
      <c r="H121" s="467"/>
      <c r="I121" s="467"/>
      <c r="J121" s="467"/>
      <c r="K121" s="467"/>
      <c r="L121" s="467"/>
      <c r="M121" s="467"/>
      <c r="N121" s="879"/>
      <c r="O121" s="879"/>
      <c r="P121" s="1775"/>
      <c r="Q121" s="490"/>
    </row>
    <row r="122" spans="1:17" ht="15" thickTop="1">
      <c r="A122" s="409"/>
      <c r="B122" s="469" t="s">
        <v>1744</v>
      </c>
      <c r="C122" s="485"/>
      <c r="D122" s="485"/>
      <c r="E122" s="485"/>
      <c r="F122" s="513"/>
      <c r="G122" s="513"/>
      <c r="H122" s="513"/>
      <c r="I122" s="513"/>
      <c r="J122" s="513"/>
      <c r="K122" s="514"/>
      <c r="L122" s="515"/>
      <c r="M122" s="516"/>
      <c r="N122" s="877"/>
      <c r="O122" s="877"/>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4"/>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5"/>
      <c r="Q126" s="490"/>
    </row>
    <row r="127" spans="1:17" s="408" customFormat="1" ht="15.75" thickBot="1">
      <c r="A127" s="484"/>
      <c r="B127" s="474"/>
      <c r="C127" s="491"/>
      <c r="D127" s="467"/>
      <c r="E127" s="467"/>
      <c r="F127" s="467"/>
      <c r="G127" s="491"/>
      <c r="H127" s="493"/>
      <c r="I127" s="493"/>
      <c r="J127" s="493"/>
      <c r="K127" s="493"/>
      <c r="L127" s="493"/>
      <c r="M127" s="494"/>
      <c r="N127" s="879"/>
      <c r="O127" s="879"/>
      <c r="P127" s="1775"/>
      <c r="Q127" s="490"/>
    </row>
    <row r="128" spans="1:17" ht="15" thickTop="1">
      <c r="A128" s="409"/>
      <c r="B128" s="469">
        <f>B45</f>
        <v>111</v>
      </c>
      <c r="C128" s="485"/>
      <c r="D128" s="485"/>
      <c r="E128" s="485"/>
      <c r="F128" s="485"/>
      <c r="G128" s="513"/>
      <c r="H128" s="513"/>
      <c r="I128" s="513"/>
      <c r="J128" s="513"/>
      <c r="K128" s="514"/>
      <c r="L128" s="515"/>
      <c r="M128" s="516"/>
      <c r="N128" s="877"/>
      <c r="O128" s="877"/>
      <c r="P128" s="1774"/>
      <c r="Q128" s="439"/>
    </row>
    <row r="129" spans="1:17" ht="15.75" thickBot="1">
      <c r="A129" s="367"/>
      <c r="B129" s="474"/>
      <c r="C129" s="491"/>
      <c r="D129" s="491"/>
      <c r="E129" s="491"/>
      <c r="F129" s="491"/>
      <c r="G129" s="467"/>
      <c r="H129" s="467"/>
      <c r="I129" s="467"/>
      <c r="J129" s="467"/>
      <c r="K129" s="467"/>
      <c r="L129" s="467"/>
      <c r="M129" s="468"/>
      <c r="N129" s="878"/>
      <c r="O129" s="878"/>
      <c r="P129" s="1774"/>
      <c r="Q129" s="439"/>
    </row>
    <row r="130" spans="1:17" ht="15" thickTop="1">
      <c r="A130" s="409"/>
      <c r="B130" s="477">
        <f>B46</f>
        <v>111</v>
      </c>
      <c r="C130" s="485"/>
      <c r="D130" s="485"/>
      <c r="E130" s="485"/>
      <c r="F130" s="485"/>
      <c r="G130" s="517"/>
      <c r="H130" s="517"/>
      <c r="I130" s="517"/>
      <c r="J130" s="517"/>
      <c r="K130" s="31"/>
      <c r="L130" s="457"/>
      <c r="M130" s="520"/>
      <c r="N130" s="877"/>
      <c r="O130" s="877"/>
      <c r="P130" s="1774"/>
      <c r="Q130" s="439"/>
    </row>
    <row r="131" spans="1:17" ht="15.75" thickBot="1">
      <c r="A131" s="375"/>
      <c r="B131" s="500"/>
      <c r="C131" s="501"/>
      <c r="D131" s="501"/>
      <c r="E131" s="501"/>
      <c r="F131" s="501"/>
      <c r="G131" s="521"/>
      <c r="H131" s="521"/>
      <c r="I131" s="521"/>
      <c r="J131" s="521"/>
      <c r="K131" s="521"/>
      <c r="L131" s="521"/>
      <c r="M131" s="522"/>
      <c r="N131" s="878"/>
      <c r="O131" s="878"/>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3">
        <f>ROUNDUP((J139-1)/2,0)</f>
        <v>10</v>
      </c>
      <c r="K140" s="823">
        <v>100</v>
      </c>
    </row>
    <row r="141" spans="1:17" ht="15">
      <c r="B141" s="818">
        <v>4</v>
      </c>
      <c r="C141" s="819">
        <v>102</v>
      </c>
      <c r="D141" s="819"/>
      <c r="E141" s="820"/>
      <c r="F141" s="821">
        <v>101.5</v>
      </c>
      <c r="G141" s="819"/>
      <c r="H141" s="822"/>
      <c r="I141" s="1793" t="s">
        <v>1758</v>
      </c>
      <c r="J141" s="263">
        <v>1</v>
      </c>
      <c r="K141" s="824">
        <f>ROUND(100+(J141-J140)*K139*100,1)</f>
        <v>96.4</v>
      </c>
    </row>
    <row r="142" spans="1:17" ht="15">
      <c r="B142" s="818">
        <v>3</v>
      </c>
      <c r="C142" s="819">
        <v>103</v>
      </c>
      <c r="D142" s="819"/>
      <c r="E142" s="820"/>
      <c r="F142" s="821">
        <v>101</v>
      </c>
      <c r="G142" s="819"/>
      <c r="H142" s="822"/>
      <c r="I142" s="1793" t="s">
        <v>1759</v>
      </c>
      <c r="J142" s="263">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681.29</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858"/>
      <c r="M4" s="859"/>
      <c r="N4" s="859"/>
      <c r="O4" s="859"/>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858"/>
      <c r="M5" s="859"/>
      <c r="N5" s="859"/>
      <c r="O5" s="859"/>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858"/>
      <c r="M6" s="859"/>
      <c r="N6" s="859"/>
      <c r="O6" s="859"/>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SUMIF(52:52,YEAR(E7)&amp;"-"&amp;MONTH(E7),53:53)</f>
        <v>0</v>
      </c>
      <c r="G7" s="356"/>
      <c r="H7" s="355">
        <f>SUMIF(52:52,YEAR(G7)&amp;"-"&amp;MONTH(G7),53:53)</f>
        <v>0</v>
      </c>
      <c r="I7" s="356"/>
      <c r="J7" s="355">
        <f>SUMIF(52:52,YEAR(I7)&amp;"-"&amp;MONTH(I7),53:53)</f>
        <v>0</v>
      </c>
      <c r="K7" s="38"/>
      <c r="L7" s="860"/>
      <c r="M7" s="861"/>
      <c r="N7" s="861"/>
      <c r="O7" s="861"/>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38" t="s">
        <v>1683</v>
      </c>
      <c r="Q8" s="3437"/>
      <c r="R8" s="662" t="s">
        <v>14</v>
      </c>
      <c r="S8" s="663">
        <f t="shared" si="0"/>
        <v>100</v>
      </c>
      <c r="T8" s="662" t="s">
        <v>14</v>
      </c>
      <c r="U8" s="663">
        <f t="shared" si="1"/>
        <v>100</v>
      </c>
      <c r="V8" s="662" t="s">
        <v>14</v>
      </c>
      <c r="W8" s="663">
        <f t="shared" si="2"/>
        <v>100</v>
      </c>
      <c r="X8" s="664"/>
      <c r="Y8" s="3438" t="s">
        <v>1683</v>
      </c>
      <c r="Z8" s="343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98"/>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0"/>
      <c r="M12" s="861"/>
      <c r="N12" s="861"/>
      <c r="O12" s="862"/>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8"/>
      <c r="M13" s="859"/>
      <c r="N13" s="859"/>
      <c r="O13" s="867"/>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8"/>
      <c r="M14" s="859"/>
      <c r="N14" s="859"/>
      <c r="O14" s="867"/>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05" t="s">
        <v>1691</v>
      </c>
      <c r="Q15" s="1262" t="str">
        <f t="shared" si="6"/>
        <v>产业集聚程度</v>
      </c>
      <c r="R15" s="665" t="s">
        <v>14</v>
      </c>
      <c r="S15" s="666">
        <f t="shared" si="0"/>
        <v>100</v>
      </c>
      <c r="T15" s="665" t="s">
        <v>14</v>
      </c>
      <c r="U15" s="666">
        <f t="shared" si="1"/>
        <v>100</v>
      </c>
      <c r="V15" s="665" t="s">
        <v>14</v>
      </c>
      <c r="W15" s="666">
        <f t="shared" si="2"/>
        <v>100</v>
      </c>
      <c r="X15" s="1264"/>
      <c r="Y15" s="34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8"/>
      <c r="M16" s="859"/>
      <c r="N16" s="859"/>
      <c r="O16" s="867"/>
      <c r="P16" s="3406"/>
      <c r="Q16" s="1262"/>
      <c r="R16" s="665"/>
      <c r="S16" s="666"/>
      <c r="T16" s="665"/>
      <c r="U16" s="666"/>
      <c r="V16" s="665"/>
      <c r="W16" s="666"/>
      <c r="X16" s="1264"/>
      <c r="Y16" s="340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06"/>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8"/>
      <c r="M18" s="859"/>
      <c r="N18" s="859"/>
      <c r="O18" s="867"/>
      <c r="P18" s="3406"/>
      <c r="Q18" s="1262"/>
      <c r="R18" s="665"/>
      <c r="S18" s="666"/>
      <c r="T18" s="665"/>
      <c r="U18" s="666"/>
      <c r="V18" s="665"/>
      <c r="W18" s="666"/>
      <c r="X18" s="1264"/>
      <c r="Y18" s="340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06"/>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8"/>
      <c r="M20" s="859"/>
      <c r="N20" s="859"/>
      <c r="O20" s="867"/>
      <c r="P20" s="3406"/>
      <c r="Q20" s="1262"/>
      <c r="R20" s="665"/>
      <c r="S20" s="666"/>
      <c r="T20" s="665"/>
      <c r="U20" s="666"/>
      <c r="V20" s="665"/>
      <c r="W20" s="666"/>
      <c r="X20" s="1264"/>
      <c r="Y20" s="3406"/>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06"/>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8"/>
      <c r="M22" s="859"/>
      <c r="N22" s="859"/>
      <c r="O22" s="867"/>
      <c r="P22" s="3406"/>
      <c r="Q22" s="1262"/>
      <c r="R22" s="665"/>
      <c r="S22" s="666"/>
      <c r="T22" s="665"/>
      <c r="U22" s="666"/>
      <c r="V22" s="665"/>
      <c r="W22" s="666"/>
      <c r="X22" s="1264"/>
      <c r="Y22" s="340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06"/>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8"/>
      <c r="M24" s="859"/>
      <c r="N24" s="859"/>
      <c r="O24" s="867"/>
      <c r="P24" s="3406"/>
      <c r="Q24" s="1262"/>
      <c r="R24" s="665"/>
      <c r="S24" s="666"/>
      <c r="T24" s="665"/>
      <c r="U24" s="666"/>
      <c r="V24" s="665"/>
      <c r="W24" s="666"/>
      <c r="X24" s="1264"/>
      <c r="Y24" s="34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06"/>
      <c r="Q25" s="1262">
        <f>B25</f>
        <v>111</v>
      </c>
      <c r="R25" s="665" t="s">
        <v>14</v>
      </c>
      <c r="S25" s="666">
        <f>F25</f>
        <v>100</v>
      </c>
      <c r="T25" s="665" t="s">
        <v>14</v>
      </c>
      <c r="U25" s="666">
        <f>H25</f>
        <v>100</v>
      </c>
      <c r="V25" s="665" t="s">
        <v>14</v>
      </c>
      <c r="W25" s="666">
        <f>J25</f>
        <v>100</v>
      </c>
      <c r="X25" s="1264"/>
      <c r="Y25" s="34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06"/>
      <c r="Q26" s="1262">
        <f t="shared" ref="Q26:Q40" si="11">B26</f>
        <v>111</v>
      </c>
      <c r="R26" s="665" t="s">
        <v>14</v>
      </c>
      <c r="S26" s="666">
        <f>F26</f>
        <v>100</v>
      </c>
      <c r="T26" s="665" t="s">
        <v>14</v>
      </c>
      <c r="U26" s="666">
        <f>H26</f>
        <v>100</v>
      </c>
      <c r="V26" s="665" t="s">
        <v>14</v>
      </c>
      <c r="W26" s="666">
        <f>J26</f>
        <v>100</v>
      </c>
      <c r="X26" s="1264"/>
      <c r="Y26" s="34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06"/>
      <c r="Q27" s="530">
        <f t="shared" si="11"/>
        <v>111</v>
      </c>
      <c r="R27" s="662" t="s">
        <v>14</v>
      </c>
      <c r="S27" s="663">
        <f>F27</f>
        <v>100</v>
      </c>
      <c r="T27" s="662" t="s">
        <v>14</v>
      </c>
      <c r="U27" s="663">
        <f>H27</f>
        <v>100</v>
      </c>
      <c r="V27" s="662" t="s">
        <v>14</v>
      </c>
      <c r="W27" s="663">
        <f>J27</f>
        <v>100</v>
      </c>
      <c r="X27" s="664"/>
      <c r="Y27" s="340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06"/>
      <c r="Q28" s="1262">
        <f t="shared" si="11"/>
        <v>111</v>
      </c>
      <c r="R28" s="665" t="s">
        <v>14</v>
      </c>
      <c r="S28" s="666">
        <f t="shared" ref="S28:S40" si="12">F28</f>
        <v>100</v>
      </c>
      <c r="T28" s="665" t="s">
        <v>14</v>
      </c>
      <c r="U28" s="666">
        <f t="shared" ref="U28:U40" si="13">H28</f>
        <v>100</v>
      </c>
      <c r="V28" s="665" t="s">
        <v>14</v>
      </c>
      <c r="W28" s="666">
        <f t="shared" ref="W28:W40" si="14">J28</f>
        <v>100</v>
      </c>
      <c r="X28" s="1264"/>
      <c r="Y28" s="340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8"/>
      <c r="M29" s="859"/>
      <c r="N29" s="859"/>
      <c r="O29" s="867"/>
      <c r="P29" s="3480" t="s">
        <v>1696</v>
      </c>
      <c r="Q29" s="1262" t="str">
        <f t="shared" si="11"/>
        <v>建筑类型</v>
      </c>
      <c r="R29" s="665" t="s">
        <v>14</v>
      </c>
      <c r="S29" s="666">
        <f t="shared" si="12"/>
        <v>100</v>
      </c>
      <c r="T29" s="665" t="s">
        <v>14</v>
      </c>
      <c r="U29" s="666">
        <f t="shared" si="13"/>
        <v>100</v>
      </c>
      <c r="V29" s="665" t="s">
        <v>14</v>
      </c>
      <c r="W29" s="666">
        <f t="shared" si="14"/>
        <v>100</v>
      </c>
      <c r="X29" s="1264"/>
      <c r="Y29" s="34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10"/>
      <c r="Q30" s="531" t="str">
        <f t="shared" si="11"/>
        <v>项目建筑规模</v>
      </c>
      <c r="R30" s="667" t="s">
        <v>14</v>
      </c>
      <c r="S30" s="668" t="e">
        <f t="shared" si="12"/>
        <v>#N/A</v>
      </c>
      <c r="T30" s="667" t="s">
        <v>14</v>
      </c>
      <c r="U30" s="668" t="e">
        <f t="shared" si="13"/>
        <v>#N/A</v>
      </c>
      <c r="V30" s="667" t="s">
        <v>14</v>
      </c>
      <c r="W30" s="668" t="e">
        <f t="shared" si="14"/>
        <v>#N/A</v>
      </c>
      <c r="X30" s="669"/>
      <c r="Y30" s="3410"/>
      <c r="Z30" s="670"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10"/>
      <c r="Q31" s="1262" t="str">
        <f t="shared" si="11"/>
        <v>建筑结构</v>
      </c>
      <c r="R31" s="665" t="s">
        <v>14</v>
      </c>
      <c r="S31" s="666">
        <f t="shared" si="12"/>
        <v>100</v>
      </c>
      <c r="T31" s="665" t="s">
        <v>14</v>
      </c>
      <c r="U31" s="666">
        <f t="shared" si="13"/>
        <v>100</v>
      </c>
      <c r="V31" s="665" t="s">
        <v>14</v>
      </c>
      <c r="W31" s="666">
        <f t="shared" si="14"/>
        <v>100</v>
      </c>
      <c r="X31" s="1264"/>
      <c r="Y31" s="34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10"/>
      <c r="Q32" s="1262" t="str">
        <f t="shared" si="11"/>
        <v>公共部分装修</v>
      </c>
      <c r="R32" s="665" t="s">
        <v>14</v>
      </c>
      <c r="S32" s="666">
        <f t="shared" si="12"/>
        <v>100</v>
      </c>
      <c r="T32" s="665" t="s">
        <v>14</v>
      </c>
      <c r="U32" s="666">
        <f t="shared" si="13"/>
        <v>100</v>
      </c>
      <c r="V32" s="665" t="s">
        <v>14</v>
      </c>
      <c r="W32" s="666">
        <f t="shared" si="14"/>
        <v>100</v>
      </c>
      <c r="X32" s="1264"/>
      <c r="Y32" s="34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10"/>
      <c r="Q33" s="1262" t="str">
        <f t="shared" si="11"/>
        <v>成新度</v>
      </c>
      <c r="R33" s="665" t="s">
        <v>14</v>
      </c>
      <c r="S33" s="666" t="e">
        <f t="shared" si="12"/>
        <v>#N/A</v>
      </c>
      <c r="T33" s="665" t="s">
        <v>14</v>
      </c>
      <c r="U33" s="666" t="e">
        <f t="shared" si="13"/>
        <v>#N/A</v>
      </c>
      <c r="V33" s="665" t="s">
        <v>14</v>
      </c>
      <c r="W33" s="666" t="e">
        <f t="shared" si="14"/>
        <v>#N/A</v>
      </c>
      <c r="X33" s="1264"/>
      <c r="Y33" s="34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10"/>
      <c r="Q34" s="530" t="str">
        <f t="shared" si="11"/>
        <v>物业管理</v>
      </c>
      <c r="R34" s="662" t="s">
        <v>14</v>
      </c>
      <c r="S34" s="663">
        <f t="shared" si="12"/>
        <v>100</v>
      </c>
      <c r="T34" s="662" t="s">
        <v>14</v>
      </c>
      <c r="U34" s="663">
        <f t="shared" si="13"/>
        <v>100</v>
      </c>
      <c r="V34" s="662" t="s">
        <v>14</v>
      </c>
      <c r="W34" s="663">
        <f t="shared" si="14"/>
        <v>100</v>
      </c>
      <c r="X34" s="664"/>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10" t="s">
        <v>1696</v>
      </c>
      <c r="Q35" s="1262" t="str">
        <f t="shared" si="11"/>
        <v>市政基础设施</v>
      </c>
      <c r="R35" s="665" t="s">
        <v>14</v>
      </c>
      <c r="S35" s="666">
        <f t="shared" si="12"/>
        <v>100</v>
      </c>
      <c r="T35" s="665" t="s">
        <v>14</v>
      </c>
      <c r="U35" s="666">
        <f t="shared" si="13"/>
        <v>100</v>
      </c>
      <c r="V35" s="665" t="s">
        <v>14</v>
      </c>
      <c r="W35" s="666">
        <f t="shared" si="14"/>
        <v>100</v>
      </c>
      <c r="X35" s="1264"/>
      <c r="Y35" s="34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10"/>
      <c r="Q36" s="1262" t="str">
        <f t="shared" si="11"/>
        <v>内部装修</v>
      </c>
      <c r="R36" s="665" t="s">
        <v>14</v>
      </c>
      <c r="S36" s="666">
        <f t="shared" si="12"/>
        <v>100</v>
      </c>
      <c r="T36" s="665" t="s">
        <v>14</v>
      </c>
      <c r="U36" s="666">
        <f t="shared" si="13"/>
        <v>100</v>
      </c>
      <c r="V36" s="665" t="s">
        <v>14</v>
      </c>
      <c r="W36" s="666">
        <f t="shared" si="14"/>
        <v>100</v>
      </c>
      <c r="X36" s="1264"/>
      <c r="Y36" s="34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10"/>
      <c r="Q37" s="1262" t="str">
        <f t="shared" si="11"/>
        <v>内部装修状况</v>
      </c>
      <c r="R37" s="665" t="s">
        <v>14</v>
      </c>
      <c r="S37" s="666">
        <f t="shared" si="12"/>
        <v>100</v>
      </c>
      <c r="T37" s="665" t="s">
        <v>14</v>
      </c>
      <c r="U37" s="666">
        <f t="shared" si="13"/>
        <v>100</v>
      </c>
      <c r="V37" s="665" t="s">
        <v>14</v>
      </c>
      <c r="W37" s="666">
        <f t="shared" si="14"/>
        <v>100</v>
      </c>
      <c r="X37" s="1264"/>
      <c r="Y37" s="34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10"/>
      <c r="Q38" s="531">
        <f t="shared" si="11"/>
        <v>111</v>
      </c>
      <c r="R38" s="667" t="s">
        <v>14</v>
      </c>
      <c r="S38" s="668">
        <f t="shared" si="12"/>
        <v>100</v>
      </c>
      <c r="T38" s="667" t="s">
        <v>14</v>
      </c>
      <c r="U38" s="668">
        <f t="shared" si="13"/>
        <v>100</v>
      </c>
      <c r="V38" s="667" t="s">
        <v>14</v>
      </c>
      <c r="W38" s="668">
        <f t="shared" si="14"/>
        <v>100</v>
      </c>
      <c r="X38" s="669"/>
      <c r="Y38" s="3410"/>
      <c r="Z38" s="670">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10"/>
      <c r="Q39" s="1262">
        <f t="shared" si="11"/>
        <v>111</v>
      </c>
      <c r="R39" s="665" t="s">
        <v>14</v>
      </c>
      <c r="S39" s="666">
        <f t="shared" si="12"/>
        <v>100</v>
      </c>
      <c r="T39" s="665" t="s">
        <v>14</v>
      </c>
      <c r="U39" s="666">
        <f t="shared" si="13"/>
        <v>100</v>
      </c>
      <c r="V39" s="665" t="s">
        <v>14</v>
      </c>
      <c r="W39" s="666">
        <f t="shared" si="14"/>
        <v>100</v>
      </c>
      <c r="X39" s="1264"/>
      <c r="Y39" s="341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11"/>
      <c r="Q40" s="1262">
        <f t="shared" si="11"/>
        <v>111</v>
      </c>
      <c r="R40" s="665" t="s">
        <v>14</v>
      </c>
      <c r="S40" s="666">
        <f t="shared" si="12"/>
        <v>100</v>
      </c>
      <c r="T40" s="665" t="s">
        <v>14</v>
      </c>
      <c r="U40" s="666">
        <f t="shared" si="13"/>
        <v>100</v>
      </c>
      <c r="V40" s="665" t="s">
        <v>14</v>
      </c>
      <c r="W40" s="666">
        <f t="shared" si="14"/>
        <v>100</v>
      </c>
      <c r="X40" s="1264"/>
      <c r="Y40" s="341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2"/>
      <c r="L41" s="871"/>
      <c r="M41" s="859"/>
      <c r="N41" s="859"/>
      <c r="O41" s="859"/>
      <c r="P41" s="3398" t="str">
        <f>A41</f>
        <v>成交单价（元/平方米）</v>
      </c>
      <c r="Q41" s="3398"/>
      <c r="R41" s="3399">
        <f>E41</f>
        <v>0</v>
      </c>
      <c r="S41" s="3399"/>
      <c r="T41" s="3399">
        <f>G41</f>
        <v>0</v>
      </c>
      <c r="U41" s="3399"/>
      <c r="V41" s="3399">
        <f>I41</f>
        <v>0</v>
      </c>
      <c r="W41" s="3399"/>
      <c r="X41" s="385"/>
      <c r="Y41" s="671"/>
      <c r="Z41" s="385"/>
      <c r="AA41" s="385"/>
      <c r="AB41" s="385"/>
      <c r="AC41" s="385"/>
    </row>
    <row r="42" spans="1:29" ht="15.75" thickBot="1">
      <c r="A42" s="423" t="s">
        <v>1793</v>
      </c>
      <c r="B42" s="424"/>
      <c r="C42" s="1081" t="e">
        <f>R43</f>
        <v>#DIV/0!</v>
      </c>
      <c r="D42" s="2140" t="s">
        <v>2135</v>
      </c>
      <c r="E42" s="1082" t="e">
        <f>R42</f>
        <v>#DIV/0!</v>
      </c>
      <c r="F42" s="2141"/>
      <c r="G42" s="1081" t="e">
        <f>T42</f>
        <v>#DIV/0!</v>
      </c>
      <c r="H42" s="2141"/>
      <c r="I42" s="1082" t="e">
        <f>V42</f>
        <v>#DIV/0!</v>
      </c>
      <c r="J42" s="2141"/>
      <c r="K42" s="2143">
        <f>F42+H42+J42</f>
        <v>0</v>
      </c>
      <c r="L42" s="871"/>
      <c r="M42" s="859"/>
      <c r="N42" s="859"/>
      <c r="O42" s="859"/>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3"/>
      <c r="L43" s="871"/>
      <c r="M43" s="859"/>
      <c r="N43" s="859"/>
      <c r="O43" s="859"/>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6"/>
      <c r="B44" s="2486"/>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4"/>
      <c r="M46" s="859"/>
      <c r="N46" s="859"/>
      <c r="O46" s="859"/>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4"/>
      <c r="M47" s="859"/>
      <c r="N47" s="859"/>
      <c r="O47" s="859"/>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8"/>
      <c r="Q51" s="439"/>
    </row>
    <row r="52" spans="1:17" s="442" customFormat="1" ht="15">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2">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8"/>
      <c r="O76" s="878"/>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7"/>
      <c r="J98" s="547"/>
      <c r="K98" s="548"/>
      <c r="L98" s="549"/>
      <c r="M98" s="550"/>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8"/>
      <c r="O106" s="878"/>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1085"/>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8" t="s">
        <v>1680</v>
      </c>
      <c r="Q7" s="3439"/>
      <c r="R7" s="662" t="s">
        <v>14</v>
      </c>
      <c r="S7" s="663">
        <f t="shared" ref="S7:S14" si="0">F7</f>
        <v>0</v>
      </c>
      <c r="T7" s="662" t="s">
        <v>14</v>
      </c>
      <c r="U7" s="663">
        <f t="shared" ref="U7:U14" si="1">H7</f>
        <v>0</v>
      </c>
      <c r="V7" s="662" t="s">
        <v>14</v>
      </c>
      <c r="W7" s="663">
        <f t="shared" ref="W7:W14"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8" t="s">
        <v>1683</v>
      </c>
      <c r="Q8" s="3437"/>
      <c r="R8" s="662" t="s">
        <v>14</v>
      </c>
      <c r="S8" s="663">
        <f t="shared" si="0"/>
        <v>100</v>
      </c>
      <c r="T8" s="662" t="s">
        <v>14</v>
      </c>
      <c r="U8" s="663">
        <f t="shared" si="1"/>
        <v>100</v>
      </c>
      <c r="V8" s="662" t="s">
        <v>14</v>
      </c>
      <c r="W8" s="663">
        <f t="shared" si="2"/>
        <v>100</v>
      </c>
      <c r="X8" s="664"/>
      <c r="Y8" s="3438" t="s">
        <v>1683</v>
      </c>
      <c r="Z8" s="3437"/>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5" t="s">
        <v>1691</v>
      </c>
      <c r="Q14" s="1262" t="str">
        <f t="shared" si="6"/>
        <v>交通便捷度</v>
      </c>
      <c r="R14" s="665" t="s">
        <v>14</v>
      </c>
      <c r="S14" s="666">
        <f t="shared" si="0"/>
        <v>100</v>
      </c>
      <c r="T14" s="665" t="s">
        <v>14</v>
      </c>
      <c r="U14" s="666">
        <f t="shared" si="1"/>
        <v>100</v>
      </c>
      <c r="V14" s="665" t="s">
        <v>14</v>
      </c>
      <c r="W14" s="666">
        <f t="shared" si="2"/>
        <v>100</v>
      </c>
      <c r="X14" s="1264"/>
      <c r="Y14" s="340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06"/>
      <c r="Q15" s="1262"/>
      <c r="R15" s="665"/>
      <c r="S15" s="666"/>
      <c r="T15" s="665"/>
      <c r="U15" s="666"/>
      <c r="V15" s="665"/>
      <c r="W15" s="666"/>
      <c r="X15" s="1264"/>
      <c r="Y15" s="3406"/>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6"/>
      <c r="Q16" s="1262" t="str">
        <f>B16</f>
        <v>公共配套设施</v>
      </c>
      <c r="R16" s="665" t="s">
        <v>14</v>
      </c>
      <c r="S16" s="666">
        <f>F16</f>
        <v>100</v>
      </c>
      <c r="T16" s="665" t="s">
        <v>14</v>
      </c>
      <c r="U16" s="666">
        <f>H16</f>
        <v>100</v>
      </c>
      <c r="V16" s="665" t="s">
        <v>14</v>
      </c>
      <c r="W16" s="666">
        <f>J16</f>
        <v>100</v>
      </c>
      <c r="X16" s="1264"/>
      <c r="Y16" s="340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06"/>
      <c r="Q17" s="1262"/>
      <c r="R17" s="665"/>
      <c r="S17" s="666"/>
      <c r="T17" s="665"/>
      <c r="U17" s="666"/>
      <c r="V17" s="665"/>
      <c r="W17" s="666"/>
      <c r="X17" s="1264"/>
      <c r="Y17" s="3406"/>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6"/>
      <c r="Q18" s="1262" t="str">
        <f>B18</f>
        <v>基础设施水平</v>
      </c>
      <c r="R18" s="665" t="s">
        <v>14</v>
      </c>
      <c r="S18" s="666">
        <f>F18</f>
        <v>100</v>
      </c>
      <c r="T18" s="665" t="s">
        <v>14</v>
      </c>
      <c r="U18" s="666">
        <f>H18</f>
        <v>100</v>
      </c>
      <c r="V18" s="665" t="s">
        <v>14</v>
      </c>
      <c r="W18" s="666">
        <f>J18</f>
        <v>100</v>
      </c>
      <c r="X18" s="1264"/>
      <c r="Y18" s="3406"/>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406"/>
      <c r="Q19" s="1262"/>
      <c r="R19" s="665"/>
      <c r="S19" s="666"/>
      <c r="T19" s="665"/>
      <c r="U19" s="666"/>
      <c r="V19" s="665"/>
      <c r="W19" s="666"/>
      <c r="X19" s="1264"/>
      <c r="Y19" s="3406"/>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6"/>
      <c r="Q20" s="1262" t="str">
        <f>B20</f>
        <v>自然及人文环境</v>
      </c>
      <c r="R20" s="665" t="s">
        <v>14</v>
      </c>
      <c r="S20" s="666">
        <f>F20</f>
        <v>100</v>
      </c>
      <c r="T20" s="665" t="s">
        <v>14</v>
      </c>
      <c r="U20" s="666">
        <f>H20</f>
        <v>100</v>
      </c>
      <c r="V20" s="665" t="s">
        <v>14</v>
      </c>
      <c r="W20" s="666">
        <f>J20</f>
        <v>100</v>
      </c>
      <c r="X20" s="1264"/>
      <c r="Y20" s="34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06"/>
      <c r="Q21" s="1262"/>
      <c r="R21" s="665"/>
      <c r="S21" s="666"/>
      <c r="T21" s="665"/>
      <c r="U21" s="666"/>
      <c r="V21" s="665"/>
      <c r="W21" s="666"/>
      <c r="X21" s="1264"/>
      <c r="Y21" s="340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6"/>
      <c r="Q22" s="1262" t="str">
        <f>B22</f>
        <v>楼层</v>
      </c>
      <c r="R22" s="665" t="s">
        <v>14</v>
      </c>
      <c r="S22" s="666">
        <f>F22</f>
        <v>100</v>
      </c>
      <c r="T22" s="665" t="s">
        <v>14</v>
      </c>
      <c r="U22" s="666">
        <f>H22</f>
        <v>100</v>
      </c>
      <c r="V22" s="665" t="s">
        <v>14</v>
      </c>
      <c r="W22" s="666">
        <f>J22</f>
        <v>100</v>
      </c>
      <c r="X22" s="1264"/>
      <c r="Y22" s="34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6"/>
      <c r="Q23" s="1262">
        <f>B23</f>
        <v>111</v>
      </c>
      <c r="R23" s="665" t="s">
        <v>14</v>
      </c>
      <c r="S23" s="666">
        <f>F23</f>
        <v>100</v>
      </c>
      <c r="T23" s="665" t="s">
        <v>14</v>
      </c>
      <c r="U23" s="666">
        <f>H23</f>
        <v>100</v>
      </c>
      <c r="V23" s="665" t="s">
        <v>14</v>
      </c>
      <c r="W23" s="666">
        <f>J23</f>
        <v>100</v>
      </c>
      <c r="X23" s="1264"/>
      <c r="Y23" s="34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6"/>
      <c r="Q24" s="1262">
        <f t="shared" ref="Q24:Q36" si="11">B24</f>
        <v>111</v>
      </c>
      <c r="R24" s="665" t="s">
        <v>14</v>
      </c>
      <c r="S24" s="666">
        <f>F24</f>
        <v>100</v>
      </c>
      <c r="T24" s="665" t="s">
        <v>14</v>
      </c>
      <c r="U24" s="666">
        <f>H24</f>
        <v>100</v>
      </c>
      <c r="V24" s="665" t="s">
        <v>14</v>
      </c>
      <c r="W24" s="666">
        <f>J24</f>
        <v>100</v>
      </c>
      <c r="X24" s="1264"/>
      <c r="Y24" s="340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406"/>
      <c r="Q25" s="530">
        <f t="shared" si="11"/>
        <v>111</v>
      </c>
      <c r="R25" s="662" t="s">
        <v>14</v>
      </c>
      <c r="S25" s="663">
        <f>F25</f>
        <v>100</v>
      </c>
      <c r="T25" s="662" t="s">
        <v>14</v>
      </c>
      <c r="U25" s="663">
        <f>H25</f>
        <v>100</v>
      </c>
      <c r="V25" s="662" t="s">
        <v>14</v>
      </c>
      <c r="W25" s="663">
        <f>J25</f>
        <v>100</v>
      </c>
      <c r="X25" s="664"/>
      <c r="Y25" s="3406"/>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0"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1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10"/>
      <c r="Q27" s="531" t="str">
        <f t="shared" si="11"/>
        <v>项目停车位配比</v>
      </c>
      <c r="R27" s="667" t="s">
        <v>14</v>
      </c>
      <c r="S27" s="668">
        <f t="shared" si="12"/>
        <v>100</v>
      </c>
      <c r="T27" s="667" t="s">
        <v>14</v>
      </c>
      <c r="U27" s="668">
        <f t="shared" si="13"/>
        <v>100</v>
      </c>
      <c r="V27" s="667" t="s">
        <v>14</v>
      </c>
      <c r="W27" s="668">
        <f t="shared" si="14"/>
        <v>100</v>
      </c>
      <c r="X27" s="669"/>
      <c r="Y27" s="3410"/>
      <c r="Z27" s="670"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0"/>
      <c r="Q28" s="1262" t="str">
        <f t="shared" si="11"/>
        <v>公共部分装修</v>
      </c>
      <c r="R28" s="665" t="s">
        <v>14</v>
      </c>
      <c r="S28" s="666">
        <f t="shared" si="12"/>
        <v>100</v>
      </c>
      <c r="T28" s="665" t="s">
        <v>14</v>
      </c>
      <c r="U28" s="666">
        <f t="shared" si="13"/>
        <v>100</v>
      </c>
      <c r="V28" s="665" t="s">
        <v>14</v>
      </c>
      <c r="W28" s="666">
        <f t="shared" si="14"/>
        <v>100</v>
      </c>
      <c r="X28" s="1264"/>
      <c r="Y28" s="341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0"/>
      <c r="Q29" s="1262" t="str">
        <f t="shared" si="11"/>
        <v>成新率</v>
      </c>
      <c r="R29" s="665" t="s">
        <v>14</v>
      </c>
      <c r="S29" s="666" t="e">
        <f t="shared" si="12"/>
        <v>#N/A</v>
      </c>
      <c r="T29" s="665" t="s">
        <v>14</v>
      </c>
      <c r="U29" s="666" t="e">
        <f t="shared" si="13"/>
        <v>#N/A</v>
      </c>
      <c r="V29" s="665" t="s">
        <v>14</v>
      </c>
      <c r="W29" s="666" t="e">
        <f t="shared" si="14"/>
        <v>#N/A</v>
      </c>
      <c r="X29" s="1264"/>
      <c r="Y29" s="341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10"/>
      <c r="Q30" s="1262" t="str">
        <f t="shared" si="11"/>
        <v>物业等级</v>
      </c>
      <c r="R30" s="665" t="s">
        <v>14</v>
      </c>
      <c r="S30" s="666">
        <f t="shared" si="12"/>
        <v>100</v>
      </c>
      <c r="T30" s="665" t="s">
        <v>14</v>
      </c>
      <c r="U30" s="666">
        <f t="shared" si="13"/>
        <v>100</v>
      </c>
      <c r="V30" s="665" t="s">
        <v>14</v>
      </c>
      <c r="W30" s="666">
        <f t="shared" si="14"/>
        <v>100</v>
      </c>
      <c r="X30" s="1264"/>
      <c r="Y30" s="341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0"/>
      <c r="Q31" s="530" t="str">
        <f t="shared" si="11"/>
        <v>停车位面积</v>
      </c>
      <c r="R31" s="662" t="s">
        <v>14</v>
      </c>
      <c r="S31" s="663" t="e">
        <f t="shared" si="12"/>
        <v>#N/A</v>
      </c>
      <c r="T31" s="662" t="s">
        <v>14</v>
      </c>
      <c r="U31" s="663" t="e">
        <f t="shared" si="13"/>
        <v>#N/A</v>
      </c>
      <c r="V31" s="662" t="s">
        <v>14</v>
      </c>
      <c r="W31" s="663" t="e">
        <f t="shared" si="14"/>
        <v>#N/A</v>
      </c>
      <c r="X31" s="664"/>
      <c r="Y31" s="341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0" t="s">
        <v>1696</v>
      </c>
      <c r="Q32" s="1262" t="str">
        <f t="shared" si="11"/>
        <v>车位类型</v>
      </c>
      <c r="R32" s="665" t="s">
        <v>14</v>
      </c>
      <c r="S32" s="666">
        <f t="shared" si="12"/>
        <v>100</v>
      </c>
      <c r="T32" s="665" t="s">
        <v>14</v>
      </c>
      <c r="U32" s="666">
        <f t="shared" si="13"/>
        <v>100</v>
      </c>
      <c r="V32" s="665" t="s">
        <v>14</v>
      </c>
      <c r="W32" s="666">
        <f t="shared" si="14"/>
        <v>100</v>
      </c>
      <c r="X32" s="1264"/>
      <c r="Y32" s="341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0"/>
      <c r="Q33" s="1262" t="str">
        <f t="shared" si="11"/>
        <v>是否直接入户</v>
      </c>
      <c r="R33" s="665" t="s">
        <v>14</v>
      </c>
      <c r="S33" s="666">
        <f t="shared" si="12"/>
        <v>100</v>
      </c>
      <c r="T33" s="665" t="s">
        <v>14</v>
      </c>
      <c r="U33" s="666">
        <f t="shared" si="13"/>
        <v>100</v>
      </c>
      <c r="V33" s="665" t="s">
        <v>14</v>
      </c>
      <c r="W33" s="666">
        <f t="shared" si="14"/>
        <v>100</v>
      </c>
      <c r="X33" s="1264"/>
      <c r="Y33" s="341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0"/>
      <c r="Q34" s="1262">
        <f t="shared" si="11"/>
        <v>111</v>
      </c>
      <c r="R34" s="665" t="s">
        <v>14</v>
      </c>
      <c r="S34" s="666">
        <f t="shared" si="12"/>
        <v>100</v>
      </c>
      <c r="T34" s="665" t="s">
        <v>14</v>
      </c>
      <c r="U34" s="666">
        <f t="shared" si="13"/>
        <v>100</v>
      </c>
      <c r="V34" s="665" t="s">
        <v>14</v>
      </c>
      <c r="W34" s="666">
        <f t="shared" si="14"/>
        <v>100</v>
      </c>
      <c r="X34" s="1264"/>
      <c r="Y34" s="341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0"/>
      <c r="Q35" s="531">
        <f t="shared" si="11"/>
        <v>111</v>
      </c>
      <c r="R35" s="667" t="s">
        <v>14</v>
      </c>
      <c r="S35" s="668">
        <f t="shared" si="12"/>
        <v>100</v>
      </c>
      <c r="T35" s="667" t="s">
        <v>14</v>
      </c>
      <c r="U35" s="668">
        <f t="shared" si="13"/>
        <v>100</v>
      </c>
      <c r="V35" s="667" t="s">
        <v>14</v>
      </c>
      <c r="W35" s="668">
        <f t="shared" si="14"/>
        <v>100</v>
      </c>
      <c r="X35" s="669"/>
      <c r="Y35" s="3410"/>
      <c r="Z35" s="670">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0"/>
      <c r="Q36" s="1262">
        <f t="shared" si="11"/>
        <v>111</v>
      </c>
      <c r="R36" s="665" t="s">
        <v>14</v>
      </c>
      <c r="S36" s="666">
        <f t="shared" si="12"/>
        <v>100</v>
      </c>
      <c r="T36" s="665" t="s">
        <v>14</v>
      </c>
      <c r="U36" s="666">
        <f t="shared" si="13"/>
        <v>100</v>
      </c>
      <c r="V36" s="665" t="s">
        <v>14</v>
      </c>
      <c r="W36" s="666">
        <f t="shared" si="14"/>
        <v>100</v>
      </c>
      <c r="X36" s="1264"/>
      <c r="Y36" s="3410"/>
      <c r="Z36" s="1263">
        <f t="shared" si="15"/>
        <v>111</v>
      </c>
      <c r="AA36" s="1263">
        <f t="shared" si="3"/>
        <v>1</v>
      </c>
      <c r="AB36" s="1263">
        <f t="shared" si="4"/>
        <v>1</v>
      </c>
      <c r="AC36" s="1263">
        <f t="shared" si="5"/>
        <v>1</v>
      </c>
    </row>
    <row r="37" spans="1:29" ht="15">
      <c r="A37" s="416" t="s">
        <v>1844</v>
      </c>
      <c r="B37" s="1820" t="s">
        <v>3349</v>
      </c>
      <c r="C37" s="1080" t="s">
        <v>0</v>
      </c>
      <c r="D37" s="418"/>
      <c r="E37" s="419"/>
      <c r="F37" s="420"/>
      <c r="G37" s="421"/>
      <c r="H37" s="422"/>
      <c r="I37" s="419"/>
      <c r="J37" s="422"/>
      <c r="K37" s="544"/>
      <c r="L37" s="2493"/>
      <c r="M37" s="2486"/>
      <c r="N37" s="2486"/>
      <c r="O37" s="2486"/>
      <c r="P37" s="3398" t="str">
        <f>A37</f>
        <v>成交单价</v>
      </c>
      <c r="Q37" s="3398"/>
      <c r="R37" s="3399">
        <f>E37</f>
        <v>0</v>
      </c>
      <c r="S37" s="3399"/>
      <c r="T37" s="3399">
        <f>G37</f>
        <v>0</v>
      </c>
      <c r="U37" s="3399"/>
      <c r="V37" s="3399">
        <f>I37</f>
        <v>0</v>
      </c>
      <c r="W37" s="3399"/>
      <c r="X37" s="385"/>
      <c r="Y37" s="671"/>
      <c r="Z37" s="385"/>
      <c r="AA37" s="385"/>
      <c r="AB37" s="385"/>
      <c r="AC37" s="385"/>
    </row>
    <row r="38" spans="1:29" ht="15.7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3"/>
      <c r="M38" s="2486"/>
      <c r="N38" s="2486"/>
      <c r="O38" s="2486"/>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45" t="str">
        <f>A39</f>
        <v>估价对象XX用房的比较价值（楼面单价，元/平方米）</v>
      </c>
      <c r="Q39" s="3446"/>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59"/>
      <c r="C47" s="884"/>
      <c r="D47" s="884"/>
      <c r="E47" s="884"/>
      <c r="F47" s="1087"/>
      <c r="G47" s="1087"/>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38" t="s">
        <v>1680</v>
      </c>
      <c r="Q7" s="3439"/>
      <c r="R7" s="662" t="s">
        <v>14</v>
      </c>
      <c r="S7" s="663">
        <f t="shared" ref="S7:S14" si="0">F7</f>
        <v>0</v>
      </c>
      <c r="T7" s="662" t="s">
        <v>14</v>
      </c>
      <c r="U7" s="663">
        <f t="shared" ref="U7:U14" si="1">H7</f>
        <v>0</v>
      </c>
      <c r="V7" s="662" t="s">
        <v>14</v>
      </c>
      <c r="W7" s="663">
        <f t="shared" ref="W7:W14"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8" t="s">
        <v>1683</v>
      </c>
      <c r="Q8" s="3437"/>
      <c r="R8" s="662" t="s">
        <v>14</v>
      </c>
      <c r="S8" s="663">
        <f t="shared" si="0"/>
        <v>100</v>
      </c>
      <c r="T8" s="662" t="s">
        <v>14</v>
      </c>
      <c r="U8" s="663">
        <f t="shared" si="1"/>
        <v>100</v>
      </c>
      <c r="V8" s="662" t="s">
        <v>14</v>
      </c>
      <c r="W8" s="663">
        <f t="shared" si="2"/>
        <v>100</v>
      </c>
      <c r="X8" s="664"/>
      <c r="Y8" s="3438" t="s">
        <v>1683</v>
      </c>
      <c r="Z8" s="343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5" t="s">
        <v>1691</v>
      </c>
      <c r="Q14" s="1262" t="str">
        <f t="shared" si="6"/>
        <v>交通便捷度</v>
      </c>
      <c r="R14" s="665" t="s">
        <v>14</v>
      </c>
      <c r="S14" s="666">
        <f t="shared" si="0"/>
        <v>100</v>
      </c>
      <c r="T14" s="665" t="s">
        <v>14</v>
      </c>
      <c r="U14" s="666">
        <f t="shared" si="1"/>
        <v>100</v>
      </c>
      <c r="V14" s="665" t="s">
        <v>14</v>
      </c>
      <c r="W14" s="666">
        <f t="shared" si="2"/>
        <v>100</v>
      </c>
      <c r="X14" s="1264"/>
      <c r="Y14" s="34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06"/>
      <c r="Q15" s="1262"/>
      <c r="R15" s="665"/>
      <c r="S15" s="666"/>
      <c r="T15" s="665"/>
      <c r="U15" s="666"/>
      <c r="V15" s="665"/>
      <c r="W15" s="666"/>
      <c r="X15" s="1264"/>
      <c r="Y15" s="340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6"/>
      <c r="Q16" s="1262" t="str">
        <f>B16</f>
        <v>公共配套设施</v>
      </c>
      <c r="R16" s="665" t="s">
        <v>14</v>
      </c>
      <c r="S16" s="666">
        <f>F16</f>
        <v>100</v>
      </c>
      <c r="T16" s="665" t="s">
        <v>14</v>
      </c>
      <c r="U16" s="666">
        <f>H16</f>
        <v>100</v>
      </c>
      <c r="V16" s="665" t="s">
        <v>14</v>
      </c>
      <c r="W16" s="666">
        <f>J16</f>
        <v>100</v>
      </c>
      <c r="X16" s="1264"/>
      <c r="Y16" s="340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06"/>
      <c r="Q17" s="1262"/>
      <c r="R17" s="665"/>
      <c r="S17" s="666"/>
      <c r="T17" s="665"/>
      <c r="U17" s="666"/>
      <c r="V17" s="665"/>
      <c r="W17" s="666"/>
      <c r="X17" s="1264"/>
      <c r="Y17" s="3406"/>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6"/>
      <c r="Q18" s="1262" t="str">
        <f>B18</f>
        <v>基础设施水平</v>
      </c>
      <c r="R18" s="665" t="s">
        <v>14</v>
      </c>
      <c r="S18" s="666">
        <f>F18</f>
        <v>100</v>
      </c>
      <c r="T18" s="665" t="s">
        <v>14</v>
      </c>
      <c r="U18" s="666">
        <f>H18</f>
        <v>100</v>
      </c>
      <c r="V18" s="665" t="s">
        <v>14</v>
      </c>
      <c r="W18" s="666">
        <f>J18</f>
        <v>100</v>
      </c>
      <c r="X18" s="1264"/>
      <c r="Y18" s="3406"/>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406"/>
      <c r="Q19" s="1262"/>
      <c r="R19" s="665"/>
      <c r="S19" s="666"/>
      <c r="T19" s="665"/>
      <c r="U19" s="666"/>
      <c r="V19" s="665"/>
      <c r="W19" s="666"/>
      <c r="X19" s="1264"/>
      <c r="Y19" s="340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6"/>
      <c r="Q20" s="1262" t="str">
        <f>B20</f>
        <v>自然及人文环境</v>
      </c>
      <c r="R20" s="665" t="s">
        <v>14</v>
      </c>
      <c r="S20" s="666">
        <f>F20</f>
        <v>100</v>
      </c>
      <c r="T20" s="665" t="s">
        <v>14</v>
      </c>
      <c r="U20" s="666">
        <f>H20</f>
        <v>100</v>
      </c>
      <c r="V20" s="665" t="s">
        <v>14</v>
      </c>
      <c r="W20" s="666">
        <f>J20</f>
        <v>100</v>
      </c>
      <c r="X20" s="1264"/>
      <c r="Y20" s="34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06"/>
      <c r="Q21" s="1262"/>
      <c r="R21" s="665"/>
      <c r="S21" s="666"/>
      <c r="T21" s="665"/>
      <c r="U21" s="666"/>
      <c r="V21" s="665"/>
      <c r="W21" s="666"/>
      <c r="X21" s="1264"/>
      <c r="Y21" s="34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6"/>
      <c r="Q22" s="1262" t="str">
        <f>B22</f>
        <v>楼层</v>
      </c>
      <c r="R22" s="665" t="s">
        <v>14</v>
      </c>
      <c r="S22" s="666">
        <f>F22</f>
        <v>100</v>
      </c>
      <c r="T22" s="665" t="s">
        <v>14</v>
      </c>
      <c r="U22" s="666">
        <f>H22</f>
        <v>100</v>
      </c>
      <c r="V22" s="665" t="s">
        <v>14</v>
      </c>
      <c r="W22" s="666">
        <f>J22</f>
        <v>100</v>
      </c>
      <c r="X22" s="1264"/>
      <c r="Y22" s="34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6"/>
      <c r="Q23" s="1262">
        <f>B23</f>
        <v>111</v>
      </c>
      <c r="R23" s="665" t="s">
        <v>14</v>
      </c>
      <c r="S23" s="666">
        <f>F23</f>
        <v>100</v>
      </c>
      <c r="T23" s="665" t="s">
        <v>14</v>
      </c>
      <c r="U23" s="666">
        <f>H23</f>
        <v>100</v>
      </c>
      <c r="V23" s="665" t="s">
        <v>14</v>
      </c>
      <c r="W23" s="666">
        <f>J23</f>
        <v>100</v>
      </c>
      <c r="X23" s="1264"/>
      <c r="Y23" s="34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6"/>
      <c r="Q24" s="1262">
        <f t="shared" ref="Q24:Q34" si="11">B24</f>
        <v>111</v>
      </c>
      <c r="R24" s="665" t="s">
        <v>14</v>
      </c>
      <c r="S24" s="666">
        <f>F24</f>
        <v>100</v>
      </c>
      <c r="T24" s="665" t="s">
        <v>14</v>
      </c>
      <c r="U24" s="666">
        <f>H24</f>
        <v>100</v>
      </c>
      <c r="V24" s="665" t="s">
        <v>14</v>
      </c>
      <c r="W24" s="666">
        <f>J24</f>
        <v>100</v>
      </c>
      <c r="X24" s="1264"/>
      <c r="Y24" s="3406"/>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406"/>
      <c r="Q25" s="530">
        <f t="shared" si="11"/>
        <v>111</v>
      </c>
      <c r="R25" s="662" t="s">
        <v>14</v>
      </c>
      <c r="S25" s="663">
        <f>F25</f>
        <v>100</v>
      </c>
      <c r="T25" s="662" t="s">
        <v>14</v>
      </c>
      <c r="U25" s="663">
        <f>H25</f>
        <v>100</v>
      </c>
      <c r="V25" s="662" t="s">
        <v>14</v>
      </c>
      <c r="W25" s="663">
        <f>J25</f>
        <v>100</v>
      </c>
      <c r="X25" s="664"/>
      <c r="Y25" s="3406"/>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80"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0"/>
      <c r="Q27" s="531" t="str">
        <f t="shared" si="11"/>
        <v>成新率</v>
      </c>
      <c r="R27" s="667" t="s">
        <v>14</v>
      </c>
      <c r="S27" s="668" t="e">
        <f t="shared" si="12"/>
        <v>#N/A</v>
      </c>
      <c r="T27" s="667" t="s">
        <v>14</v>
      </c>
      <c r="U27" s="668" t="e">
        <f t="shared" si="13"/>
        <v>#N/A</v>
      </c>
      <c r="V27" s="667" t="s">
        <v>14</v>
      </c>
      <c r="W27" s="668" t="e">
        <f t="shared" si="14"/>
        <v>#N/A</v>
      </c>
      <c r="X27" s="669"/>
      <c r="Y27" s="3410"/>
      <c r="Z27" s="670"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0"/>
      <c r="Q28" s="1262" t="str">
        <f t="shared" si="11"/>
        <v>物业等级</v>
      </c>
      <c r="R28" s="665" t="s">
        <v>14</v>
      </c>
      <c r="S28" s="666">
        <f t="shared" si="12"/>
        <v>100</v>
      </c>
      <c r="T28" s="665" t="s">
        <v>14</v>
      </c>
      <c r="U28" s="666">
        <f t="shared" si="13"/>
        <v>100</v>
      </c>
      <c r="V28" s="665" t="s">
        <v>14</v>
      </c>
      <c r="W28" s="666">
        <f t="shared" si="14"/>
        <v>100</v>
      </c>
      <c r="X28" s="1264"/>
      <c r="Y28" s="341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10"/>
      <c r="Q29" s="1262" t="str">
        <f t="shared" si="11"/>
        <v>有无电梯</v>
      </c>
      <c r="R29" s="665" t="s">
        <v>14</v>
      </c>
      <c r="S29" s="666">
        <f t="shared" si="12"/>
        <v>100</v>
      </c>
      <c r="T29" s="665" t="s">
        <v>14</v>
      </c>
      <c r="U29" s="666">
        <f t="shared" si="13"/>
        <v>100</v>
      </c>
      <c r="V29" s="665" t="s">
        <v>14</v>
      </c>
      <c r="W29" s="666">
        <f t="shared" si="14"/>
        <v>100</v>
      </c>
      <c r="X29" s="1264"/>
      <c r="Y29" s="34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0"/>
      <c r="Q30" s="1262" t="str">
        <f t="shared" si="11"/>
        <v>建筑面积</v>
      </c>
      <c r="R30" s="665" t="s">
        <v>14</v>
      </c>
      <c r="S30" s="666" t="e">
        <f t="shared" si="12"/>
        <v>#N/A</v>
      </c>
      <c r="T30" s="665" t="s">
        <v>14</v>
      </c>
      <c r="U30" s="666" t="e">
        <f t="shared" si="13"/>
        <v>#N/A</v>
      </c>
      <c r="V30" s="665" t="s">
        <v>14</v>
      </c>
      <c r="W30" s="666" t="e">
        <f t="shared" si="14"/>
        <v>#N/A</v>
      </c>
      <c r="X30" s="1264"/>
      <c r="Y30" s="341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410"/>
      <c r="Q31" s="530" t="str">
        <f t="shared" si="11"/>
        <v>是否封闭</v>
      </c>
      <c r="R31" s="662" t="s">
        <v>14</v>
      </c>
      <c r="S31" s="663">
        <f t="shared" si="12"/>
        <v>100</v>
      </c>
      <c r="T31" s="662" t="s">
        <v>14</v>
      </c>
      <c r="U31" s="663">
        <f t="shared" si="13"/>
        <v>100</v>
      </c>
      <c r="V31" s="662" t="s">
        <v>14</v>
      </c>
      <c r="W31" s="663">
        <f t="shared" si="14"/>
        <v>100</v>
      </c>
      <c r="X31" s="664"/>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0" t="s">
        <v>1696</v>
      </c>
      <c r="Q32" s="1262">
        <f t="shared" si="11"/>
        <v>111</v>
      </c>
      <c r="R32" s="665" t="s">
        <v>14</v>
      </c>
      <c r="S32" s="666">
        <f t="shared" si="12"/>
        <v>100</v>
      </c>
      <c r="T32" s="665" t="s">
        <v>14</v>
      </c>
      <c r="U32" s="666">
        <f t="shared" si="13"/>
        <v>100</v>
      </c>
      <c r="V32" s="665" t="s">
        <v>14</v>
      </c>
      <c r="W32" s="666">
        <f t="shared" si="14"/>
        <v>100</v>
      </c>
      <c r="X32" s="1264"/>
      <c r="Y32" s="34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0"/>
      <c r="Q33" s="1262">
        <f t="shared" si="11"/>
        <v>111</v>
      </c>
      <c r="R33" s="665" t="s">
        <v>14</v>
      </c>
      <c r="S33" s="666">
        <f t="shared" si="12"/>
        <v>100</v>
      </c>
      <c r="T33" s="665" t="s">
        <v>14</v>
      </c>
      <c r="U33" s="666">
        <f t="shared" si="13"/>
        <v>100</v>
      </c>
      <c r="V33" s="665" t="s">
        <v>14</v>
      </c>
      <c r="W33" s="666">
        <f t="shared" si="14"/>
        <v>100</v>
      </c>
      <c r="X33" s="1264"/>
      <c r="Y33" s="341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10"/>
      <c r="Q34" s="1262">
        <f t="shared" si="11"/>
        <v>111</v>
      </c>
      <c r="R34" s="665" t="s">
        <v>14</v>
      </c>
      <c r="S34" s="666">
        <f t="shared" si="12"/>
        <v>100</v>
      </c>
      <c r="T34" s="665" t="s">
        <v>14</v>
      </c>
      <c r="U34" s="666">
        <f t="shared" si="13"/>
        <v>100</v>
      </c>
      <c r="V34" s="665" t="s">
        <v>14</v>
      </c>
      <c r="W34" s="666">
        <f t="shared" si="14"/>
        <v>100</v>
      </c>
      <c r="X34" s="1264"/>
      <c r="Y34" s="341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2"/>
      <c r="L35" s="2493"/>
      <c r="M35" s="2486"/>
      <c r="N35" s="2486"/>
      <c r="O35" s="2486"/>
      <c r="P35" s="3398" t="str">
        <f>A35</f>
        <v>成交单价（元/平方米）</v>
      </c>
      <c r="Q35" s="3398"/>
      <c r="R35" s="3399">
        <f>E35</f>
        <v>0</v>
      </c>
      <c r="S35" s="3399"/>
      <c r="T35" s="3399">
        <f>G35</f>
        <v>0</v>
      </c>
      <c r="U35" s="3399"/>
      <c r="V35" s="3399">
        <f>I35</f>
        <v>0</v>
      </c>
      <c r="W35" s="3399"/>
      <c r="X35" s="385"/>
      <c r="Y35" s="671"/>
      <c r="Z35" s="385"/>
      <c r="AA35" s="385"/>
      <c r="AB35" s="385"/>
      <c r="AC35" s="385"/>
    </row>
    <row r="36" spans="1:30" ht="15.75" thickBot="1">
      <c r="A36" s="423" t="s">
        <v>1793</v>
      </c>
      <c r="B36" s="424"/>
      <c r="C36" s="1081" t="e">
        <f>R37</f>
        <v>#DIV/0!</v>
      </c>
      <c r="D36" s="2140" t="s">
        <v>2135</v>
      </c>
      <c r="E36" s="1082" t="e">
        <f>R36</f>
        <v>#DIV/0!</v>
      </c>
      <c r="F36" s="2141"/>
      <c r="G36" s="1081" t="e">
        <f>T36</f>
        <v>#DIV/0!</v>
      </c>
      <c r="H36" s="2141"/>
      <c r="I36" s="1082" t="e">
        <f>V36</f>
        <v>#DIV/0!</v>
      </c>
      <c r="J36" s="2141"/>
      <c r="K36" s="2143">
        <f>F36+H36+J36</f>
        <v>0</v>
      </c>
      <c r="L36" s="2493"/>
      <c r="M36" s="2486"/>
      <c r="N36" s="2486"/>
      <c r="O36" s="2486"/>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3"/>
      <c r="L37" s="2493"/>
      <c r="M37" s="2486"/>
      <c r="N37" s="2486"/>
      <c r="O37" s="2486"/>
      <c r="P37" s="3445" t="str">
        <f>A37</f>
        <v>估价对象XX用房的比较价值（楼面单价，元/平方米）</v>
      </c>
      <c r="Q37" s="3446"/>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6" t="s">
        <v>1798</v>
      </c>
      <c r="B45" s="385"/>
      <c r="C45" s="657"/>
      <c r="D45" s="657"/>
      <c r="E45" s="657"/>
      <c r="F45" s="658"/>
      <c r="G45" s="658"/>
      <c r="H45" s="657"/>
      <c r="I45" s="657"/>
      <c r="J45" s="657"/>
      <c r="K45" s="659"/>
      <c r="L45" s="660"/>
      <c r="M45" s="657"/>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8" t="s">
        <v>1683</v>
      </c>
      <c r="Q8" s="3437"/>
      <c r="R8" s="662" t="s">
        <v>14</v>
      </c>
      <c r="S8" s="663">
        <f t="shared" si="0"/>
        <v>0</v>
      </c>
      <c r="T8" s="662" t="s">
        <v>14</v>
      </c>
      <c r="U8" s="663">
        <f t="shared" si="1"/>
        <v>0</v>
      </c>
      <c r="V8" s="662" t="s">
        <v>14</v>
      </c>
      <c r="W8" s="663">
        <f t="shared" si="2"/>
        <v>0</v>
      </c>
      <c r="X8" s="664"/>
      <c r="Y8" s="3438" t="s">
        <v>1683</v>
      </c>
      <c r="Z8" s="343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1"/>
      <c r="L10" s="2488"/>
      <c r="M10" s="2489"/>
      <c r="N10" s="2489"/>
      <c r="O10" s="2540"/>
      <c r="P10" s="3398"/>
      <c r="Q10" s="530" t="str">
        <f t="shared" si="6"/>
        <v>土地使用年限（年）</v>
      </c>
      <c r="R10" s="662" t="s">
        <v>14</v>
      </c>
      <c r="S10" s="663">
        <f t="shared" si="0"/>
        <v>111</v>
      </c>
      <c r="T10" s="662" t="s">
        <v>14</v>
      </c>
      <c r="U10" s="663">
        <f t="shared" si="1"/>
        <v>111</v>
      </c>
      <c r="V10" s="662" t="s">
        <v>14</v>
      </c>
      <c r="W10" s="663">
        <f t="shared" si="2"/>
        <v>111</v>
      </c>
      <c r="X10" s="664"/>
      <c r="Y10" s="327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98"/>
      <c r="Q11" s="530"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398"/>
      <c r="Q12" s="530" t="str">
        <f t="shared" si="6"/>
        <v>配建</v>
      </c>
      <c r="R12" s="662" t="s">
        <v>14</v>
      </c>
      <c r="S12" s="663">
        <f t="shared" si="0"/>
        <v>100</v>
      </c>
      <c r="T12" s="662" t="s">
        <v>14</v>
      </c>
      <c r="U12" s="663">
        <f t="shared" si="1"/>
        <v>100</v>
      </c>
      <c r="V12" s="662" t="s">
        <v>14</v>
      </c>
      <c r="W12" s="663">
        <f t="shared" si="2"/>
        <v>100</v>
      </c>
      <c r="X12" s="664"/>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05" t="s">
        <v>1691</v>
      </c>
      <c r="Q15" s="1262" t="str">
        <f t="shared" si="6"/>
        <v>居住社区成熟度</v>
      </c>
      <c r="R15" s="665" t="s">
        <v>14</v>
      </c>
      <c r="S15" s="666">
        <f t="shared" si="0"/>
        <v>100</v>
      </c>
      <c r="T15" s="665" t="s">
        <v>14</v>
      </c>
      <c r="U15" s="666">
        <f t="shared" si="1"/>
        <v>100</v>
      </c>
      <c r="V15" s="665" t="s">
        <v>14</v>
      </c>
      <c r="W15" s="666">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406"/>
      <c r="Q16" s="1262"/>
      <c r="R16" s="665"/>
      <c r="S16" s="666"/>
      <c r="T16" s="665"/>
      <c r="U16" s="666"/>
      <c r="V16" s="665"/>
      <c r="W16" s="666"/>
      <c r="X16" s="1264"/>
      <c r="Y16" s="3406"/>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06"/>
      <c r="Q17" s="1262" t="str">
        <f>B17</f>
        <v>商业繁华度</v>
      </c>
      <c r="R17" s="665" t="s">
        <v>14</v>
      </c>
      <c r="S17" s="666">
        <f>F17</f>
        <v>100</v>
      </c>
      <c r="T17" s="665" t="s">
        <v>14</v>
      </c>
      <c r="U17" s="666">
        <f>H17</f>
        <v>100</v>
      </c>
      <c r="V17" s="665" t="s">
        <v>14</v>
      </c>
      <c r="W17" s="666">
        <f>J17</f>
        <v>100</v>
      </c>
      <c r="X17" s="1264"/>
      <c r="Y17" s="340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406"/>
      <c r="Q18" s="1262"/>
      <c r="R18" s="665"/>
      <c r="S18" s="666"/>
      <c r="T18" s="665"/>
      <c r="U18" s="666"/>
      <c r="V18" s="665"/>
      <c r="W18" s="666"/>
      <c r="X18" s="1264"/>
      <c r="Y18" s="3406"/>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06"/>
      <c r="Q19" s="1262" t="str">
        <f>B19</f>
        <v>办公集聚程度</v>
      </c>
      <c r="R19" s="665" t="s">
        <v>14</v>
      </c>
      <c r="S19" s="666">
        <f>F19</f>
        <v>100</v>
      </c>
      <c r="T19" s="665" t="s">
        <v>14</v>
      </c>
      <c r="U19" s="666">
        <f>H19</f>
        <v>100</v>
      </c>
      <c r="V19" s="665" t="s">
        <v>14</v>
      </c>
      <c r="W19" s="666">
        <f>J19</f>
        <v>100</v>
      </c>
      <c r="X19" s="1264"/>
      <c r="Y19" s="340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406"/>
      <c r="Q20" s="1262"/>
      <c r="R20" s="665"/>
      <c r="S20" s="666"/>
      <c r="T20" s="665"/>
      <c r="U20" s="666"/>
      <c r="V20" s="665"/>
      <c r="W20" s="666"/>
      <c r="X20" s="1264"/>
      <c r="Y20" s="340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06"/>
      <c r="Q21" s="1262" t="str">
        <f>B21</f>
        <v>交通便捷度</v>
      </c>
      <c r="R21" s="665" t="s">
        <v>14</v>
      </c>
      <c r="S21" s="666">
        <f>F21</f>
        <v>100</v>
      </c>
      <c r="T21" s="665" t="s">
        <v>14</v>
      </c>
      <c r="U21" s="666">
        <f>H21</f>
        <v>100</v>
      </c>
      <c r="V21" s="665" t="s">
        <v>14</v>
      </c>
      <c r="W21" s="666">
        <f>J21</f>
        <v>100</v>
      </c>
      <c r="X21" s="1264"/>
      <c r="Y21" s="3406"/>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406"/>
      <c r="Q22" s="1262"/>
      <c r="R22" s="665"/>
      <c r="S22" s="666"/>
      <c r="T22" s="665"/>
      <c r="U22" s="666"/>
      <c r="V22" s="665"/>
      <c r="W22" s="666"/>
      <c r="X22" s="1264"/>
      <c r="Y22" s="340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06"/>
      <c r="Q23" s="1262" t="str">
        <f t="shared" ref="Q23:Q37" si="8">B23</f>
        <v>区域土地利用方向</v>
      </c>
      <c r="R23" s="665" t="s">
        <v>14</v>
      </c>
      <c r="S23" s="666">
        <f>F23</f>
        <v>100</v>
      </c>
      <c r="T23" s="665" t="s">
        <v>14</v>
      </c>
      <c r="U23" s="666">
        <f>H23</f>
        <v>100</v>
      </c>
      <c r="V23" s="665" t="s">
        <v>14</v>
      </c>
      <c r="W23" s="666">
        <f>J23</f>
        <v>100</v>
      </c>
      <c r="X23" s="1264"/>
      <c r="Y23" s="340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6"/>
      <c r="L24" s="2491"/>
      <c r="M24" s="2486"/>
      <c r="N24" s="2486"/>
      <c r="O24" s="2541"/>
      <c r="P24" s="3406"/>
      <c r="Q24" s="1262"/>
      <c r="R24" s="665"/>
      <c r="S24" s="666"/>
      <c r="T24" s="665"/>
      <c r="U24" s="666"/>
      <c r="V24" s="665"/>
      <c r="W24" s="666"/>
      <c r="X24" s="1264"/>
      <c r="Y24" s="3406"/>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06"/>
      <c r="Q25" s="1262" t="str">
        <f t="shared" si="8"/>
        <v>自然及人文环境状况</v>
      </c>
      <c r="R25" s="665" t="s">
        <v>14</v>
      </c>
      <c r="S25" s="666">
        <f>F25</f>
        <v>100</v>
      </c>
      <c r="T25" s="665" t="s">
        <v>14</v>
      </c>
      <c r="U25" s="666">
        <f>H25</f>
        <v>100</v>
      </c>
      <c r="V25" s="665" t="s">
        <v>14</v>
      </c>
      <c r="W25" s="666">
        <f>J25</f>
        <v>100</v>
      </c>
      <c r="X25" s="1264"/>
      <c r="Y25" s="340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406"/>
      <c r="Q26" s="1262"/>
      <c r="R26" s="665"/>
      <c r="S26" s="666"/>
      <c r="T26" s="665"/>
      <c r="U26" s="666"/>
      <c r="V26" s="665"/>
      <c r="W26" s="666"/>
      <c r="X26" s="1264"/>
      <c r="Y26" s="3406"/>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406"/>
      <c r="Q27" s="530" t="str">
        <f t="shared" si="8"/>
        <v>公共配套设施</v>
      </c>
      <c r="R27" s="662" t="s">
        <v>14</v>
      </c>
      <c r="S27" s="663">
        <f>F27</f>
        <v>100</v>
      </c>
      <c r="T27" s="662" t="s">
        <v>14</v>
      </c>
      <c r="U27" s="663">
        <f>H27</f>
        <v>100</v>
      </c>
      <c r="V27" s="662" t="s">
        <v>14</v>
      </c>
      <c r="W27" s="663">
        <f>J27</f>
        <v>100</v>
      </c>
      <c r="X27" s="664"/>
      <c r="Y27" s="340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406"/>
      <c r="Q28" s="530"/>
      <c r="R28" s="662"/>
      <c r="S28" s="663"/>
      <c r="T28" s="662"/>
      <c r="U28" s="663"/>
      <c r="V28" s="662"/>
      <c r="W28" s="663"/>
      <c r="X28" s="664"/>
      <c r="Y28" s="3406"/>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406"/>
      <c r="Q29" s="530" t="str">
        <f t="shared" ref="Q29" si="9">B29</f>
        <v>基础设施水平</v>
      </c>
      <c r="R29" s="662" t="s">
        <v>14</v>
      </c>
      <c r="S29" s="663">
        <f>F29</f>
        <v>100</v>
      </c>
      <c r="T29" s="662" t="s">
        <v>14</v>
      </c>
      <c r="U29" s="663">
        <f>H29</f>
        <v>100</v>
      </c>
      <c r="V29" s="662" t="s">
        <v>14</v>
      </c>
      <c r="W29" s="663">
        <f>J29</f>
        <v>100</v>
      </c>
      <c r="X29" s="664"/>
      <c r="Y29" s="340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406"/>
      <c r="Q30" s="530"/>
      <c r="R30" s="662"/>
      <c r="S30" s="663"/>
      <c r="T30" s="662"/>
      <c r="U30" s="663"/>
      <c r="V30" s="662"/>
      <c r="W30" s="663"/>
      <c r="X30" s="664"/>
      <c r="Y30" s="340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06"/>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40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06"/>
      <c r="Q32" s="1262" t="str">
        <f t="shared" si="8"/>
        <v>毗邻道路的类型与等级</v>
      </c>
      <c r="R32" s="665" t="s">
        <v>14</v>
      </c>
      <c r="S32" s="666">
        <f t="shared" si="10"/>
        <v>100</v>
      </c>
      <c r="T32" s="665" t="s">
        <v>14</v>
      </c>
      <c r="U32" s="666">
        <f t="shared" si="11"/>
        <v>100</v>
      </c>
      <c r="V32" s="665" t="s">
        <v>14</v>
      </c>
      <c r="W32" s="666">
        <f t="shared" si="12"/>
        <v>100</v>
      </c>
      <c r="X32" s="1264"/>
      <c r="Y32" s="340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06"/>
      <c r="Q33" s="1262"/>
      <c r="R33" s="665"/>
      <c r="S33" s="666"/>
      <c r="T33" s="665"/>
      <c r="U33" s="666"/>
      <c r="V33" s="665"/>
      <c r="W33" s="666"/>
      <c r="X33" s="1264"/>
      <c r="Y33" s="340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06"/>
      <c r="Q34" s="1262" t="str">
        <f t="shared" si="8"/>
        <v>土地级别</v>
      </c>
      <c r="R34" s="665" t="s">
        <v>14</v>
      </c>
      <c r="S34" s="666">
        <f t="shared" si="10"/>
        <v>100</v>
      </c>
      <c r="T34" s="665" t="s">
        <v>14</v>
      </c>
      <c r="U34" s="666">
        <f t="shared" si="11"/>
        <v>100</v>
      </c>
      <c r="V34" s="665" t="s">
        <v>14</v>
      </c>
      <c r="W34" s="666">
        <f t="shared" si="12"/>
        <v>100</v>
      </c>
      <c r="X34" s="1264"/>
      <c r="Y34" s="340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06"/>
      <c r="Q35" s="1262">
        <f t="shared" si="8"/>
        <v>111</v>
      </c>
      <c r="R35" s="665" t="s">
        <v>14</v>
      </c>
      <c r="S35" s="666">
        <f t="shared" si="10"/>
        <v>100</v>
      </c>
      <c r="T35" s="665" t="s">
        <v>14</v>
      </c>
      <c r="U35" s="666">
        <f t="shared" si="11"/>
        <v>100</v>
      </c>
      <c r="V35" s="665" t="s">
        <v>14</v>
      </c>
      <c r="W35" s="666">
        <f t="shared" si="12"/>
        <v>100</v>
      </c>
      <c r="X35" s="1264"/>
      <c r="Y35" s="340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80" t="s">
        <v>1696</v>
      </c>
      <c r="Q36" s="1262">
        <f t="shared" si="8"/>
        <v>111</v>
      </c>
      <c r="R36" s="665" t="s">
        <v>14</v>
      </c>
      <c r="S36" s="666">
        <f t="shared" si="10"/>
        <v>100</v>
      </c>
      <c r="T36" s="665" t="s">
        <v>14</v>
      </c>
      <c r="U36" s="666">
        <f t="shared" si="11"/>
        <v>100</v>
      </c>
      <c r="V36" s="665" t="s">
        <v>14</v>
      </c>
      <c r="W36" s="666">
        <f t="shared" si="12"/>
        <v>100</v>
      </c>
      <c r="X36" s="1264"/>
      <c r="Y36" s="341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10"/>
      <c r="Q37" s="1262">
        <f t="shared" si="8"/>
        <v>111</v>
      </c>
      <c r="R37" s="667" t="s">
        <v>14</v>
      </c>
      <c r="S37" s="668">
        <f t="shared" si="10"/>
        <v>100</v>
      </c>
      <c r="T37" s="667" t="s">
        <v>14</v>
      </c>
      <c r="U37" s="668">
        <f t="shared" si="11"/>
        <v>100</v>
      </c>
      <c r="V37" s="667" t="s">
        <v>14</v>
      </c>
      <c r="W37" s="668">
        <f t="shared" si="12"/>
        <v>100</v>
      </c>
      <c r="X37" s="669"/>
      <c r="Y37" s="3410"/>
      <c r="Z37" s="670">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10"/>
      <c r="Q38" s="1262" t="str">
        <f>B38</f>
        <v>宗地面积</v>
      </c>
      <c r="R38" s="665" t="s">
        <v>14</v>
      </c>
      <c r="S38" s="666" t="e">
        <f t="shared" si="10"/>
        <v>#N/A</v>
      </c>
      <c r="T38" s="665" t="s">
        <v>14</v>
      </c>
      <c r="U38" s="666" t="e">
        <f t="shared" si="11"/>
        <v>#N/A</v>
      </c>
      <c r="V38" s="665" t="s">
        <v>14</v>
      </c>
      <c r="W38" s="666" t="e">
        <f t="shared" si="12"/>
        <v>#N/A</v>
      </c>
      <c r="X38" s="1264"/>
      <c r="Y38" s="341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10"/>
      <c r="Q39" s="1262" t="str">
        <f t="shared" ref="Q39:Q45" si="14">B39</f>
        <v>宗地形状</v>
      </c>
      <c r="R39" s="665" t="s">
        <v>14</v>
      </c>
      <c r="S39" s="666">
        <f t="shared" si="10"/>
        <v>100</v>
      </c>
      <c r="T39" s="665" t="s">
        <v>14</v>
      </c>
      <c r="U39" s="666">
        <f t="shared" si="11"/>
        <v>100</v>
      </c>
      <c r="V39" s="665" t="s">
        <v>14</v>
      </c>
      <c r="W39" s="666">
        <f t="shared" si="12"/>
        <v>100</v>
      </c>
      <c r="X39" s="1264"/>
      <c r="Y39" s="341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10"/>
      <c r="Q40" s="1262" t="str">
        <f t="shared" si="14"/>
        <v>临街宽度及深度</v>
      </c>
      <c r="R40" s="665" t="s">
        <v>14</v>
      </c>
      <c r="S40" s="666">
        <f t="shared" si="10"/>
        <v>100</v>
      </c>
      <c r="T40" s="665" t="s">
        <v>14</v>
      </c>
      <c r="U40" s="666">
        <f t="shared" si="11"/>
        <v>100</v>
      </c>
      <c r="V40" s="665" t="s">
        <v>14</v>
      </c>
      <c r="W40" s="666">
        <f t="shared" si="12"/>
        <v>100</v>
      </c>
      <c r="X40" s="1264"/>
      <c r="Y40" s="341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10"/>
      <c r="Q41" s="1262" t="str">
        <f t="shared" si="14"/>
        <v>宗地开发程度</v>
      </c>
      <c r="R41" s="662" t="s">
        <v>14</v>
      </c>
      <c r="S41" s="663">
        <f t="shared" si="10"/>
        <v>100</v>
      </c>
      <c r="T41" s="662" t="s">
        <v>14</v>
      </c>
      <c r="U41" s="663">
        <f t="shared" si="11"/>
        <v>100</v>
      </c>
      <c r="V41" s="662" t="s">
        <v>14</v>
      </c>
      <c r="W41" s="663">
        <f t="shared" si="12"/>
        <v>100</v>
      </c>
      <c r="X41" s="664"/>
      <c r="Y41" s="34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10" t="s">
        <v>1696</v>
      </c>
      <c r="Q42" s="1262" t="str">
        <f t="shared" si="14"/>
        <v>工程地质条件</v>
      </c>
      <c r="R42" s="665" t="s">
        <v>14</v>
      </c>
      <c r="S42" s="666">
        <f t="shared" si="10"/>
        <v>100</v>
      </c>
      <c r="T42" s="665" t="s">
        <v>14</v>
      </c>
      <c r="U42" s="666">
        <f t="shared" si="11"/>
        <v>100</v>
      </c>
      <c r="V42" s="665" t="s">
        <v>14</v>
      </c>
      <c r="W42" s="666">
        <f t="shared" si="12"/>
        <v>100</v>
      </c>
      <c r="X42" s="1264"/>
      <c r="Y42" s="341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10"/>
      <c r="Q43" s="1262">
        <f t="shared" si="14"/>
        <v>111</v>
      </c>
      <c r="R43" s="665" t="s">
        <v>14</v>
      </c>
      <c r="S43" s="666">
        <f t="shared" si="10"/>
        <v>100</v>
      </c>
      <c r="T43" s="665" t="s">
        <v>14</v>
      </c>
      <c r="U43" s="666">
        <f t="shared" si="11"/>
        <v>100</v>
      </c>
      <c r="V43" s="665" t="s">
        <v>14</v>
      </c>
      <c r="W43" s="666">
        <f t="shared" si="12"/>
        <v>100</v>
      </c>
      <c r="X43" s="1264"/>
      <c r="Y43" s="341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10"/>
      <c r="Q44" s="1262">
        <f t="shared" si="14"/>
        <v>111</v>
      </c>
      <c r="R44" s="665" t="s">
        <v>14</v>
      </c>
      <c r="S44" s="666">
        <f t="shared" si="10"/>
        <v>100</v>
      </c>
      <c r="T44" s="665" t="s">
        <v>14</v>
      </c>
      <c r="U44" s="666">
        <f t="shared" si="11"/>
        <v>100</v>
      </c>
      <c r="V44" s="665" t="s">
        <v>14</v>
      </c>
      <c r="W44" s="666">
        <f t="shared" si="12"/>
        <v>100</v>
      </c>
      <c r="X44" s="1264"/>
      <c r="Y44" s="3410"/>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10"/>
      <c r="Q45" s="1262">
        <f t="shared" si="14"/>
        <v>111</v>
      </c>
      <c r="R45" s="667" t="s">
        <v>14</v>
      </c>
      <c r="S45" s="668">
        <f t="shared" si="10"/>
        <v>100</v>
      </c>
      <c r="T45" s="667" t="s">
        <v>14</v>
      </c>
      <c r="U45" s="668">
        <f t="shared" si="11"/>
        <v>100</v>
      </c>
      <c r="V45" s="667" t="s">
        <v>14</v>
      </c>
      <c r="W45" s="668">
        <f t="shared" si="12"/>
        <v>100</v>
      </c>
      <c r="X45" s="669"/>
      <c r="Y45" s="3410"/>
      <c r="Z45" s="670">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2"/>
      <c r="L46" s="2493"/>
      <c r="M46" s="2486"/>
      <c r="N46" s="2486"/>
      <c r="O46" s="2486"/>
      <c r="P46" s="3398" t="str">
        <f>A46</f>
        <v>成交单价</v>
      </c>
      <c r="Q46" s="3398"/>
      <c r="R46" s="3399">
        <f>E46</f>
        <v>0</v>
      </c>
      <c r="S46" s="3399"/>
      <c r="T46" s="3399">
        <f>G46</f>
        <v>0</v>
      </c>
      <c r="U46" s="3399"/>
      <c r="V46" s="3399">
        <f>I46</f>
        <v>0</v>
      </c>
      <c r="W46" s="3399"/>
      <c r="X46" s="385"/>
      <c r="Y46" s="671"/>
      <c r="Z46" s="385"/>
      <c r="AA46" s="385"/>
      <c r="AB46" s="385"/>
      <c r="AC46" s="385"/>
    </row>
    <row r="47" spans="1:29" ht="15.75" thickBot="1">
      <c r="A47" s="423" t="s">
        <v>1793</v>
      </c>
      <c r="B47" s="602"/>
      <c r="C47" s="426" t="e">
        <f>R48</f>
        <v>#DIV/0!</v>
      </c>
      <c r="D47" s="2140" t="s">
        <v>2135</v>
      </c>
      <c r="E47" s="426" t="e">
        <f>R47</f>
        <v>#DIV/0!</v>
      </c>
      <c r="F47" s="2141"/>
      <c r="G47" s="425" t="e">
        <f>T47</f>
        <v>#DIV/0!</v>
      </c>
      <c r="H47" s="2141"/>
      <c r="I47" s="426" t="e">
        <f>V47</f>
        <v>#DIV/0!</v>
      </c>
      <c r="J47" s="2141"/>
      <c r="K47" s="2143">
        <f>F47+H47+J47</f>
        <v>0</v>
      </c>
      <c r="L47" s="2493"/>
      <c r="M47" s="2486"/>
      <c r="N47" s="2486"/>
      <c r="O47" s="2486"/>
      <c r="P47" s="3398" t="str">
        <f>A47</f>
        <v>比较价值（元/平方米）</v>
      </c>
      <c r="Q47" s="3398"/>
      <c r="R47" s="3482" t="e">
        <f>ROUND(PRODUCT(R46,AA7:AA45),0)</f>
        <v>#DIV/0!</v>
      </c>
      <c r="S47" s="3482"/>
      <c r="T47" s="3482" t="e">
        <f>ROUND(PRODUCT(T46,AB7:AB45),0)</f>
        <v>#DIV/0!</v>
      </c>
      <c r="U47" s="3482"/>
      <c r="V47" s="3482" t="e">
        <f>ROUND(PRODUCT(V46,AC7:AC45),0)</f>
        <v>#DIV/0!</v>
      </c>
      <c r="W47" s="3482"/>
      <c r="X47" s="385"/>
      <c r="Y47" s="385"/>
      <c r="Z47" s="385"/>
      <c r="AA47" s="385"/>
      <c r="AB47" s="385"/>
      <c r="AC47" s="385"/>
    </row>
    <row r="48" spans="1:29" ht="15.75" thickBot="1">
      <c r="A48" s="427" t="s">
        <v>1880</v>
      </c>
      <c r="B48" s="428"/>
      <c r="C48" s="429" t="e">
        <f>R48</f>
        <v>#DIV/0!</v>
      </c>
      <c r="D48" s="429"/>
      <c r="E48" s="429"/>
      <c r="F48" s="429"/>
      <c r="G48" s="429"/>
      <c r="H48" s="429"/>
      <c r="I48" s="429"/>
      <c r="J48" s="429"/>
      <c r="K48" s="673"/>
      <c r="L48" s="2493"/>
      <c r="M48" s="2486"/>
      <c r="N48" s="2486"/>
      <c r="O48" s="2486"/>
      <c r="P48" s="3445" t="str">
        <f>A48</f>
        <v>估价对象XX用房的比较价值（楼面单价，元/平方米）</v>
      </c>
      <c r="Q48" s="3446"/>
      <c r="R48" s="3483" t="e">
        <f>ROUND(IF(D47="简单平均",AVERAGE(R47:W47),R47*F47+T47*H47+V47*J47),0)</f>
        <v>#DIV/0!</v>
      </c>
      <c r="S48" s="3483"/>
      <c r="T48" s="3483"/>
      <c r="U48" s="3483"/>
      <c r="V48" s="3483"/>
      <c r="W48" s="348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5"/>
      <c r="D54" s="653"/>
      <c r="E54" s="653"/>
      <c r="F54" s="653"/>
      <c r="G54" s="653"/>
      <c r="H54" s="653"/>
      <c r="I54" s="653"/>
      <c r="J54" s="653"/>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5" t="s">
        <v>1886</v>
      </c>
      <c r="G55" s="3415" t="s">
        <v>1887</v>
      </c>
      <c r="H55" s="3484"/>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8">
        <v>1</v>
      </c>
      <c r="E56" s="609">
        <f>'数据-汇总表'!E8+'数据-汇总表'!E9</f>
        <v>454.18999999999994</v>
      </c>
      <c r="F56" s="831" t="e">
        <f t="shared" ref="F56:F64" si="15">ROUND(B56*E56/10000,0)</f>
        <v>#DIV/0!</v>
      </c>
      <c r="G56" s="3397"/>
      <c r="H56" s="3398"/>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89">
        <v>0.25</v>
      </c>
      <c r="E57" s="613"/>
      <c r="F57" s="831" t="e">
        <f t="shared" si="15"/>
        <v>#DIV/0!</v>
      </c>
      <c r="G57" s="2749" t="s">
        <v>1892</v>
      </c>
      <c r="H57" s="832">
        <f>项目基本情况!B37</f>
        <v>0</v>
      </c>
      <c r="I57" s="836">
        <f>SUMIF(修正!A59:A70,H57,修正!B59:B70)</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89">
        <v>0.25</v>
      </c>
      <c r="E58" s="613"/>
      <c r="F58" s="831" t="e">
        <f t="shared" si="15"/>
        <v>#DIV/0!</v>
      </c>
      <c r="G58" s="2750"/>
      <c r="H58" s="832">
        <f>项目基本情况!B37</f>
        <v>0</v>
      </c>
      <c r="I58" s="836">
        <f>SUMIF(修正!A59:A70,H58,修正!C59:C70)</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89">
        <v>0.25</v>
      </c>
      <c r="E59" s="613"/>
      <c r="F59" s="831" t="e">
        <f t="shared" si="15"/>
        <v>#DIV/0!</v>
      </c>
      <c r="G59" s="2750"/>
      <c r="H59" s="832">
        <f>项目基本情况!B37</f>
        <v>0</v>
      </c>
      <c r="I59" s="836">
        <f>SUMIF(修正!A59:A70,H59,修正!D59:D70)</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0.2</v>
      </c>
      <c r="D60" s="889">
        <v>0.25</v>
      </c>
      <c r="E60" s="209">
        <f>'数据-汇总表'!E11</f>
        <v>227.1</v>
      </c>
      <c r="F60" s="831" t="e">
        <f t="shared" si="15"/>
        <v>#DIV/0!</v>
      </c>
      <c r="G60" s="1834" t="s">
        <v>1896</v>
      </c>
      <c r="H60" s="832" t="str">
        <f>项目基本情况!C37</f>
        <v>九级</v>
      </c>
      <c r="I60" s="836">
        <f>SUMIF(修正!A59:A70,H60,修正!E59:E70)</f>
        <v>0.2</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0.2</v>
      </c>
      <c r="D61" s="889">
        <v>0.25</v>
      </c>
      <c r="E61" s="209">
        <f>'数据-汇总表'!E12</f>
        <v>0</v>
      </c>
      <c r="F61" s="831" t="e">
        <f t="shared" si="15"/>
        <v>#DIV/0!</v>
      </c>
      <c r="G61" s="837" t="s">
        <v>1898</v>
      </c>
      <c r="H61" s="832" t="str">
        <f>IF(G61="商业",项目基本情况!B37,IF(G61="办公",项目基本情况!C37,IF(G61="住宅",项目基本情况!D37,项目基本情况!E37)))</f>
        <v>九级</v>
      </c>
      <c r="I61" s="836">
        <f>SUMIF(修正!A59:A70,H61,修正!F59:F70)</f>
        <v>0.2</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89">
        <v>0.25</v>
      </c>
      <c r="E63" s="209">
        <f>'数据-汇总表'!E14</f>
        <v>0</v>
      </c>
      <c r="F63" s="831" t="e">
        <f t="shared" si="15"/>
        <v>#DIV/0!</v>
      </c>
      <c r="G63" s="1834" t="s">
        <v>1892</v>
      </c>
      <c r="H63" s="832">
        <f>项目基本情况!B37</f>
        <v>0</v>
      </c>
      <c r="I63" s="836">
        <f>SUMIF(修正!A59:A70,H63,修正!G59:G70)</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0.1</v>
      </c>
      <c r="D64" s="889">
        <v>0.25</v>
      </c>
      <c r="E64" s="209">
        <f>'数据-汇总表'!E15</f>
        <v>0</v>
      </c>
      <c r="F64" s="831" t="e">
        <f t="shared" si="15"/>
        <v>#DIV/0!</v>
      </c>
      <c r="G64" s="1835" t="s">
        <v>1896</v>
      </c>
      <c r="H64" s="842" t="str">
        <f>项目基本情况!C37</f>
        <v>九级</v>
      </c>
      <c r="I64" s="838">
        <f>SUMIF(修正!A59:A70,H64,修正!G59:G70)</f>
        <v>0.1</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681.29</v>
      </c>
      <c r="F65" s="616" t="e">
        <f>IF(B46="楼面地价",SUM(F56:F64),ROUND(C48*E65/10000,0))</f>
        <v>#DIV/0!</v>
      </c>
      <c r="G65" s="675"/>
      <c r="H65" s="675"/>
      <c r="I65" s="675"/>
      <c r="J65" s="675"/>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4"/>
      <c r="C66" s="655"/>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4"/>
      <c r="C67" s="654" t="str">
        <f>YEAR(C7)&amp;"-"&amp;MONTH(C7)&amp;"-1"</f>
        <v>2025-11-1</v>
      </c>
      <c r="D67" s="654">
        <f>EDATE(C67,-3)</f>
        <v>45870</v>
      </c>
      <c r="E67" s="654">
        <f>EDATE(D67,-3)</f>
        <v>45778</v>
      </c>
      <c r="F67" s="654">
        <f t="shared" ref="F67:O67" si="18">EDATE(E67,-3)</f>
        <v>45689</v>
      </c>
      <c r="G67" s="654">
        <f t="shared" si="18"/>
        <v>45597</v>
      </c>
      <c r="H67" s="654">
        <f t="shared" si="18"/>
        <v>45505</v>
      </c>
      <c r="I67" s="654">
        <f t="shared" si="18"/>
        <v>45413</v>
      </c>
      <c r="J67" s="654">
        <f t="shared" si="18"/>
        <v>45323</v>
      </c>
      <c r="K67" s="654">
        <f t="shared" si="18"/>
        <v>45231</v>
      </c>
      <c r="L67" s="654">
        <f t="shared" si="18"/>
        <v>45139</v>
      </c>
      <c r="M67" s="654">
        <f t="shared" si="18"/>
        <v>45047</v>
      </c>
      <c r="N67" s="654">
        <f t="shared" si="18"/>
        <v>44958</v>
      </c>
      <c r="O67" s="654">
        <f t="shared" si="18"/>
        <v>44866</v>
      </c>
      <c r="P67" s="2486"/>
      <c r="Q67" s="2486"/>
      <c r="R67" s="2486"/>
      <c r="S67" s="2486"/>
      <c r="T67" s="2486"/>
      <c r="U67" s="2486"/>
      <c r="V67" s="2486"/>
      <c r="W67" s="2486"/>
      <c r="X67" s="2486"/>
      <c r="Y67" s="2486"/>
      <c r="Z67" s="2486"/>
      <c r="AA67" s="2486"/>
      <c r="AB67" s="2486"/>
      <c r="AC67" s="2486"/>
    </row>
    <row r="68" spans="1:29" ht="21.75" thickBot="1">
      <c r="A68" s="656" t="s">
        <v>1798</v>
      </c>
      <c r="B68" s="385"/>
      <c r="C68" s="657"/>
      <c r="D68" s="657"/>
      <c r="E68" s="657"/>
      <c r="F68" s="658"/>
      <c r="G68" s="658"/>
      <c r="H68" s="657"/>
      <c r="I68" s="657"/>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85" t="s">
        <v>1919</v>
      </c>
      <c r="D6" s="3486"/>
      <c r="E6" s="3487" t="s">
        <v>1919</v>
      </c>
      <c r="F6" s="3488"/>
      <c r="G6" s="3485" t="s">
        <v>1919</v>
      </c>
      <c r="H6" s="3486"/>
      <c r="I6" s="3485" t="s">
        <v>1919</v>
      </c>
      <c r="J6" s="3486"/>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8" t="s">
        <v>1683</v>
      </c>
      <c r="Q8" s="3437"/>
      <c r="R8" s="662" t="s">
        <v>14</v>
      </c>
      <c r="S8" s="663">
        <f t="shared" si="0"/>
        <v>0</v>
      </c>
      <c r="T8" s="662" t="s">
        <v>14</v>
      </c>
      <c r="U8" s="663">
        <f t="shared" si="1"/>
        <v>0</v>
      </c>
      <c r="V8" s="662" t="s">
        <v>14</v>
      </c>
      <c r="W8" s="663">
        <f t="shared" si="2"/>
        <v>0</v>
      </c>
      <c r="X8" s="664"/>
      <c r="Y8" s="3438" t="s">
        <v>1683</v>
      </c>
      <c r="Z8" s="343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1"/>
      <c r="L10" s="2488"/>
      <c r="M10" s="2489"/>
      <c r="N10" s="2489"/>
      <c r="O10" s="2540"/>
      <c r="P10" s="3398"/>
      <c r="Q10" s="530" t="str">
        <f t="shared" si="6"/>
        <v>土地使用年限（年）</v>
      </c>
      <c r="R10" s="662" t="s">
        <v>14</v>
      </c>
      <c r="S10" s="663">
        <f t="shared" si="0"/>
        <v>111</v>
      </c>
      <c r="T10" s="662" t="s">
        <v>14</v>
      </c>
      <c r="U10" s="663">
        <f t="shared" si="1"/>
        <v>111</v>
      </c>
      <c r="V10" s="662" t="s">
        <v>14</v>
      </c>
      <c r="W10" s="663">
        <f t="shared" si="2"/>
        <v>111</v>
      </c>
      <c r="X10" s="664"/>
      <c r="Y10" s="327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98"/>
      <c r="Q11" s="530"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05" t="s">
        <v>1691</v>
      </c>
      <c r="Q15" s="1262" t="str">
        <f t="shared" si="6"/>
        <v>产业集聚程度</v>
      </c>
      <c r="R15" s="665" t="s">
        <v>14</v>
      </c>
      <c r="S15" s="666">
        <f t="shared" si="0"/>
        <v>100</v>
      </c>
      <c r="T15" s="665" t="s">
        <v>14</v>
      </c>
      <c r="U15" s="666">
        <f t="shared" si="1"/>
        <v>100</v>
      </c>
      <c r="V15" s="665" t="s">
        <v>14</v>
      </c>
      <c r="W15" s="666">
        <f t="shared" si="2"/>
        <v>100</v>
      </c>
      <c r="X15" s="1264"/>
      <c r="Y15" s="3405"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406"/>
      <c r="Q16" s="1262"/>
      <c r="R16" s="665"/>
      <c r="S16" s="666"/>
      <c r="T16" s="665"/>
      <c r="U16" s="666"/>
      <c r="V16" s="665"/>
      <c r="W16" s="666"/>
      <c r="X16" s="1264"/>
      <c r="Y16" s="3406"/>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06"/>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406"/>
      <c r="Q18" s="1262"/>
      <c r="R18" s="665"/>
      <c r="S18" s="666"/>
      <c r="T18" s="665"/>
      <c r="U18" s="666"/>
      <c r="V18" s="665"/>
      <c r="W18" s="666"/>
      <c r="X18" s="1264"/>
      <c r="Y18" s="3406"/>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06"/>
      <c r="Q19" s="1262" t="str">
        <f t="shared" ref="Q19:Q33" si="8">B19</f>
        <v>区域土地利用方向</v>
      </c>
      <c r="R19" s="665" t="s">
        <v>14</v>
      </c>
      <c r="S19" s="666">
        <f>F19</f>
        <v>100</v>
      </c>
      <c r="T19" s="665" t="s">
        <v>14</v>
      </c>
      <c r="U19" s="666">
        <f>H19</f>
        <v>100</v>
      </c>
      <c r="V19" s="665" t="s">
        <v>14</v>
      </c>
      <c r="W19" s="666">
        <f>J19</f>
        <v>100</v>
      </c>
      <c r="X19" s="1264"/>
      <c r="Y19" s="340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6"/>
      <c r="L20" s="2491"/>
      <c r="M20" s="2486"/>
      <c r="N20" s="2486"/>
      <c r="O20" s="2541"/>
      <c r="P20" s="3406"/>
      <c r="Q20" s="1262"/>
      <c r="R20" s="665"/>
      <c r="S20" s="666"/>
      <c r="T20" s="665"/>
      <c r="U20" s="666"/>
      <c r="V20" s="665"/>
      <c r="W20" s="666"/>
      <c r="X20" s="1264"/>
      <c r="Y20" s="3406"/>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06"/>
      <c r="Q21" s="1262" t="str">
        <f t="shared" si="8"/>
        <v>环境状况</v>
      </c>
      <c r="R21" s="665" t="s">
        <v>14</v>
      </c>
      <c r="S21" s="666">
        <f>F21</f>
        <v>100</v>
      </c>
      <c r="T21" s="665" t="s">
        <v>14</v>
      </c>
      <c r="U21" s="666">
        <f>H21</f>
        <v>100</v>
      </c>
      <c r="V21" s="665" t="s">
        <v>14</v>
      </c>
      <c r="W21" s="666">
        <f>J21</f>
        <v>100</v>
      </c>
      <c r="X21" s="1264"/>
      <c r="Y21" s="340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406"/>
      <c r="Q22" s="1262"/>
      <c r="R22" s="665"/>
      <c r="S22" s="666"/>
      <c r="T22" s="665"/>
      <c r="U22" s="666"/>
      <c r="V22" s="665"/>
      <c r="W22" s="666"/>
      <c r="X22" s="1264"/>
      <c r="Y22" s="3406"/>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406"/>
      <c r="Q23" s="530" t="str">
        <f t="shared" si="8"/>
        <v>公共配套设施</v>
      </c>
      <c r="R23" s="662" t="s">
        <v>14</v>
      </c>
      <c r="S23" s="663">
        <f>F23</f>
        <v>100</v>
      </c>
      <c r="T23" s="662" t="s">
        <v>14</v>
      </c>
      <c r="U23" s="663">
        <f>H23</f>
        <v>100</v>
      </c>
      <c r="V23" s="662" t="s">
        <v>14</v>
      </c>
      <c r="W23" s="663">
        <f>J23</f>
        <v>100</v>
      </c>
      <c r="X23" s="664"/>
      <c r="Y23" s="340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406"/>
      <c r="Q24" s="530"/>
      <c r="R24" s="662"/>
      <c r="S24" s="663"/>
      <c r="T24" s="662"/>
      <c r="U24" s="663"/>
      <c r="V24" s="662"/>
      <c r="W24" s="663"/>
      <c r="X24" s="664"/>
      <c r="Y24" s="3406"/>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406"/>
      <c r="Q25" s="530" t="str">
        <f t="shared" ref="Q25" si="9">B25</f>
        <v>基础设施水平</v>
      </c>
      <c r="R25" s="662" t="s">
        <v>14</v>
      </c>
      <c r="S25" s="663">
        <f>F25</f>
        <v>100</v>
      </c>
      <c r="T25" s="662" t="s">
        <v>14</v>
      </c>
      <c r="U25" s="663">
        <f>H25</f>
        <v>100</v>
      </c>
      <c r="V25" s="662" t="s">
        <v>14</v>
      </c>
      <c r="W25" s="663">
        <f>J25</f>
        <v>100</v>
      </c>
      <c r="X25" s="664"/>
      <c r="Y25" s="340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406"/>
      <c r="Q26" s="530"/>
      <c r="R26" s="662"/>
      <c r="S26" s="663"/>
      <c r="T26" s="662"/>
      <c r="U26" s="663"/>
      <c r="V26" s="662"/>
      <c r="W26" s="663"/>
      <c r="X26" s="664"/>
      <c r="Y26" s="340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06"/>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406"/>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06"/>
      <c r="Q28" s="1262" t="str">
        <f t="shared" si="8"/>
        <v>毗邻道路的类型与等级</v>
      </c>
      <c r="R28" s="665" t="s">
        <v>14</v>
      </c>
      <c r="S28" s="666">
        <f t="shared" si="10"/>
        <v>100</v>
      </c>
      <c r="T28" s="665" t="s">
        <v>14</v>
      </c>
      <c r="U28" s="666">
        <f t="shared" si="11"/>
        <v>100</v>
      </c>
      <c r="V28" s="665" t="s">
        <v>14</v>
      </c>
      <c r="W28" s="666">
        <f t="shared" si="12"/>
        <v>100</v>
      </c>
      <c r="X28" s="1264"/>
      <c r="Y28" s="340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06"/>
      <c r="Q29" s="1262"/>
      <c r="R29" s="665"/>
      <c r="S29" s="666"/>
      <c r="T29" s="665"/>
      <c r="U29" s="666"/>
      <c r="V29" s="665"/>
      <c r="W29" s="666"/>
      <c r="X29" s="1264"/>
      <c r="Y29" s="340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06"/>
      <c r="Q30" s="1262" t="str">
        <f t="shared" si="8"/>
        <v>土地级别</v>
      </c>
      <c r="R30" s="665" t="s">
        <v>14</v>
      </c>
      <c r="S30" s="666">
        <f t="shared" si="10"/>
        <v>100</v>
      </c>
      <c r="T30" s="665" t="s">
        <v>14</v>
      </c>
      <c r="U30" s="666">
        <f t="shared" si="11"/>
        <v>100</v>
      </c>
      <c r="V30" s="665" t="s">
        <v>14</v>
      </c>
      <c r="W30" s="666">
        <f t="shared" si="12"/>
        <v>100</v>
      </c>
      <c r="X30" s="1264"/>
      <c r="Y30" s="340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6"/>
      <c r="Q31" s="1262">
        <f t="shared" si="8"/>
        <v>111</v>
      </c>
      <c r="R31" s="665" t="s">
        <v>14</v>
      </c>
      <c r="S31" s="666">
        <f t="shared" si="10"/>
        <v>100</v>
      </c>
      <c r="T31" s="665" t="s">
        <v>14</v>
      </c>
      <c r="U31" s="666">
        <f t="shared" si="11"/>
        <v>100</v>
      </c>
      <c r="V31" s="665" t="s">
        <v>14</v>
      </c>
      <c r="W31" s="666">
        <f t="shared" si="12"/>
        <v>100</v>
      </c>
      <c r="X31" s="1264"/>
      <c r="Y31" s="3406"/>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80" t="s">
        <v>1696</v>
      </c>
      <c r="Q32" s="1262">
        <f t="shared" si="8"/>
        <v>111</v>
      </c>
      <c r="R32" s="665" t="s">
        <v>14</v>
      </c>
      <c r="S32" s="666">
        <f t="shared" si="10"/>
        <v>100</v>
      </c>
      <c r="T32" s="665" t="s">
        <v>14</v>
      </c>
      <c r="U32" s="666">
        <f t="shared" si="11"/>
        <v>100</v>
      </c>
      <c r="V32" s="665" t="s">
        <v>14</v>
      </c>
      <c r="W32" s="666">
        <f t="shared" si="12"/>
        <v>100</v>
      </c>
      <c r="X32" s="1264"/>
      <c r="Y32" s="3410"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10"/>
      <c r="Q33" s="1262">
        <f t="shared" si="8"/>
        <v>111</v>
      </c>
      <c r="R33" s="667" t="s">
        <v>14</v>
      </c>
      <c r="S33" s="668">
        <f t="shared" si="10"/>
        <v>100</v>
      </c>
      <c r="T33" s="667" t="s">
        <v>14</v>
      </c>
      <c r="U33" s="668">
        <f t="shared" si="11"/>
        <v>100</v>
      </c>
      <c r="V33" s="667" t="s">
        <v>14</v>
      </c>
      <c r="W33" s="668">
        <f t="shared" si="12"/>
        <v>100</v>
      </c>
      <c r="X33" s="669"/>
      <c r="Y33" s="3410"/>
      <c r="Z33" s="670">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10"/>
      <c r="Q34" s="1262" t="str">
        <f>B34</f>
        <v>宗地面积</v>
      </c>
      <c r="R34" s="665" t="s">
        <v>14</v>
      </c>
      <c r="S34" s="666" t="e">
        <f t="shared" si="10"/>
        <v>#N/A</v>
      </c>
      <c r="T34" s="665" t="s">
        <v>14</v>
      </c>
      <c r="U34" s="666" t="e">
        <f t="shared" si="11"/>
        <v>#N/A</v>
      </c>
      <c r="V34" s="665" t="s">
        <v>14</v>
      </c>
      <c r="W34" s="666" t="e">
        <f t="shared" si="12"/>
        <v>#N/A</v>
      </c>
      <c r="X34" s="1264"/>
      <c r="Y34" s="341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10"/>
      <c r="Q35" s="1262" t="str">
        <f t="shared" ref="Q35:Q40" si="14">B35</f>
        <v>宗地形状</v>
      </c>
      <c r="R35" s="665" t="s">
        <v>14</v>
      </c>
      <c r="S35" s="666">
        <f t="shared" si="10"/>
        <v>100</v>
      </c>
      <c r="T35" s="665" t="s">
        <v>14</v>
      </c>
      <c r="U35" s="666">
        <f t="shared" si="11"/>
        <v>100</v>
      </c>
      <c r="V35" s="665" t="s">
        <v>14</v>
      </c>
      <c r="W35" s="666">
        <f t="shared" si="12"/>
        <v>100</v>
      </c>
      <c r="X35" s="1264"/>
      <c r="Y35" s="341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10"/>
      <c r="Q36" s="1262" t="str">
        <f t="shared" si="14"/>
        <v>宗地开发程度</v>
      </c>
      <c r="R36" s="662" t="s">
        <v>14</v>
      </c>
      <c r="S36" s="663">
        <f t="shared" si="10"/>
        <v>100</v>
      </c>
      <c r="T36" s="662" t="s">
        <v>14</v>
      </c>
      <c r="U36" s="663">
        <f t="shared" si="11"/>
        <v>100</v>
      </c>
      <c r="V36" s="662" t="s">
        <v>14</v>
      </c>
      <c r="W36" s="663">
        <f t="shared" si="12"/>
        <v>100</v>
      </c>
      <c r="X36" s="664"/>
      <c r="Y36" s="34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10" t="s">
        <v>1696</v>
      </c>
      <c r="Q37" s="1262" t="str">
        <f t="shared" si="14"/>
        <v>工程地质条件</v>
      </c>
      <c r="R37" s="665" t="s">
        <v>14</v>
      </c>
      <c r="S37" s="666">
        <f t="shared" si="10"/>
        <v>100</v>
      </c>
      <c r="T37" s="665" t="s">
        <v>14</v>
      </c>
      <c r="U37" s="666">
        <f t="shared" si="11"/>
        <v>100</v>
      </c>
      <c r="V37" s="665" t="s">
        <v>14</v>
      </c>
      <c r="W37" s="666">
        <f t="shared" si="12"/>
        <v>100</v>
      </c>
      <c r="X37" s="1264"/>
      <c r="Y37" s="341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10"/>
      <c r="Q38" s="1262">
        <f t="shared" si="14"/>
        <v>111</v>
      </c>
      <c r="R38" s="665" t="s">
        <v>14</v>
      </c>
      <c r="S38" s="666">
        <f t="shared" si="10"/>
        <v>100</v>
      </c>
      <c r="T38" s="665" t="s">
        <v>14</v>
      </c>
      <c r="U38" s="666">
        <f t="shared" si="11"/>
        <v>100</v>
      </c>
      <c r="V38" s="665" t="s">
        <v>14</v>
      </c>
      <c r="W38" s="666">
        <f t="shared" si="12"/>
        <v>100</v>
      </c>
      <c r="X38" s="1264"/>
      <c r="Y38" s="341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10"/>
      <c r="Q39" s="1262">
        <f t="shared" si="14"/>
        <v>111</v>
      </c>
      <c r="R39" s="665" t="s">
        <v>14</v>
      </c>
      <c r="S39" s="666">
        <f t="shared" si="10"/>
        <v>100</v>
      </c>
      <c r="T39" s="665" t="s">
        <v>14</v>
      </c>
      <c r="U39" s="666">
        <f t="shared" si="11"/>
        <v>100</v>
      </c>
      <c r="V39" s="665" t="s">
        <v>14</v>
      </c>
      <c r="W39" s="666">
        <f t="shared" si="12"/>
        <v>100</v>
      </c>
      <c r="X39" s="1264"/>
      <c r="Y39" s="3410"/>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10"/>
      <c r="Q40" s="1262">
        <f t="shared" si="14"/>
        <v>111</v>
      </c>
      <c r="R40" s="667" t="s">
        <v>14</v>
      </c>
      <c r="S40" s="668">
        <f t="shared" si="10"/>
        <v>100</v>
      </c>
      <c r="T40" s="667" t="s">
        <v>14</v>
      </c>
      <c r="U40" s="668">
        <f t="shared" si="11"/>
        <v>100</v>
      </c>
      <c r="V40" s="667" t="s">
        <v>14</v>
      </c>
      <c r="W40" s="668">
        <f t="shared" si="12"/>
        <v>100</v>
      </c>
      <c r="X40" s="669"/>
      <c r="Y40" s="3410"/>
      <c r="Z40" s="670">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2"/>
      <c r="L41" s="2493"/>
      <c r="M41" s="2486"/>
      <c r="N41" s="2486"/>
      <c r="O41" s="2486"/>
      <c r="P41" s="3398" t="str">
        <f>A41</f>
        <v>成交单价</v>
      </c>
      <c r="Q41" s="3398"/>
      <c r="R41" s="3399">
        <f>E41</f>
        <v>0</v>
      </c>
      <c r="S41" s="3399"/>
      <c r="T41" s="3399">
        <f>G41</f>
        <v>0</v>
      </c>
      <c r="U41" s="3399"/>
      <c r="V41" s="3399">
        <f>I41</f>
        <v>0</v>
      </c>
      <c r="W41" s="3399"/>
      <c r="X41" s="385"/>
      <c r="Y41" s="671"/>
      <c r="Z41" s="385"/>
      <c r="AA41" s="385"/>
      <c r="AB41" s="385"/>
      <c r="AC41" s="385"/>
    </row>
    <row r="42" spans="1:31" ht="15.75" thickBot="1">
      <c r="A42" s="423" t="s">
        <v>1793</v>
      </c>
      <c r="B42" s="602"/>
      <c r="C42" s="426" t="e">
        <f>R43</f>
        <v>#DIV/0!</v>
      </c>
      <c r="D42" s="2140" t="s">
        <v>2135</v>
      </c>
      <c r="E42" s="426" t="e">
        <f>R42</f>
        <v>#DIV/0!</v>
      </c>
      <c r="F42" s="2141"/>
      <c r="G42" s="425" t="e">
        <f>T42</f>
        <v>#DIV/0!</v>
      </c>
      <c r="H42" s="2141"/>
      <c r="I42" s="426" t="e">
        <f>V42</f>
        <v>#DIV/0!</v>
      </c>
      <c r="J42" s="2141"/>
      <c r="K42" s="2143">
        <f>F42+H42+J42</f>
        <v>0</v>
      </c>
      <c r="L42" s="2493"/>
      <c r="M42" s="2486"/>
      <c r="N42" s="2486"/>
      <c r="O42" s="2486"/>
      <c r="P42" s="3398" t="str">
        <f>A42</f>
        <v>比较价值（元/平方米）</v>
      </c>
      <c r="Q42" s="3398"/>
      <c r="R42" s="3482" t="e">
        <f>ROUND(PRODUCT(R41,AA7:AA40),0)</f>
        <v>#DIV/0!</v>
      </c>
      <c r="S42" s="3482"/>
      <c r="T42" s="3482" t="e">
        <f>ROUND(PRODUCT(T41,AB7:AB40),0)</f>
        <v>#DIV/0!</v>
      </c>
      <c r="U42" s="3482"/>
      <c r="V42" s="3482" t="e">
        <f>ROUND(PRODUCT(V41,AC7:AC40),0)</f>
        <v>#DIV/0!</v>
      </c>
      <c r="W42" s="3482"/>
      <c r="X42" s="385"/>
      <c r="Y42" s="385"/>
      <c r="Z42" s="385"/>
      <c r="AA42" s="385"/>
      <c r="AB42" s="385"/>
      <c r="AC42" s="385"/>
    </row>
    <row r="43" spans="1:31" ht="15.75" thickBot="1">
      <c r="A43" s="427" t="s">
        <v>1794</v>
      </c>
      <c r="B43" s="428"/>
      <c r="C43" s="429" t="e">
        <f>R43</f>
        <v>#DIV/0!</v>
      </c>
      <c r="D43" s="429"/>
      <c r="E43" s="429"/>
      <c r="F43" s="429"/>
      <c r="G43" s="429"/>
      <c r="H43" s="429"/>
      <c r="I43" s="429"/>
      <c r="J43" s="429"/>
      <c r="K43" s="673"/>
      <c r="L43" s="2493"/>
      <c r="M43" s="2486"/>
      <c r="N43" s="2486"/>
      <c r="O43" s="2486"/>
      <c r="P43" s="3445" t="str">
        <f>A43</f>
        <v>估价对象XX用房的比较价值（楼面单价，元/平方米）</v>
      </c>
      <c r="Q43" s="3446"/>
      <c r="R43" s="3483" t="e">
        <f>ROUND(IF(D42="简单平均",AVERAGE(R42:W42),R42*F42+T42*H42+V42*J42),0)</f>
        <v>#DIV/0!</v>
      </c>
      <c r="S43" s="3483"/>
      <c r="T43" s="3483"/>
      <c r="U43" s="3483"/>
      <c r="V43" s="3483"/>
      <c r="W43" s="348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5"/>
      <c r="D49" s="653"/>
      <c r="E49" s="653"/>
      <c r="F49" s="653"/>
      <c r="G49" s="653"/>
      <c r="H49" s="653"/>
      <c r="I49" s="653"/>
      <c r="J49" s="653"/>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415" t="s">
        <v>1887</v>
      </c>
      <c r="H50" s="3484"/>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8">
        <v>1</v>
      </c>
      <c r="E51" s="609">
        <f>'数据-汇总表'!E8+'数据-汇总表'!E9</f>
        <v>454.18999999999994</v>
      </c>
      <c r="F51" s="610" t="e">
        <f t="shared" ref="F51:F60" si="15">ROUND(B51*E51/10000,0)</f>
        <v>#DIV/0!</v>
      </c>
      <c r="G51" s="3397"/>
      <c r="H51" s="3398"/>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89">
        <v>0.25</v>
      </c>
      <c r="E52" s="613"/>
      <c r="F52" s="610" t="e">
        <f t="shared" si="15"/>
        <v>#DIV/0!</v>
      </c>
      <c r="G52" s="2749" t="s">
        <v>1892</v>
      </c>
      <c r="H52" s="832">
        <f>项目基本情况!B37</f>
        <v>0</v>
      </c>
      <c r="I52" s="725">
        <f>SUMIF(修正!A59:A70,H52,修正!B59:B70)</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89">
        <v>0.25</v>
      </c>
      <c r="E53" s="613"/>
      <c r="F53" s="610" t="e">
        <f t="shared" si="15"/>
        <v>#DIV/0!</v>
      </c>
      <c r="G53" s="2750"/>
      <c r="H53" s="832">
        <f>项目基本情况!B37</f>
        <v>0</v>
      </c>
      <c r="I53" s="725">
        <f>SUMIF(修正!A59:A70,H53,修正!C59:C70)</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89">
        <v>0.25</v>
      </c>
      <c r="E54" s="613"/>
      <c r="F54" s="610" t="e">
        <f t="shared" si="15"/>
        <v>#DIV/0!</v>
      </c>
      <c r="G54" s="2750"/>
      <c r="H54" s="832">
        <f>项目基本情况!B37</f>
        <v>0</v>
      </c>
      <c r="I54" s="725">
        <f>SUMIF(修正!A59:A70,H54,修正!D59:D70)</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89"/>
      <c r="E55" s="613"/>
      <c r="F55" s="610"/>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0.2</v>
      </c>
      <c r="D56" s="889">
        <v>0.25</v>
      </c>
      <c r="E56" s="209">
        <f>'数据-汇总表'!E11</f>
        <v>227.1</v>
      </c>
      <c r="F56" s="610" t="e">
        <f t="shared" si="15"/>
        <v>#DIV/0!</v>
      </c>
      <c r="G56" s="1834" t="s">
        <v>1896</v>
      </c>
      <c r="H56" s="832" t="str">
        <f>项目基本情况!C37</f>
        <v>九级</v>
      </c>
      <c r="I56" s="725">
        <f>SUMIF(修正!A59:A70,H56,修正!E59:E70)</f>
        <v>0.2</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0.2</v>
      </c>
      <c r="D57" s="889">
        <v>0.25</v>
      </c>
      <c r="E57" s="209">
        <f>'数据-汇总表'!E12</f>
        <v>0</v>
      </c>
      <c r="F57" s="610" t="e">
        <f t="shared" si="15"/>
        <v>#DIV/0!</v>
      </c>
      <c r="G57" s="837" t="s">
        <v>1898</v>
      </c>
      <c r="H57" s="832" t="str">
        <f>IF(G57="商业",项目基本情况!B37,IF(G57="办公",项目基本情况!C37,IF(G57="住宅",项目基本情况!D37,项目基本情况!E37)))</f>
        <v>九级</v>
      </c>
      <c r="I57" s="725">
        <f>SUMIF(修正!A59:A70,H57,修正!F59:F70)</f>
        <v>0.2</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89">
        <v>0.25</v>
      </c>
      <c r="E58" s="209">
        <f>'数据-汇总表'!E13</f>
        <v>0</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89">
        <v>0.25</v>
      </c>
      <c r="E59" s="209">
        <f>'数据-汇总表'!E14</f>
        <v>0</v>
      </c>
      <c r="F59" s="610" t="e">
        <f t="shared" si="15"/>
        <v>#DIV/0!</v>
      </c>
      <c r="G59" s="1834" t="s">
        <v>1892</v>
      </c>
      <c r="H59" s="832">
        <f>项目基本情况!B37</f>
        <v>0</v>
      </c>
      <c r="I59" s="725">
        <f>SUMIF(修正!A59:A70,H59,修正!G59:G70)</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0.1</v>
      </c>
      <c r="D60" s="889">
        <v>0.25</v>
      </c>
      <c r="E60" s="209">
        <f>'数据-汇总表'!E15</f>
        <v>0</v>
      </c>
      <c r="F60" s="610" t="e">
        <f t="shared" si="15"/>
        <v>#DIV/0!</v>
      </c>
      <c r="G60" s="1835" t="s">
        <v>1896</v>
      </c>
      <c r="H60" s="842" t="str">
        <f>项目基本情况!C37</f>
        <v>九级</v>
      </c>
      <c r="I60" s="725">
        <f>SUMIF(修正!A59:A70,H60,修正!G59:G70)</f>
        <v>0.1</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4" t="str">
        <f>YEAR(C7)&amp;"-"&amp;MONTH(C7)&amp;"-1"</f>
        <v>2025-11-1</v>
      </c>
      <c r="D63" s="654">
        <f>EDATE(C63,-3)</f>
        <v>45870</v>
      </c>
      <c r="E63" s="654">
        <f>EDATE(D63,-3)</f>
        <v>45778</v>
      </c>
      <c r="F63" s="654">
        <f t="shared" ref="F63:O63" si="18">EDATE(E63,-3)</f>
        <v>45689</v>
      </c>
      <c r="G63" s="654">
        <f t="shared" si="18"/>
        <v>45597</v>
      </c>
      <c r="H63" s="654">
        <f t="shared" si="18"/>
        <v>45505</v>
      </c>
      <c r="I63" s="654">
        <f t="shared" si="18"/>
        <v>45413</v>
      </c>
      <c r="J63" s="654">
        <f t="shared" si="18"/>
        <v>45323</v>
      </c>
      <c r="K63" s="654">
        <f t="shared" si="18"/>
        <v>45231</v>
      </c>
      <c r="L63" s="654">
        <f t="shared" si="18"/>
        <v>45139</v>
      </c>
      <c r="M63" s="654">
        <f t="shared" si="18"/>
        <v>45047</v>
      </c>
      <c r="N63" s="654">
        <f t="shared" si="18"/>
        <v>44958</v>
      </c>
      <c r="O63" s="654">
        <f t="shared" si="18"/>
        <v>44866</v>
      </c>
      <c r="P63" s="2486"/>
      <c r="Q63" s="2486"/>
      <c r="R63" s="2486"/>
      <c r="S63" s="2486"/>
      <c r="T63" s="2486"/>
      <c r="U63" s="2486"/>
      <c r="V63" s="2486"/>
      <c r="W63" s="2486"/>
      <c r="X63" s="2486"/>
      <c r="Y63" s="2486"/>
      <c r="Z63" s="2486"/>
      <c r="AA63" s="2486"/>
      <c r="AB63" s="2486"/>
      <c r="AC63" s="2486"/>
      <c r="AD63" s="2486"/>
      <c r="AE63" s="2486"/>
    </row>
    <row r="64" spans="1:31" ht="21.75" thickBot="1">
      <c r="A64" s="656" t="s">
        <v>1798</v>
      </c>
      <c r="B64" s="385"/>
      <c r="C64" s="657"/>
      <c r="D64" s="657"/>
      <c r="E64" s="657"/>
      <c r="F64" s="658"/>
      <c r="G64" s="658"/>
      <c r="H64" s="657"/>
      <c r="I64" s="657"/>
      <c r="J64" s="657"/>
      <c r="K64" s="659"/>
      <c r="L64" s="660"/>
      <c r="M64" s="657"/>
      <c r="N64" s="657"/>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240</v>
      </c>
      <c r="C2" s="1983" t="s">
        <v>2074</v>
      </c>
      <c r="D2" s="1983" t="s">
        <v>2075</v>
      </c>
      <c r="E2" s="2397">
        <f ca="1">SUMIF(E6:E13,"&lt;&gt;#ref!",E6:E13)</f>
        <v>681.29</v>
      </c>
      <c r="F2" s="2543"/>
      <c r="G2" s="2543"/>
      <c r="H2" s="2543"/>
      <c r="I2" s="2543"/>
      <c r="J2" s="2543"/>
      <c r="K2" s="2543"/>
      <c r="L2" s="2543"/>
      <c r="M2" s="2543"/>
      <c r="N2" s="2543"/>
      <c r="O2" s="2543"/>
      <c r="P2" s="2543"/>
    </row>
    <row r="3" spans="1:16" ht="15.75">
      <c r="A3" s="1983" t="s">
        <v>2076</v>
      </c>
      <c r="B3" s="2387">
        <f ca="1">ROUND(B2*10000/E2,0)</f>
        <v>3523</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240</v>
      </c>
      <c r="C6" s="1983" t="s">
        <v>2074</v>
      </c>
      <c r="D6" s="2543"/>
      <c r="E6" s="2397">
        <f ca="1">SUMIF(INDIRECT("'"&amp;A6&amp;"'"&amp;"!C:C"),"建筑面积",INDIRECT("'"&amp;A6&amp;"'"&amp;"!D:D"))</f>
        <v>681.29</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500" t="s">
        <v>2604</v>
      </c>
      <c r="B20" s="3493" t="s">
        <v>2625</v>
      </c>
      <c r="C20" s="3167" t="s">
        <v>2436</v>
      </c>
      <c r="D20" s="3167"/>
      <c r="E20" s="2843">
        <v>1</v>
      </c>
      <c r="F20" s="2844" t="s">
        <v>2437</v>
      </c>
      <c r="G20" s="2844"/>
    </row>
    <row r="21" spans="1:13" ht="19.5" customHeight="1">
      <c r="A21" s="3501"/>
      <c r="B21" s="3489"/>
      <c r="C21" s="2856" t="s">
        <v>2438</v>
      </c>
      <c r="D21" s="2856"/>
      <c r="E21" s="2847">
        <v>1</v>
      </c>
      <c r="F21" s="2844" t="s">
        <v>2439</v>
      </c>
      <c r="G21" s="2844"/>
    </row>
    <row r="22" spans="1:13" ht="19.5" customHeight="1">
      <c r="A22" s="3501"/>
      <c r="B22" s="3489"/>
      <c r="C22" s="2856" t="s">
        <v>2440</v>
      </c>
      <c r="D22" s="2856"/>
      <c r="E22" s="2847">
        <v>0.9</v>
      </c>
      <c r="F22" s="2844" t="s">
        <v>2441</v>
      </c>
      <c r="G22" s="2844"/>
    </row>
    <row r="23" spans="1:13" ht="19.5" customHeight="1">
      <c r="A23" s="3501"/>
      <c r="B23" s="3489"/>
      <c r="C23" s="2856" t="s">
        <v>2442</v>
      </c>
      <c r="D23" s="2856"/>
      <c r="E23" s="2847">
        <v>0.9</v>
      </c>
      <c r="F23" s="2844" t="s">
        <v>2443</v>
      </c>
      <c r="G23" s="2844"/>
    </row>
    <row r="24" spans="1:13" ht="19.5" customHeight="1">
      <c r="A24" s="3501"/>
      <c r="B24" s="3489"/>
      <c r="C24" s="2856" t="s">
        <v>2444</v>
      </c>
      <c r="D24" s="2856"/>
      <c r="E24" s="2847">
        <v>0.8</v>
      </c>
      <c r="F24" s="2844" t="s">
        <v>2445</v>
      </c>
      <c r="G24" s="2844"/>
    </row>
    <row r="25" spans="1:13" ht="19.5" customHeight="1">
      <c r="A25" s="3501"/>
      <c r="B25" s="3489"/>
      <c r="C25" s="2856" t="s">
        <v>2446</v>
      </c>
      <c r="D25" s="2856"/>
      <c r="E25" s="2847">
        <v>0.8</v>
      </c>
      <c r="F25" s="2844"/>
      <c r="G25" s="2844"/>
    </row>
    <row r="26" spans="1:13" ht="19.5" customHeight="1">
      <c r="A26" s="3501"/>
      <c r="B26" s="3489"/>
      <c r="C26" s="2856" t="s">
        <v>3404</v>
      </c>
      <c r="D26" s="2856"/>
      <c r="E26" s="2847">
        <v>0.43</v>
      </c>
      <c r="F26" s="2844"/>
      <c r="G26" s="2844"/>
    </row>
    <row r="27" spans="1:13" ht="19.5" customHeight="1" thickBot="1">
      <c r="A27" s="3502"/>
      <c r="B27" s="3494"/>
      <c r="C27" s="3163" t="s">
        <v>3405</v>
      </c>
      <c r="D27" s="3163"/>
      <c r="E27" s="2850">
        <f>E26*0.9</f>
        <v>0.38700000000000001</v>
      </c>
      <c r="F27" s="2844" t="s">
        <v>2447</v>
      </c>
      <c r="G27" s="2844"/>
    </row>
    <row r="28" spans="1:13" ht="19.5" customHeight="1" thickBot="1">
      <c r="A28" s="3162" t="s">
        <v>2626</v>
      </c>
      <c r="B28" s="3161" t="s">
        <v>2625</v>
      </c>
      <c r="C28" s="3164" t="s">
        <v>2627</v>
      </c>
      <c r="D28" s="3165"/>
      <c r="E28" s="3166">
        <v>1</v>
      </c>
      <c r="F28" s="2844" t="s">
        <v>2448</v>
      </c>
      <c r="G28" s="2844"/>
    </row>
    <row r="29" spans="1:13" ht="19.5" customHeight="1">
      <c r="A29" s="3495" t="s">
        <v>2628</v>
      </c>
      <c r="B29" s="3498" t="s">
        <v>2609</v>
      </c>
      <c r="C29" s="2841" t="s">
        <v>2449</v>
      </c>
      <c r="D29" s="2842"/>
      <c r="E29" s="2843">
        <v>1</v>
      </c>
      <c r="F29" s="2844" t="s">
        <v>2450</v>
      </c>
      <c r="G29" s="2844"/>
    </row>
    <row r="30" spans="1:13" ht="19.5" customHeight="1">
      <c r="A30" s="3496"/>
      <c r="B30" s="3492"/>
      <c r="C30" s="2845" t="s">
        <v>2451</v>
      </c>
      <c r="D30" s="2846"/>
      <c r="E30" s="2847">
        <v>1</v>
      </c>
      <c r="F30" s="2844" t="s">
        <v>2452</v>
      </c>
      <c r="G30" s="2844"/>
    </row>
    <row r="31" spans="1:13" ht="19.5" customHeight="1">
      <c r="A31" s="3496"/>
      <c r="B31" s="3492"/>
      <c r="C31" s="2845" t="s">
        <v>2453</v>
      </c>
      <c r="D31" s="2846"/>
      <c r="E31" s="2847">
        <v>0.8</v>
      </c>
      <c r="F31" s="2844" t="s">
        <v>2454</v>
      </c>
      <c r="G31" s="2844"/>
    </row>
    <row r="32" spans="1:13" ht="19.5" customHeight="1">
      <c r="A32" s="3496"/>
      <c r="B32" s="3492"/>
      <c r="C32" s="2845" t="s">
        <v>2455</v>
      </c>
      <c r="D32" s="2846"/>
      <c r="E32" s="2847">
        <v>0.8</v>
      </c>
      <c r="F32" s="2844" t="s">
        <v>2456</v>
      </c>
      <c r="G32" s="2844"/>
    </row>
    <row r="33" spans="1:7" ht="19.5" customHeight="1">
      <c r="A33" s="3496"/>
      <c r="B33" s="3492"/>
      <c r="C33" s="2845" t="s">
        <v>2457</v>
      </c>
      <c r="D33" s="2846"/>
      <c r="E33" s="2847">
        <v>0.8</v>
      </c>
      <c r="F33" s="2844" t="s">
        <v>2458</v>
      </c>
      <c r="G33" s="2844"/>
    </row>
    <row r="34" spans="1:7" ht="19.5" customHeight="1">
      <c r="A34" s="3496"/>
      <c r="B34" s="3492"/>
      <c r="C34" s="2845" t="s">
        <v>2459</v>
      </c>
      <c r="D34" s="2846"/>
      <c r="E34" s="2847">
        <v>0.7</v>
      </c>
      <c r="F34" s="2844" t="s">
        <v>2460</v>
      </c>
      <c r="G34" s="2844"/>
    </row>
    <row r="35" spans="1:7" ht="19.5" customHeight="1">
      <c r="A35" s="3496"/>
      <c r="B35" s="3492"/>
      <c r="C35" s="2845" t="s">
        <v>2461</v>
      </c>
      <c r="D35" s="2846"/>
      <c r="E35" s="2847">
        <v>0.8</v>
      </c>
      <c r="F35" s="2844" t="s">
        <v>2462</v>
      </c>
      <c r="G35" s="2844"/>
    </row>
    <row r="36" spans="1:7" ht="19.5" customHeight="1">
      <c r="A36" s="3496"/>
      <c r="B36" s="3492"/>
      <c r="C36" s="2845" t="s">
        <v>2463</v>
      </c>
      <c r="D36" s="2846"/>
      <c r="E36" s="2847">
        <v>0.6</v>
      </c>
      <c r="F36" s="2844" t="s">
        <v>2464</v>
      </c>
      <c r="G36" s="2844"/>
    </row>
    <row r="37" spans="1:7" ht="19.5" customHeight="1">
      <c r="A37" s="3496"/>
      <c r="B37" s="3492"/>
      <c r="C37" s="2845" t="s">
        <v>2465</v>
      </c>
      <c r="D37" s="2846"/>
      <c r="E37" s="2847">
        <v>0.2</v>
      </c>
      <c r="F37" s="2844" t="s">
        <v>2466</v>
      </c>
      <c r="G37" s="2844"/>
    </row>
    <row r="38" spans="1:7" ht="19.5" customHeight="1">
      <c r="A38" s="3496"/>
      <c r="B38" s="3492"/>
      <c r="C38" s="2845" t="s">
        <v>2467</v>
      </c>
      <c r="D38" s="2846"/>
      <c r="E38" s="2847">
        <v>0.2</v>
      </c>
      <c r="F38" s="2844" t="s">
        <v>2468</v>
      </c>
      <c r="G38" s="2844"/>
    </row>
    <row r="39" spans="1:7" ht="19.5" customHeight="1">
      <c r="A39" s="3496"/>
      <c r="B39" s="3490" t="s">
        <v>2629</v>
      </c>
      <c r="C39" s="2845" t="s">
        <v>2469</v>
      </c>
      <c r="D39" s="2846"/>
      <c r="E39" s="2847">
        <v>0.6</v>
      </c>
      <c r="F39" s="2844" t="s">
        <v>2470</v>
      </c>
      <c r="G39" s="2844"/>
    </row>
    <row r="40" spans="1:7" ht="19.5" customHeight="1">
      <c r="A40" s="3496"/>
      <c r="B40" s="3492"/>
      <c r="C40" s="2845" t="s">
        <v>2471</v>
      </c>
      <c r="D40" s="2846"/>
      <c r="E40" s="2847">
        <v>0.6</v>
      </c>
      <c r="F40" s="2844" t="s">
        <v>2472</v>
      </c>
      <c r="G40" s="2844"/>
    </row>
    <row r="41" spans="1:7" ht="19.5" customHeight="1" thickBot="1">
      <c r="A41" s="3497"/>
      <c r="B41" s="3499"/>
      <c r="C41" s="2848" t="s">
        <v>2473</v>
      </c>
      <c r="D41" s="2849"/>
      <c r="E41" s="2850">
        <v>0.6</v>
      </c>
      <c r="F41" s="2844" t="s">
        <v>2474</v>
      </c>
      <c r="G41" s="2844"/>
    </row>
    <row r="42" spans="1:7" ht="19.5" customHeight="1" thickBot="1">
      <c r="A42" s="2851" t="s">
        <v>2606</v>
      </c>
      <c r="B42" s="2852" t="s">
        <v>2606</v>
      </c>
      <c r="C42" s="2853" t="s">
        <v>2630</v>
      </c>
      <c r="D42" s="2854"/>
      <c r="E42" s="2855">
        <v>1</v>
      </c>
      <c r="F42" s="2844" t="s">
        <v>2475</v>
      </c>
      <c r="G42" s="2844"/>
    </row>
    <row r="43" spans="1:7" ht="19.5" customHeight="1">
      <c r="A43" s="3500" t="s">
        <v>2607</v>
      </c>
      <c r="B43" s="3498" t="s">
        <v>2631</v>
      </c>
      <c r="C43" s="2841" t="s">
        <v>2476</v>
      </c>
      <c r="D43" s="2842"/>
      <c r="E43" s="2843">
        <v>1</v>
      </c>
      <c r="F43" s="2844" t="s">
        <v>2477</v>
      </c>
      <c r="G43" s="2844"/>
    </row>
    <row r="44" spans="1:7" ht="19.5" customHeight="1">
      <c r="A44" s="3501"/>
      <c r="B44" s="3492"/>
      <c r="C44" s="2845" t="s">
        <v>2478</v>
      </c>
      <c r="D44" s="2846"/>
      <c r="E44" s="2847">
        <v>1</v>
      </c>
      <c r="F44" s="2844" t="s">
        <v>2479</v>
      </c>
      <c r="G44" s="2844"/>
    </row>
    <row r="45" spans="1:7" ht="19.5" customHeight="1">
      <c r="A45" s="3501"/>
      <c r="B45" s="3491"/>
      <c r="C45" s="2845" t="s">
        <v>2480</v>
      </c>
      <c r="D45" s="2846"/>
      <c r="E45" s="2847">
        <v>1.5</v>
      </c>
      <c r="F45" s="2844" t="s">
        <v>2481</v>
      </c>
      <c r="G45" s="2844"/>
    </row>
    <row r="46" spans="1:7" ht="19.5" customHeight="1">
      <c r="A46" s="3501"/>
      <c r="B46" s="2856" t="s">
        <v>2632</v>
      </c>
      <c r="C46" s="2845" t="s">
        <v>2633</v>
      </c>
      <c r="D46" s="2846"/>
      <c r="E46" s="2847">
        <v>2</v>
      </c>
      <c r="F46" s="2844" t="s">
        <v>2482</v>
      </c>
      <c r="G46" s="2844"/>
    </row>
    <row r="47" spans="1:7" ht="19.5" customHeight="1">
      <c r="A47" s="3501"/>
      <c r="B47" s="3490" t="s">
        <v>2634</v>
      </c>
      <c r="C47" s="2845" t="s">
        <v>2483</v>
      </c>
      <c r="D47" s="2846"/>
      <c r="E47" s="2847">
        <v>1</v>
      </c>
      <c r="F47" s="2844" t="s">
        <v>2484</v>
      </c>
      <c r="G47" s="2844"/>
    </row>
    <row r="48" spans="1:7" ht="19.5" customHeight="1">
      <c r="A48" s="3501"/>
      <c r="B48" s="3492"/>
      <c r="C48" s="2845" t="s">
        <v>2485</v>
      </c>
      <c r="D48" s="2846"/>
      <c r="E48" s="2847">
        <v>1</v>
      </c>
      <c r="F48" s="2844" t="s">
        <v>2486</v>
      </c>
      <c r="G48" s="2844"/>
    </row>
    <row r="49" spans="1:7" ht="19.5" customHeight="1">
      <c r="A49" s="3501"/>
      <c r="B49" s="3492"/>
      <c r="C49" s="2845" t="s">
        <v>2487</v>
      </c>
      <c r="D49" s="2846"/>
      <c r="E49" s="2847">
        <v>1</v>
      </c>
      <c r="F49" s="2844" t="s">
        <v>2488</v>
      </c>
      <c r="G49" s="2844"/>
    </row>
    <row r="50" spans="1:7" ht="19.5" customHeight="1">
      <c r="A50" s="3501"/>
      <c r="B50" s="3492"/>
      <c r="C50" s="2845" t="s">
        <v>2489</v>
      </c>
      <c r="D50" s="2846"/>
      <c r="E50" s="2847">
        <v>1</v>
      </c>
      <c r="F50" s="2844" t="s">
        <v>2490</v>
      </c>
      <c r="G50" s="2844"/>
    </row>
    <row r="51" spans="1:7" ht="19.5" customHeight="1">
      <c r="A51" s="3501"/>
      <c r="B51" s="3492"/>
      <c r="C51" s="2845" t="s">
        <v>2491</v>
      </c>
      <c r="D51" s="2846"/>
      <c r="E51" s="2847">
        <v>1</v>
      </c>
      <c r="F51" s="2844" t="s">
        <v>2492</v>
      </c>
      <c r="G51" s="2844"/>
    </row>
    <row r="52" spans="1:7" ht="19.5" customHeight="1">
      <c r="A52" s="3501"/>
      <c r="B52" s="3492"/>
      <c r="C52" s="2845" t="s">
        <v>2493</v>
      </c>
      <c r="D52" s="2846"/>
      <c r="E52" s="2847">
        <v>1</v>
      </c>
      <c r="F52" s="2844" t="s">
        <v>2494</v>
      </c>
      <c r="G52" s="2844"/>
    </row>
    <row r="53" spans="1:7" ht="19.5" customHeight="1" thickBot="1">
      <c r="A53" s="3502"/>
      <c r="B53" s="3499"/>
      <c r="C53" s="2848" t="s">
        <v>2495</v>
      </c>
      <c r="D53" s="2849"/>
      <c r="E53" s="2850">
        <v>1</v>
      </c>
      <c r="F53" s="2844" t="s">
        <v>2496</v>
      </c>
      <c r="G53" s="2844"/>
    </row>
    <row r="54" spans="1:7" ht="19.5" customHeight="1">
      <c r="A54" s="2857"/>
      <c r="B54" s="2857"/>
      <c r="C54" s="2857"/>
      <c r="D54" s="2857"/>
      <c r="E54" s="2857"/>
      <c r="F54" s="2857"/>
      <c r="G54" s="2857"/>
    </row>
    <row r="56" spans="1:7" ht="19.5" customHeight="1">
      <c r="A56" s="2858"/>
      <c r="B56" s="2830" t="s">
        <v>2635</v>
      </c>
      <c r="C56" s="2830" t="s">
        <v>2635</v>
      </c>
      <c r="D56" s="2830" t="s">
        <v>2635</v>
      </c>
      <c r="E56" s="2833" t="s">
        <v>2635</v>
      </c>
      <c r="F56" s="2833" t="s">
        <v>2636</v>
      </c>
      <c r="G56" s="2833" t="s">
        <v>2637</v>
      </c>
    </row>
    <row r="57" spans="1:7" ht="19.5" customHeight="1">
      <c r="A57" s="2859"/>
      <c r="B57" s="2833" t="s">
        <v>2604</v>
      </c>
      <c r="C57" s="2833" t="s">
        <v>2604</v>
      </c>
      <c r="D57" s="2833" t="s">
        <v>2604</v>
      </c>
      <c r="E57" s="2830" t="s">
        <v>2605</v>
      </c>
      <c r="F57" s="2830" t="s">
        <v>2607</v>
      </c>
      <c r="G57" s="2830" t="s">
        <v>2638</v>
      </c>
    </row>
    <row r="58" spans="1:7" ht="19.5" customHeight="1">
      <c r="A58" s="2860"/>
      <c r="B58" s="2830">
        <v>1</v>
      </c>
      <c r="C58" s="2830">
        <v>2</v>
      </c>
      <c r="D58" s="2830">
        <v>3</v>
      </c>
      <c r="E58" s="2861" t="s">
        <v>2639</v>
      </c>
      <c r="F58" s="2861" t="s">
        <v>2639</v>
      </c>
      <c r="G58" s="2861" t="s">
        <v>2639</v>
      </c>
    </row>
    <row r="59" spans="1:7" ht="19.5" customHeight="1">
      <c r="A59" s="2862" t="s">
        <v>2592</v>
      </c>
      <c r="B59" s="2830">
        <v>0.7</v>
      </c>
      <c r="C59" s="2830">
        <v>0.4</v>
      </c>
      <c r="D59" s="2830">
        <v>0.3</v>
      </c>
      <c r="E59" s="2861">
        <v>0.3</v>
      </c>
      <c r="F59" s="2830">
        <v>0.3</v>
      </c>
      <c r="G59" s="2830">
        <v>0.2</v>
      </c>
    </row>
    <row r="60" spans="1:7" ht="19.5" customHeight="1">
      <c r="A60" s="2862" t="s">
        <v>2593</v>
      </c>
      <c r="B60" s="2830">
        <v>0.7</v>
      </c>
      <c r="C60" s="2830">
        <v>0.4</v>
      </c>
      <c r="D60" s="2830">
        <v>0.3</v>
      </c>
      <c r="E60" s="2830">
        <v>0.3</v>
      </c>
      <c r="F60" s="2830">
        <v>0.3</v>
      </c>
      <c r="G60" s="2830">
        <v>0.2</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0.6</v>
      </c>
      <c r="C64" s="2830">
        <v>0.3</v>
      </c>
      <c r="D64" s="2830">
        <v>0.25</v>
      </c>
      <c r="E64" s="2830">
        <v>0.25</v>
      </c>
      <c r="F64" s="2830">
        <v>0.25</v>
      </c>
      <c r="G64" s="2830">
        <v>0.15</v>
      </c>
    </row>
    <row r="65" spans="1:7" ht="19.5" customHeight="1">
      <c r="A65" s="2862" t="s">
        <v>2598</v>
      </c>
      <c r="B65" s="2830">
        <v>0.6</v>
      </c>
      <c r="C65" s="2830">
        <v>0.3</v>
      </c>
      <c r="D65" s="2830">
        <v>0.25</v>
      </c>
      <c r="E65" s="2830">
        <v>0.25</v>
      </c>
      <c r="F65" s="2830">
        <v>0.25</v>
      </c>
      <c r="G65" s="2830">
        <v>0.15</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69" spans="1:7" ht="19.5" customHeight="1">
      <c r="A69" s="2862" t="s">
        <v>2602</v>
      </c>
      <c r="B69" s="2830">
        <v>0.5</v>
      </c>
      <c r="C69" s="2830">
        <v>0.2</v>
      </c>
      <c r="D69" s="2830">
        <v>0.2</v>
      </c>
      <c r="E69" s="2830">
        <v>0.2</v>
      </c>
      <c r="F69" s="2830">
        <v>0.2</v>
      </c>
      <c r="G69" s="2830">
        <v>0.1</v>
      </c>
    </row>
    <row r="70" spans="1:7" ht="19.5" customHeight="1">
      <c r="A70" s="2862" t="s">
        <v>2603</v>
      </c>
      <c r="B70" s="2830">
        <v>0.5</v>
      </c>
      <c r="C70" s="2830">
        <v>0.2</v>
      </c>
      <c r="D70" s="2830">
        <v>0.2</v>
      </c>
      <c r="E70" s="2830">
        <v>0.2</v>
      </c>
      <c r="F70" s="2830">
        <v>0.2</v>
      </c>
      <c r="G70" s="2830">
        <v>0.1</v>
      </c>
    </row>
    <row r="72" spans="1:7" ht="19.5" customHeight="1">
      <c r="A72" s="2844"/>
      <c r="B72" s="2863"/>
      <c r="C72" s="2863"/>
      <c r="D72" s="2863" t="s">
        <v>2640</v>
      </c>
      <c r="E72" s="2863"/>
      <c r="F72" s="2863"/>
    </row>
    <row r="73" spans="1:7" ht="19.5" customHeight="1">
      <c r="A73" s="2856" t="s">
        <v>2641</v>
      </c>
      <c r="B73" s="2856" t="s">
        <v>2642</v>
      </c>
      <c r="C73" s="2856" t="s">
        <v>2643</v>
      </c>
      <c r="D73" s="2856" t="s">
        <v>2644</v>
      </c>
      <c r="E73" s="2856" t="s">
        <v>2645</v>
      </c>
      <c r="F73" s="2856" t="s">
        <v>2646</v>
      </c>
    </row>
    <row r="74" spans="1:7" ht="13.5">
      <c r="A74" s="2856"/>
      <c r="B74" s="2856"/>
      <c r="C74" s="2856" t="s">
        <v>2647</v>
      </c>
      <c r="D74" s="2856"/>
      <c r="E74" s="2856" t="s">
        <v>2618</v>
      </c>
      <c r="F74" s="2856" t="s">
        <v>2618</v>
      </c>
    </row>
    <row r="75" spans="1:7" ht="13.5">
      <c r="A75" s="2856">
        <v>1</v>
      </c>
      <c r="B75" s="3490" t="s">
        <v>2648</v>
      </c>
      <c r="C75" s="2830" t="s">
        <v>2649</v>
      </c>
      <c r="D75" s="2830" t="s">
        <v>2650</v>
      </c>
      <c r="E75" s="2856">
        <v>0.2</v>
      </c>
      <c r="F75" s="2856">
        <v>25</v>
      </c>
    </row>
    <row r="76" spans="1:7" ht="24">
      <c r="A76" s="2856">
        <v>2</v>
      </c>
      <c r="B76" s="3492"/>
      <c r="C76" s="2830" t="s">
        <v>2651</v>
      </c>
      <c r="D76" s="2830" t="s">
        <v>2652</v>
      </c>
      <c r="E76" s="2856">
        <v>0.2</v>
      </c>
      <c r="F76" s="2856">
        <v>25</v>
      </c>
    </row>
    <row r="77" spans="1:7" ht="24">
      <c r="A77" s="2856">
        <v>3</v>
      </c>
      <c r="B77" s="3492"/>
      <c r="C77" s="2830" t="s">
        <v>2653</v>
      </c>
      <c r="D77" s="2830" t="s">
        <v>2654</v>
      </c>
      <c r="E77" s="2856">
        <v>0.2</v>
      </c>
      <c r="F77" s="2856">
        <v>25</v>
      </c>
    </row>
    <row r="78" spans="1:7" ht="13.5">
      <c r="A78" s="2856">
        <v>4</v>
      </c>
      <c r="B78" s="3492"/>
      <c r="C78" s="2830" t="s">
        <v>2655</v>
      </c>
      <c r="D78" s="2830" t="s">
        <v>2656</v>
      </c>
      <c r="E78" s="2856">
        <v>0.15</v>
      </c>
      <c r="F78" s="2856">
        <v>20</v>
      </c>
    </row>
    <row r="79" spans="1:7" ht="24">
      <c r="A79" s="2856">
        <v>5</v>
      </c>
      <c r="B79" s="3492"/>
      <c r="C79" s="2830" t="s">
        <v>2657</v>
      </c>
      <c r="D79" s="2830" t="s">
        <v>2658</v>
      </c>
      <c r="E79" s="2856">
        <v>0.15</v>
      </c>
      <c r="F79" s="2856">
        <v>20</v>
      </c>
    </row>
    <row r="80" spans="1:7" ht="24">
      <c r="A80" s="2856">
        <v>6</v>
      </c>
      <c r="B80" s="3492"/>
      <c r="C80" s="2830" t="s">
        <v>2659</v>
      </c>
      <c r="D80" s="2830" t="s">
        <v>2660</v>
      </c>
      <c r="E80" s="2856">
        <v>0.15</v>
      </c>
      <c r="F80" s="2856">
        <v>20</v>
      </c>
    </row>
    <row r="81" spans="1:6" ht="24">
      <c r="A81" s="2856">
        <v>7</v>
      </c>
      <c r="B81" s="3492"/>
      <c r="C81" s="2830" t="s">
        <v>2661</v>
      </c>
      <c r="D81" s="2830" t="s">
        <v>2662</v>
      </c>
      <c r="E81" s="2856">
        <v>0.15</v>
      </c>
      <c r="F81" s="2856">
        <v>20</v>
      </c>
    </row>
    <row r="82" spans="1:6" ht="24">
      <c r="A82" s="2856">
        <v>8</v>
      </c>
      <c r="B82" s="3492"/>
      <c r="C82" s="2830" t="s">
        <v>2663</v>
      </c>
      <c r="D82" s="2830" t="s">
        <v>2664</v>
      </c>
      <c r="E82" s="2856">
        <v>0.1</v>
      </c>
      <c r="F82" s="2856">
        <v>15</v>
      </c>
    </row>
    <row r="83" spans="1:6" ht="24">
      <c r="A83" s="2856">
        <v>9</v>
      </c>
      <c r="B83" s="3492"/>
      <c r="C83" s="2830" t="s">
        <v>2665</v>
      </c>
      <c r="D83" s="2830" t="s">
        <v>2666</v>
      </c>
      <c r="E83" s="2856">
        <v>0.1</v>
      </c>
      <c r="F83" s="2856">
        <v>15</v>
      </c>
    </row>
    <row r="84" spans="1:6" ht="24">
      <c r="A84" s="2856">
        <v>10</v>
      </c>
      <c r="B84" s="3492"/>
      <c r="C84" s="2830" t="s">
        <v>2667</v>
      </c>
      <c r="D84" s="2830" t="s">
        <v>2668</v>
      </c>
      <c r="E84" s="2856">
        <v>0.1</v>
      </c>
      <c r="F84" s="2856">
        <v>15</v>
      </c>
    </row>
    <row r="85" spans="1:6" ht="24">
      <c r="A85" s="2856">
        <v>11</v>
      </c>
      <c r="B85" s="3492"/>
      <c r="C85" s="2830" t="s">
        <v>2669</v>
      </c>
      <c r="D85" s="2830" t="s">
        <v>2670</v>
      </c>
      <c r="E85" s="2856">
        <v>0.1</v>
      </c>
      <c r="F85" s="2856">
        <v>15</v>
      </c>
    </row>
    <row r="86" spans="1:6" ht="24">
      <c r="A86" s="2856">
        <v>12</v>
      </c>
      <c r="B86" s="3492"/>
      <c r="C86" s="2830" t="s">
        <v>2671</v>
      </c>
      <c r="D86" s="2830" t="s">
        <v>2672</v>
      </c>
      <c r="E86" s="2856">
        <v>0.1</v>
      </c>
      <c r="F86" s="2856">
        <v>15</v>
      </c>
    </row>
    <row r="87" spans="1:6" ht="13.5">
      <c r="A87" s="2856">
        <v>13</v>
      </c>
      <c r="B87" s="3492"/>
      <c r="C87" s="2830" t="s">
        <v>2673</v>
      </c>
      <c r="D87" s="2830" t="s">
        <v>2674</v>
      </c>
      <c r="E87" s="2856">
        <v>0.1</v>
      </c>
      <c r="F87" s="2856">
        <v>15</v>
      </c>
    </row>
    <row r="88" spans="1:6" ht="13.5">
      <c r="A88" s="2856">
        <v>14</v>
      </c>
      <c r="B88" s="3492"/>
      <c r="C88" s="2830" t="s">
        <v>2675</v>
      </c>
      <c r="D88" s="2830" t="s">
        <v>2676</v>
      </c>
      <c r="E88" s="2856">
        <v>0.1</v>
      </c>
      <c r="F88" s="2856">
        <v>15</v>
      </c>
    </row>
    <row r="89" spans="1:6" ht="13.5">
      <c r="A89" s="2856">
        <v>15</v>
      </c>
      <c r="B89" s="3492"/>
      <c r="C89" s="2830" t="s">
        <v>2677</v>
      </c>
      <c r="D89" s="2830" t="s">
        <v>2678</v>
      </c>
      <c r="E89" s="2856">
        <v>0.1</v>
      </c>
      <c r="F89" s="2856">
        <v>15</v>
      </c>
    </row>
    <row r="90" spans="1:6" ht="24">
      <c r="A90" s="2856">
        <v>16</v>
      </c>
      <c r="B90" s="3492"/>
      <c r="C90" s="2830" t="s">
        <v>2679</v>
      </c>
      <c r="D90" s="2830" t="s">
        <v>2680</v>
      </c>
      <c r="E90" s="2856">
        <v>0.1</v>
      </c>
      <c r="F90" s="2856">
        <v>15</v>
      </c>
    </row>
    <row r="91" spans="1:6" ht="24">
      <c r="A91" s="2856">
        <v>17</v>
      </c>
      <c r="B91" s="3491"/>
      <c r="C91" s="2830" t="s">
        <v>2681</v>
      </c>
      <c r="D91" s="2830" t="s">
        <v>2682</v>
      </c>
      <c r="E91" s="2856">
        <v>0.1</v>
      </c>
      <c r="F91" s="2856">
        <v>15</v>
      </c>
    </row>
    <row r="92" spans="1:6" ht="13.5">
      <c r="A92" s="2856">
        <v>18</v>
      </c>
      <c r="B92" s="3490" t="s">
        <v>2683</v>
      </c>
      <c r="C92" s="2830" t="s">
        <v>2684</v>
      </c>
      <c r="D92" s="2830" t="s">
        <v>2685</v>
      </c>
      <c r="E92" s="2856">
        <v>0.2</v>
      </c>
      <c r="F92" s="2856">
        <v>25</v>
      </c>
    </row>
    <row r="93" spans="1:6" ht="24">
      <c r="A93" s="2856">
        <v>19</v>
      </c>
      <c r="B93" s="3492"/>
      <c r="C93" s="2830" t="s">
        <v>2686</v>
      </c>
      <c r="D93" s="2830" t="s">
        <v>2687</v>
      </c>
      <c r="E93" s="2856">
        <v>0.2</v>
      </c>
      <c r="F93" s="2856">
        <v>25</v>
      </c>
    </row>
    <row r="94" spans="1:6" ht="13.5">
      <c r="A94" s="2856">
        <v>20</v>
      </c>
      <c r="B94" s="3492"/>
      <c r="C94" s="2830" t="s">
        <v>2688</v>
      </c>
      <c r="D94" s="2830" t="s">
        <v>2689</v>
      </c>
      <c r="E94" s="2856">
        <v>0.15</v>
      </c>
      <c r="F94" s="2856">
        <v>20</v>
      </c>
    </row>
    <row r="95" spans="1:6" ht="13.5">
      <c r="A95" s="2856">
        <v>21</v>
      </c>
      <c r="B95" s="3492"/>
      <c r="C95" s="2830" t="s">
        <v>2690</v>
      </c>
      <c r="D95" s="2830" t="s">
        <v>2691</v>
      </c>
      <c r="E95" s="2856">
        <v>0.15</v>
      </c>
      <c r="F95" s="2856">
        <v>20</v>
      </c>
    </row>
    <row r="96" spans="1:6" ht="13.5">
      <c r="A96" s="2856">
        <v>22</v>
      </c>
      <c r="B96" s="3492"/>
      <c r="C96" s="2830" t="s">
        <v>2692</v>
      </c>
      <c r="D96" s="2830" t="s">
        <v>2693</v>
      </c>
      <c r="E96" s="2856">
        <v>0.15</v>
      </c>
      <c r="F96" s="2856">
        <v>20</v>
      </c>
    </row>
    <row r="97" spans="1:6" ht="36">
      <c r="A97" s="2856">
        <v>23</v>
      </c>
      <c r="B97" s="3492"/>
      <c r="C97" s="2830" t="s">
        <v>2694</v>
      </c>
      <c r="D97" s="2830" t="s">
        <v>2695</v>
      </c>
      <c r="E97" s="2856">
        <v>0.15</v>
      </c>
      <c r="F97" s="2856">
        <v>20</v>
      </c>
    </row>
    <row r="98" spans="1:6" ht="13.5">
      <c r="A98" s="2856">
        <v>24</v>
      </c>
      <c r="B98" s="3492"/>
      <c r="C98" s="2830" t="s">
        <v>2696</v>
      </c>
      <c r="D98" s="2830" t="s">
        <v>2697</v>
      </c>
      <c r="E98" s="2856">
        <v>0.1</v>
      </c>
      <c r="F98" s="2856">
        <v>15</v>
      </c>
    </row>
    <row r="99" spans="1:6" ht="13.5">
      <c r="A99" s="2856">
        <v>25</v>
      </c>
      <c r="B99" s="3492"/>
      <c r="C99" s="2830" t="s">
        <v>2698</v>
      </c>
      <c r="D99" s="2830" t="s">
        <v>2699</v>
      </c>
      <c r="E99" s="2856">
        <v>0.1</v>
      </c>
      <c r="F99" s="2856">
        <v>15</v>
      </c>
    </row>
    <row r="100" spans="1:6" ht="24">
      <c r="A100" s="2856">
        <v>26</v>
      </c>
      <c r="B100" s="3492"/>
      <c r="C100" s="2830" t="s">
        <v>2700</v>
      </c>
      <c r="D100" s="2830" t="s">
        <v>2701</v>
      </c>
      <c r="E100" s="2856">
        <v>0.1</v>
      </c>
      <c r="F100" s="2856">
        <v>15</v>
      </c>
    </row>
    <row r="101" spans="1:6" ht="24">
      <c r="A101" s="2856">
        <v>27</v>
      </c>
      <c r="B101" s="3492"/>
      <c r="C101" s="2830" t="s">
        <v>2702</v>
      </c>
      <c r="D101" s="2830" t="s">
        <v>2703</v>
      </c>
      <c r="E101" s="2856">
        <v>0.1</v>
      </c>
      <c r="F101" s="2856">
        <v>15</v>
      </c>
    </row>
    <row r="102" spans="1:6" ht="13.5">
      <c r="A102" s="2856">
        <v>28</v>
      </c>
      <c r="B102" s="3492"/>
      <c r="C102" s="2830" t="s">
        <v>2704</v>
      </c>
      <c r="D102" s="2830" t="s">
        <v>2705</v>
      </c>
      <c r="E102" s="2856">
        <v>0.1</v>
      </c>
      <c r="F102" s="2856">
        <v>15</v>
      </c>
    </row>
    <row r="103" spans="1:6" ht="13.5">
      <c r="A103" s="2856">
        <v>29</v>
      </c>
      <c r="B103" s="3492"/>
      <c r="C103" s="2830" t="s">
        <v>2706</v>
      </c>
      <c r="D103" s="2830" t="s">
        <v>2707</v>
      </c>
      <c r="E103" s="2856">
        <v>0.1</v>
      </c>
      <c r="F103" s="2856">
        <v>15</v>
      </c>
    </row>
    <row r="104" spans="1:6" ht="13.5">
      <c r="A104" s="2856">
        <v>30</v>
      </c>
      <c r="B104" s="3492"/>
      <c r="C104" s="2830" t="s">
        <v>2708</v>
      </c>
      <c r="D104" s="2830" t="s">
        <v>2709</v>
      </c>
      <c r="E104" s="2856">
        <v>0.1</v>
      </c>
      <c r="F104" s="2856">
        <v>15</v>
      </c>
    </row>
    <row r="105" spans="1:6" ht="24">
      <c r="A105" s="2856">
        <v>31</v>
      </c>
      <c r="B105" s="3492"/>
      <c r="C105" s="2830" t="s">
        <v>2710</v>
      </c>
      <c r="D105" s="2830" t="s">
        <v>2711</v>
      </c>
      <c r="E105" s="2856">
        <v>0.1</v>
      </c>
      <c r="F105" s="2856">
        <v>15</v>
      </c>
    </row>
    <row r="106" spans="1:6" ht="24">
      <c r="A106" s="2856">
        <v>32</v>
      </c>
      <c r="B106" s="3492"/>
      <c r="C106" s="2830" t="s">
        <v>2712</v>
      </c>
      <c r="D106" s="2830" t="s">
        <v>2713</v>
      </c>
      <c r="E106" s="2856">
        <v>0.1</v>
      </c>
      <c r="F106" s="2856">
        <v>15</v>
      </c>
    </row>
    <row r="107" spans="1:6" ht="24">
      <c r="A107" s="2856">
        <v>33</v>
      </c>
      <c r="B107" s="3492"/>
      <c r="C107" s="2830" t="s">
        <v>2714</v>
      </c>
      <c r="D107" s="2830" t="s">
        <v>2715</v>
      </c>
      <c r="E107" s="2856">
        <v>0.1</v>
      </c>
      <c r="F107" s="2856">
        <v>15</v>
      </c>
    </row>
    <row r="108" spans="1:6" ht="24">
      <c r="A108" s="2856">
        <v>34</v>
      </c>
      <c r="B108" s="3491"/>
      <c r="C108" s="2830" t="s">
        <v>2716</v>
      </c>
      <c r="D108" s="2830" t="s">
        <v>2717</v>
      </c>
      <c r="E108" s="2856">
        <v>0.1</v>
      </c>
      <c r="F108" s="2856">
        <v>15</v>
      </c>
    </row>
    <row r="109" spans="1:6" ht="24">
      <c r="A109" s="2856">
        <v>35</v>
      </c>
      <c r="B109" s="3490" t="s">
        <v>2718</v>
      </c>
      <c r="C109" s="2856" t="s">
        <v>2719</v>
      </c>
      <c r="D109" s="2830" t="s">
        <v>2720</v>
      </c>
      <c r="E109" s="2856">
        <v>0.15</v>
      </c>
      <c r="F109" s="2856">
        <v>20</v>
      </c>
    </row>
    <row r="110" spans="1:6" ht="13.5">
      <c r="A110" s="2856">
        <v>36</v>
      </c>
      <c r="B110" s="3492"/>
      <c r="C110" s="2856" t="s">
        <v>2721</v>
      </c>
      <c r="D110" s="2830" t="s">
        <v>2722</v>
      </c>
      <c r="E110" s="2856">
        <v>0.15</v>
      </c>
      <c r="F110" s="2856">
        <v>20</v>
      </c>
    </row>
    <row r="111" spans="1:6" ht="13.5">
      <c r="A111" s="2856">
        <v>37</v>
      </c>
      <c r="B111" s="3492"/>
      <c r="C111" s="2856" t="s">
        <v>2723</v>
      </c>
      <c r="D111" s="2830" t="s">
        <v>2724</v>
      </c>
      <c r="E111" s="2856">
        <v>0.15</v>
      </c>
      <c r="F111" s="2856">
        <v>20</v>
      </c>
    </row>
    <row r="112" spans="1:6" ht="13.5">
      <c r="A112" s="2856">
        <v>38</v>
      </c>
      <c r="B112" s="3492"/>
      <c r="C112" s="2856" t="s">
        <v>2725</v>
      </c>
      <c r="D112" s="2830" t="s">
        <v>2726</v>
      </c>
      <c r="E112" s="2856">
        <v>0.1</v>
      </c>
      <c r="F112" s="2856">
        <v>15</v>
      </c>
    </row>
    <row r="113" spans="1:6" ht="24">
      <c r="A113" s="2856">
        <v>39</v>
      </c>
      <c r="B113" s="3492"/>
      <c r="C113" s="2856" t="s">
        <v>2727</v>
      </c>
      <c r="D113" s="2830" t="s">
        <v>2728</v>
      </c>
      <c r="E113" s="2856">
        <v>0.1</v>
      </c>
      <c r="F113" s="2856">
        <v>15</v>
      </c>
    </row>
    <row r="114" spans="1:6" ht="24">
      <c r="A114" s="2856">
        <v>40</v>
      </c>
      <c r="B114" s="3491"/>
      <c r="C114" s="2856" t="s">
        <v>2729</v>
      </c>
      <c r="D114" s="2830" t="s">
        <v>2730</v>
      </c>
      <c r="E114" s="2856">
        <v>0.1</v>
      </c>
      <c r="F114" s="2856">
        <v>15</v>
      </c>
    </row>
    <row r="115" spans="1:6" ht="13.5">
      <c r="A115" s="2856">
        <v>41</v>
      </c>
      <c r="B115" s="3489" t="s">
        <v>2731</v>
      </c>
      <c r="C115" s="2856" t="s">
        <v>2732</v>
      </c>
      <c r="D115" s="2830" t="s">
        <v>2733</v>
      </c>
      <c r="E115" s="2856">
        <v>0.1</v>
      </c>
      <c r="F115" s="2856">
        <v>15</v>
      </c>
    </row>
    <row r="116" spans="1:6" ht="13.5">
      <c r="A116" s="2856">
        <v>42</v>
      </c>
      <c r="B116" s="3489"/>
      <c r="C116" s="2856" t="s">
        <v>2734</v>
      </c>
      <c r="D116" s="2830" t="s">
        <v>2735</v>
      </c>
      <c r="E116" s="2856">
        <v>0.1</v>
      </c>
      <c r="F116" s="2856">
        <v>15</v>
      </c>
    </row>
    <row r="117" spans="1:6" ht="24">
      <c r="A117" s="2856">
        <v>43</v>
      </c>
      <c r="B117" s="3489"/>
      <c r="C117" s="2856" t="s">
        <v>2736</v>
      </c>
      <c r="D117" s="2830" t="s">
        <v>2737</v>
      </c>
      <c r="E117" s="2856">
        <v>0.1</v>
      </c>
      <c r="F117" s="2856">
        <v>15</v>
      </c>
    </row>
    <row r="118" spans="1:6" ht="13.5">
      <c r="A118" s="2856">
        <v>44</v>
      </c>
      <c r="B118" s="3490" t="s">
        <v>2738</v>
      </c>
      <c r="C118" s="2856" t="s">
        <v>2739</v>
      </c>
      <c r="D118" s="2830" t="s">
        <v>2740</v>
      </c>
      <c r="E118" s="2856">
        <v>0.1</v>
      </c>
      <c r="F118" s="2856">
        <v>15</v>
      </c>
    </row>
    <row r="119" spans="1:6" ht="24">
      <c r="A119" s="2856">
        <v>45</v>
      </c>
      <c r="B119" s="3491"/>
      <c r="C119" s="2830" t="s">
        <v>2741</v>
      </c>
      <c r="D119" s="2830" t="s">
        <v>2742</v>
      </c>
      <c r="E119" s="2856">
        <v>0.1</v>
      </c>
      <c r="F119" s="2856">
        <v>15</v>
      </c>
    </row>
    <row r="120" spans="1:6" ht="24">
      <c r="A120" s="2856">
        <v>46</v>
      </c>
      <c r="B120" s="3490" t="s">
        <v>2743</v>
      </c>
      <c r="C120" s="2856" t="s">
        <v>2744</v>
      </c>
      <c r="D120" s="2830" t="s">
        <v>2745</v>
      </c>
      <c r="E120" s="2856">
        <v>0.1</v>
      </c>
      <c r="F120" s="2856">
        <v>15</v>
      </c>
    </row>
    <row r="121" spans="1:6" ht="24">
      <c r="A121" s="2856">
        <v>47</v>
      </c>
      <c r="B121" s="3491"/>
      <c r="C121" s="2856" t="s">
        <v>2746</v>
      </c>
      <c r="D121" s="2830" t="s">
        <v>2747</v>
      </c>
      <c r="E121" s="2856">
        <v>0.1</v>
      </c>
      <c r="F121" s="2856">
        <v>15</v>
      </c>
    </row>
    <row r="122" spans="1:6" ht="13.5">
      <c r="A122" s="2856">
        <v>48</v>
      </c>
      <c r="B122" s="3490" t="s">
        <v>2748</v>
      </c>
      <c r="C122" s="2856" t="s">
        <v>2749</v>
      </c>
      <c r="D122" s="2830" t="s">
        <v>2750</v>
      </c>
      <c r="E122" s="2856">
        <v>0.1</v>
      </c>
      <c r="F122" s="2856">
        <v>15</v>
      </c>
    </row>
    <row r="123" spans="1:6" ht="13.5">
      <c r="A123" s="2856">
        <v>49</v>
      </c>
      <c r="B123" s="3491"/>
      <c r="C123" s="2856" t="s">
        <v>2751</v>
      </c>
      <c r="D123" s="2830" t="s">
        <v>2752</v>
      </c>
      <c r="E123" s="2856">
        <v>0.1</v>
      </c>
      <c r="F123" s="2856">
        <v>15</v>
      </c>
    </row>
    <row r="124" spans="1:6" ht="24">
      <c r="A124" s="2856">
        <v>50</v>
      </c>
      <c r="B124" s="3489" t="s">
        <v>2753</v>
      </c>
      <c r="C124" s="2856" t="s">
        <v>2754</v>
      </c>
      <c r="D124" s="2830" t="s">
        <v>2755</v>
      </c>
      <c r="E124" s="2856">
        <v>0.1</v>
      </c>
      <c r="F124" s="2856">
        <v>15</v>
      </c>
    </row>
    <row r="125" spans="1:6" ht="24">
      <c r="A125" s="2856">
        <v>51</v>
      </c>
      <c r="B125" s="3489"/>
      <c r="C125" s="2856" t="s">
        <v>2756</v>
      </c>
      <c r="D125" s="2830" t="s">
        <v>2757</v>
      </c>
      <c r="E125" s="2856">
        <v>0.1</v>
      </c>
      <c r="F125" s="2856">
        <v>15</v>
      </c>
    </row>
    <row r="126" spans="1:6" ht="24">
      <c r="A126" s="2856">
        <v>52</v>
      </c>
      <c r="B126" s="3489" t="s">
        <v>2758</v>
      </c>
      <c r="C126" s="2856" t="s">
        <v>2759</v>
      </c>
      <c r="D126" s="2830" t="s">
        <v>2760</v>
      </c>
      <c r="E126" s="2856">
        <v>0.1</v>
      </c>
      <c r="F126" s="2856">
        <v>15</v>
      </c>
    </row>
    <row r="127" spans="1:6" ht="24">
      <c r="A127" s="2856">
        <v>53</v>
      </c>
      <c r="B127" s="3489"/>
      <c r="C127" s="2856" t="s">
        <v>2761</v>
      </c>
      <c r="D127" s="2830" t="s">
        <v>2762</v>
      </c>
      <c r="E127" s="2856">
        <v>0.1</v>
      </c>
      <c r="F127" s="2856">
        <v>15</v>
      </c>
    </row>
    <row r="128" spans="1:6" ht="13.5">
      <c r="A128" s="2856">
        <v>54</v>
      </c>
      <c r="B128" s="2856" t="s">
        <v>2763</v>
      </c>
      <c r="C128" s="2856" t="s">
        <v>2764</v>
      </c>
      <c r="D128" s="2830" t="s">
        <v>2765</v>
      </c>
      <c r="E128" s="2856">
        <v>0.1</v>
      </c>
      <c r="F128" s="2856">
        <v>15</v>
      </c>
    </row>
    <row r="129" spans="1:6" ht="13.5">
      <c r="A129" s="2856">
        <v>55</v>
      </c>
      <c r="B129" s="3489" t="s">
        <v>2766</v>
      </c>
      <c r="C129" s="2856" t="s">
        <v>2767</v>
      </c>
      <c r="D129" s="2830" t="s">
        <v>2768</v>
      </c>
      <c r="E129" s="2856">
        <v>0.1</v>
      </c>
      <c r="F129" s="2856">
        <v>15</v>
      </c>
    </row>
    <row r="130" spans="1:6" ht="13.5">
      <c r="A130" s="2856">
        <v>56</v>
      </c>
      <c r="B130" s="3489"/>
      <c r="C130" s="2856" t="s">
        <v>2769</v>
      </c>
      <c r="D130" s="2830" t="s">
        <v>2770</v>
      </c>
      <c r="E130" s="2856">
        <v>0.1</v>
      </c>
      <c r="F130" s="2856">
        <v>15</v>
      </c>
    </row>
    <row r="131" spans="1:6" ht="24">
      <c r="A131" s="2856">
        <v>57</v>
      </c>
      <c r="B131" s="3489"/>
      <c r="C131" s="2856" t="s">
        <v>2771</v>
      </c>
      <c r="D131" s="2830" t="s">
        <v>2772</v>
      </c>
      <c r="E131" s="2856">
        <v>0.1</v>
      </c>
      <c r="F131" s="2856">
        <v>15</v>
      </c>
    </row>
    <row r="132" spans="1:6" ht="24">
      <c r="A132" s="2856">
        <v>58</v>
      </c>
      <c r="B132" s="3489" t="s">
        <v>2773</v>
      </c>
      <c r="C132" s="2856" t="s">
        <v>2774</v>
      </c>
      <c r="D132" s="2830" t="s">
        <v>2775</v>
      </c>
      <c r="E132" s="2856">
        <v>0.1</v>
      </c>
      <c r="F132" s="2856">
        <v>15</v>
      </c>
    </row>
    <row r="133" spans="1:6" ht="13.5">
      <c r="A133" s="2856">
        <v>59</v>
      </c>
      <c r="B133" s="3489"/>
      <c r="C133" s="2856" t="s">
        <v>2776</v>
      </c>
      <c r="D133" s="2830" t="s">
        <v>2777</v>
      </c>
      <c r="E133" s="2856">
        <v>0.1</v>
      </c>
      <c r="F133" s="2856">
        <v>15</v>
      </c>
    </row>
    <row r="134" spans="1:6" ht="13.5">
      <c r="A134" s="2856">
        <v>60</v>
      </c>
      <c r="B134" s="3490" t="s">
        <v>2778</v>
      </c>
      <c r="C134" s="2856" t="s">
        <v>2779</v>
      </c>
      <c r="D134" s="2830" t="s">
        <v>2780</v>
      </c>
      <c r="E134" s="2856">
        <v>0.1</v>
      </c>
      <c r="F134" s="2856">
        <v>15</v>
      </c>
    </row>
    <row r="135" spans="1:6" ht="13.5">
      <c r="A135" s="2856">
        <v>61</v>
      </c>
      <c r="B135" s="3491"/>
      <c r="C135" s="2856" t="s">
        <v>2781</v>
      </c>
      <c r="D135" s="2830" t="s">
        <v>2782</v>
      </c>
      <c r="E135" s="2856">
        <v>0.1</v>
      </c>
      <c r="F135" s="2856">
        <v>15</v>
      </c>
    </row>
    <row r="136" spans="1:6" ht="24">
      <c r="A136" s="2856">
        <v>62</v>
      </c>
      <c r="B136" s="2856" t="s">
        <v>2783</v>
      </c>
      <c r="C136" s="2856" t="s">
        <v>2784</v>
      </c>
      <c r="D136" s="2830" t="s">
        <v>2785</v>
      </c>
      <c r="E136" s="2856">
        <v>0.1</v>
      </c>
      <c r="F136" s="2856">
        <v>15</v>
      </c>
    </row>
    <row r="137" spans="1:6" ht="13.5">
      <c r="A137" s="2856">
        <v>63</v>
      </c>
      <c r="B137" s="3489" t="s">
        <v>2786</v>
      </c>
      <c r="C137" s="2856" t="s">
        <v>2787</v>
      </c>
      <c r="D137" s="2830" t="s">
        <v>2788</v>
      </c>
      <c r="E137" s="2856">
        <v>0.1</v>
      </c>
      <c r="F137" s="2856">
        <v>15</v>
      </c>
    </row>
    <row r="138" spans="1:6" ht="13.5">
      <c r="A138" s="2856">
        <v>64</v>
      </c>
      <c r="B138" s="3489"/>
      <c r="C138" s="2856" t="s">
        <v>2789</v>
      </c>
      <c r="D138" s="2830" t="s">
        <v>2790</v>
      </c>
      <c r="E138" s="2856">
        <v>0.1</v>
      </c>
      <c r="F138" s="2856">
        <v>15</v>
      </c>
    </row>
    <row r="139" spans="1:6" ht="13.5">
      <c r="A139" s="2856">
        <v>65</v>
      </c>
      <c r="B139" s="2856" t="s">
        <v>2791</v>
      </c>
      <c r="C139" s="2856" t="s">
        <v>2792</v>
      </c>
      <c r="D139" s="2830" t="s">
        <v>2793</v>
      </c>
      <c r="E139" s="2856">
        <v>0.1</v>
      </c>
      <c r="F139" s="2856">
        <v>15</v>
      </c>
    </row>
    <row r="140" spans="1:6" ht="13.5">
      <c r="A140" s="2856"/>
      <c r="B140" s="2856"/>
      <c r="C140" s="2856"/>
      <c r="D140" s="2856"/>
      <c r="E140" s="2856" t="s">
        <v>2794</v>
      </c>
      <c r="F140" s="2856"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2795</v>
      </c>
      <c r="B1" s="2864"/>
      <c r="C1" s="2864"/>
      <c r="D1" s="2864"/>
      <c r="E1" s="2864"/>
      <c r="F1" s="2864"/>
      <c r="G1" s="2864"/>
      <c r="H1" s="2864"/>
      <c r="I1" s="2864"/>
      <c r="J1" s="2864"/>
      <c r="K1" s="2864"/>
      <c r="L1" s="2864"/>
      <c r="M1" s="2864"/>
      <c r="N1" s="705"/>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1</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0.9103</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5">
        <f ca="1">结果表!H101</f>
        <v>969</v>
      </c>
    </row>
    <row r="6" spans="1:5" ht="15.75">
      <c r="B6" s="3184"/>
      <c r="C6" s="1391" t="s">
        <v>911</v>
      </c>
      <c r="D6" s="795" t="str">
        <f ca="1">NUMBERSTRING(INT(D5*10000),2)&amp;"元整"</f>
        <v>玖佰陆拾玖万元整</v>
      </c>
    </row>
    <row r="7" spans="1:5" ht="15.75">
      <c r="B7" s="3189"/>
      <c r="C7" s="1392" t="s">
        <v>912</v>
      </c>
      <c r="D7" s="796">
        <f ca="1">结果表!H102</f>
        <v>14221</v>
      </c>
    </row>
    <row r="8" spans="1:5" ht="15.75">
      <c r="B8" s="3190" t="str">
        <f>结果表!E103</f>
        <v>2.估价师知悉的法定优先受偿款</v>
      </c>
      <c r="C8" s="1393" t="s">
        <v>913</v>
      </c>
      <c r="D8" s="796">
        <f>结果表!H103</f>
        <v>0</v>
      </c>
    </row>
    <row r="9" spans="1:5" ht="15.75">
      <c r="B9" s="3192"/>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83" t="str">
        <f>结果表!E107</f>
        <v>3.房地产抵押价值</v>
      </c>
      <c r="C13" s="1396" t="s">
        <v>910</v>
      </c>
      <c r="D13" s="798">
        <f ca="1">结果表!H107</f>
        <v>969</v>
      </c>
    </row>
    <row r="14" spans="1:5" ht="15.75">
      <c r="B14" s="3184"/>
      <c r="C14" s="1391" t="s">
        <v>911</v>
      </c>
      <c r="D14" s="795" t="str">
        <f ca="1">NUMBERSTRING(INT(D13*10000),2)&amp;"元整"</f>
        <v>玖佰陆拾玖万元整</v>
      </c>
    </row>
    <row r="15" spans="1:5" ht="15">
      <c r="B15" s="3189"/>
      <c r="C15" s="1392" t="s">
        <v>921</v>
      </c>
      <c r="D15" s="804">
        <f ca="1">结果表!H108</f>
        <v>14221</v>
      </c>
    </row>
    <row r="16" spans="1:5" ht="15">
      <c r="B16" s="3190" t="str">
        <f>结果表!E109</f>
        <v>——</v>
      </c>
      <c r="C16" s="1396" t="s">
        <v>922</v>
      </c>
      <c r="D16" s="1397" t="str">
        <f>结果表!H109</f>
        <v>——</v>
      </c>
    </row>
    <row r="17" spans="1:5" ht="15.75">
      <c r="B17" s="3191"/>
      <c r="C17" s="1391" t="s">
        <v>923</v>
      </c>
      <c r="D17" s="795" t="e">
        <f>NUMBERSTRING(INT(D16*10000),2)&amp;"元整"</f>
        <v>#VALUE!</v>
      </c>
    </row>
    <row r="18" spans="1:5" ht="15">
      <c r="B18" s="3192"/>
      <c r="C18" s="1392" t="s">
        <v>912</v>
      </c>
      <c r="D18" s="804" t="str">
        <f>结果表!H110</f>
        <v>——</v>
      </c>
    </row>
    <row r="19" spans="1:5" ht="15.75">
      <c r="B19" s="3183" t="str">
        <f>结果表!E111</f>
        <v>——</v>
      </c>
      <c r="C19" s="1396" t="s">
        <v>910</v>
      </c>
      <c r="D19" s="796" t="str">
        <f>结果表!H111</f>
        <v>——</v>
      </c>
    </row>
    <row r="20" spans="1:5" ht="15.75">
      <c r="B20" s="3184"/>
      <c r="C20" s="1391" t="s">
        <v>923</v>
      </c>
      <c r="D20" s="795" t="e">
        <f>NUMBERSTRING(INT(D19*10000),2)&amp;"元整"</f>
        <v>#VALUE!</v>
      </c>
    </row>
    <row r="21" spans="1:5" ht="15.75" thickBot="1">
      <c r="B21" s="3185"/>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28127</v>
      </c>
      <c r="C2" s="2" t="s">
        <v>106</v>
      </c>
      <c r="D2" s="191"/>
      <c r="E2" s="191"/>
      <c r="F2" s="191"/>
      <c r="G2" s="191"/>
    </row>
    <row r="3" spans="1:7" s="192" customFormat="1" ht="18" customHeight="1" thickBot="1">
      <c r="A3" s="195" t="s">
        <v>58</v>
      </c>
      <c r="B3" s="196">
        <f ca="1">ROUND(B2*10000/'数据-汇总表'!E3,0)</f>
        <v>412849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14</v>
      </c>
      <c r="D10" s="793">
        <f>'数据-汇总表'!E6</f>
        <v>681.29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v>
      </c>
      <c r="D19" s="204">
        <f>'数据-汇总表'!E3</f>
        <v>681.29</v>
      </c>
      <c r="E19" s="203">
        <f>'数据-取费表'!B31</f>
        <v>200</v>
      </c>
      <c r="F19" s="223"/>
      <c r="G19" s="1" t="s">
        <v>436</v>
      </c>
    </row>
    <row r="20" spans="1:7" s="206" customFormat="1" ht="13.5" customHeight="1">
      <c r="A20" s="729" t="s">
        <v>419</v>
      </c>
      <c r="B20" s="202" t="s">
        <v>77</v>
      </c>
      <c r="C20" s="224">
        <f>ROUND((C5+C19)*F20,0)</f>
        <v>619</v>
      </c>
      <c r="D20" s="224"/>
      <c r="E20" s="224"/>
      <c r="F20" s="225">
        <f>'数据-取费表'!B37</f>
        <v>0.03</v>
      </c>
      <c r="G20" s="1003"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40">
        <f ca="1">ROUND(SUM(C23:C25),0)</f>
        <v>1330</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2" t="s">
        <v>349</v>
      </c>
      <c r="B23" s="207" t="s">
        <v>423</v>
      </c>
      <c r="C23" s="1041">
        <f ca="1">ROUND(IF('数据-取费表'!B22&lt;=1,C5*F22*'数据-取费表'!B23,C5*(POWER((1+F22),'数据-取费表'!B23)-1)),0)</f>
        <v>1310</v>
      </c>
      <c r="D23" s="230"/>
      <c r="E23" s="230"/>
      <c r="F23" s="231"/>
      <c r="G23" s="232" t="s">
        <v>81</v>
      </c>
    </row>
    <row r="24" spans="1:7" s="206" customFormat="1" ht="13.5" customHeight="1">
      <c r="A24" s="732"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2" t="s">
        <v>348</v>
      </c>
      <c r="B25" s="207" t="s">
        <v>420</v>
      </c>
      <c r="C25" s="1041">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4.75">
      <c r="A27" s="729" t="s">
        <v>342</v>
      </c>
      <c r="B27" s="236" t="s">
        <v>85</v>
      </c>
      <c r="C27" s="237">
        <f>C28</f>
        <v>3186</v>
      </c>
      <c r="D27" s="227">
        <f>C29</f>
        <v>3.0000000000000001E-3</v>
      </c>
      <c r="E27" s="228" t="s">
        <v>99</v>
      </c>
      <c r="F27" s="238">
        <f>'数据-取费表'!Q16</f>
        <v>0.15</v>
      </c>
      <c r="G27" s="239" t="s">
        <v>431</v>
      </c>
    </row>
    <row r="28" spans="1:7" s="206" customFormat="1" ht="13.5" customHeight="1">
      <c r="A28" s="732" t="s">
        <v>349</v>
      </c>
      <c r="B28" s="240" t="s">
        <v>424</v>
      </c>
      <c r="C28" s="241">
        <f>ROUND((C5+C19+C20)*F27*'数据-取费表'!B21/'数据-取费表'!B20,0)</f>
        <v>3186</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204</v>
      </c>
      <c r="D34" s="209"/>
      <c r="E34" s="212"/>
      <c r="F34" s="249">
        <f>IF('数据-取费表'!B24=0,1,'数据-取费表'!N16)</f>
        <v>1</v>
      </c>
      <c r="G34" s="211" t="s">
        <v>89</v>
      </c>
    </row>
    <row r="35" spans="1:7" ht="13.5" customHeight="1">
      <c r="A35" s="732" t="s">
        <v>351</v>
      </c>
      <c r="B35" s="207" t="s">
        <v>33</v>
      </c>
      <c r="C35" s="212">
        <f>ROUND(C34*F35,0)</f>
        <v>10</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14</v>
      </c>
      <c r="D37" s="209">
        <f>'数据-汇总表'!E3</f>
        <v>681.29</v>
      </c>
      <c r="E37" s="241">
        <f>'数据-取费表'!B35</f>
        <v>200</v>
      </c>
      <c r="F37" s="251"/>
      <c r="G37" s="253" t="s">
        <v>92</v>
      </c>
    </row>
    <row r="38" spans="1:7" ht="13.5" customHeight="1">
      <c r="A38" s="732" t="s">
        <v>354</v>
      </c>
      <c r="B38" s="207" t="s">
        <v>36</v>
      </c>
      <c r="C38" s="212">
        <f>ROUND(C34*F38,0)</f>
        <v>4</v>
      </c>
      <c r="D38" s="212"/>
      <c r="E38" s="212"/>
      <c r="F38" s="251">
        <f>'数据-取费表'!B36</f>
        <v>0.02</v>
      </c>
      <c r="G38" s="211" t="s">
        <v>90</v>
      </c>
    </row>
    <row r="39" spans="1:7" s="206" customFormat="1" ht="13.5" customHeight="1">
      <c r="A39" s="729" t="s">
        <v>338</v>
      </c>
      <c r="B39" s="202" t="s">
        <v>77</v>
      </c>
      <c r="C39" s="224">
        <f>ROUND(C33*F20,0)</f>
        <v>7</v>
      </c>
      <c r="D39" s="224"/>
      <c r="E39" s="224"/>
      <c r="F39" s="225"/>
      <c r="G39" s="1003"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v>
      </c>
      <c r="D41" s="227">
        <f ca="1">C44</f>
        <v>5.9999999999999995E-4</v>
      </c>
      <c r="E41" s="228" t="s">
        <v>102</v>
      </c>
      <c r="F41" s="229"/>
      <c r="G41" s="1003" t="str">
        <f>IF('数据-取费表'!B22&lt;=1,"单利计息","复利计息")</f>
        <v>复利计息</v>
      </c>
    </row>
    <row r="42" spans="1:7" ht="13.5" customHeight="1">
      <c r="A42" s="732" t="s">
        <v>349</v>
      </c>
      <c r="B42" s="207" t="s">
        <v>423</v>
      </c>
      <c r="C42" s="230">
        <f ca="1">ROUND(IF('数据-取费表'!B22&lt;=1,C33*F22*'数据-取费表'!B21/2,C33*(POWER((1+F22),'数据-取费表'!B21/2)-1)),0)</f>
        <v>7</v>
      </c>
      <c r="D42" s="230"/>
      <c r="E42" s="230"/>
      <c r="F42" s="231"/>
      <c r="G42" s="3364" t="s">
        <v>94</v>
      </c>
    </row>
    <row r="43" spans="1:7" ht="13.5" customHeight="1">
      <c r="A43" s="732" t="s">
        <v>347</v>
      </c>
      <c r="B43" s="207" t="s">
        <v>426</v>
      </c>
      <c r="C43" s="230">
        <f ca="1">ROUND(IF('数据-取费表'!B22&lt;=1,C39*F22*'数据-取费表'!B21/2,C39*(POWER((1+F22),'数据-取费表'!B21/2)-1)),0)</f>
        <v>0</v>
      </c>
      <c r="D43" s="230"/>
      <c r="E43" s="230"/>
      <c r="F43" s="231"/>
      <c r="G43" s="3365"/>
    </row>
    <row r="44" spans="1:7" ht="13.5" customHeight="1">
      <c r="A44" s="732"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29" t="s">
        <v>341</v>
      </c>
      <c r="B45" s="236" t="s">
        <v>85</v>
      </c>
      <c r="C45" s="237">
        <f>C46</f>
        <v>36</v>
      </c>
      <c r="D45" s="227">
        <f>C47</f>
        <v>3.0000000000000001E-3</v>
      </c>
      <c r="E45" s="228" t="s">
        <v>102</v>
      </c>
      <c r="F45" s="238"/>
      <c r="G45" s="239" t="s">
        <v>434</v>
      </c>
    </row>
    <row r="46" spans="1:7" s="206" customFormat="1" ht="13.5" customHeight="1">
      <c r="A46" s="732" t="s">
        <v>349</v>
      </c>
      <c r="B46" s="240" t="s">
        <v>427</v>
      </c>
      <c r="C46" s="241">
        <f>ROUND((C33+C39)*F27,0)</f>
        <v>36</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305</v>
      </c>
      <c r="D49" s="224"/>
      <c r="E49" s="224"/>
      <c r="F49" s="256"/>
      <c r="G49" s="226" t="s">
        <v>435</v>
      </c>
    </row>
    <row r="50" spans="1:7" s="250" customFormat="1" ht="24">
      <c r="A50" s="729" t="s">
        <v>344</v>
      </c>
      <c r="B50" s="202" t="s">
        <v>97</v>
      </c>
      <c r="C50" s="224"/>
      <c r="D50" s="224"/>
      <c r="E50" s="224"/>
      <c r="F50" s="256">
        <f>IF('数据-取费表'!B24=0,'数据-取费表'!N16,1)</f>
        <v>0.82</v>
      </c>
      <c r="G50" s="239" t="s">
        <v>98</v>
      </c>
    </row>
    <row r="51" spans="1:7" ht="16.5" customHeight="1">
      <c r="A51" s="729" t="s">
        <v>345</v>
      </c>
      <c r="B51" s="202" t="s">
        <v>105</v>
      </c>
      <c r="C51" s="224">
        <f ca="1">ROUND(C49*F50,0)</f>
        <v>250</v>
      </c>
      <c r="D51" s="224"/>
      <c r="E51" s="224"/>
      <c r="F51" s="256"/>
      <c r="G51" s="226" t="s">
        <v>37</v>
      </c>
    </row>
    <row r="52" spans="1:7" s="200" customFormat="1" ht="16.5" thickBot="1">
      <c r="A52" s="257" t="s">
        <v>38</v>
      </c>
      <c r="B52" s="258"/>
      <c r="C52" s="259">
        <f ca="1">C31+C51</f>
        <v>28127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3" t="s">
        <v>3178</v>
      </c>
      <c r="B1" s="3503"/>
    </row>
    <row r="2" spans="1:7" ht="14.25" thickBot="1">
      <c r="A2" s="2967"/>
      <c r="B2" s="2967"/>
    </row>
    <row r="3" spans="1:7" ht="14.25" thickBot="1">
      <c r="A3" s="2967"/>
      <c r="B3" s="2967"/>
      <c r="C3" s="2968" t="s">
        <v>2808</v>
      </c>
      <c r="D3" s="2968" t="s">
        <v>2864</v>
      </c>
      <c r="E3" s="2968" t="s">
        <v>2810</v>
      </c>
      <c r="F3" s="2968" t="s">
        <v>2865</v>
      </c>
      <c r="G3" s="2968" t="s">
        <v>2628</v>
      </c>
    </row>
    <row r="4" spans="1:7" ht="14.2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4.2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4.2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4.2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4.2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4.2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4.2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4.2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4.2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4.2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4.2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4" t="s">
        <v>3229</v>
      </c>
      <c r="B1" s="3504"/>
      <c r="C1" s="3504"/>
      <c r="D1" s="3504"/>
      <c r="E1" s="3504"/>
      <c r="F1" s="3505"/>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45968</v>
      </c>
      <c r="B1" s="2928" t="s">
        <v>3373</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44" s="2009" customFormat="1" ht="14.25" thickBot="1">
      <c r="B2" s="2880"/>
      <c r="C2" s="2881"/>
      <c r="D2" s="2010" t="s">
        <v>2807</v>
      </c>
      <c r="E2" s="2011" t="s">
        <v>2808</v>
      </c>
      <c r="F2" s="2011" t="s">
        <v>2809</v>
      </c>
      <c r="G2" s="2011" t="s">
        <v>2810</v>
      </c>
      <c r="H2" s="2011" t="s">
        <v>2811</v>
      </c>
      <c r="I2" s="2011" t="s">
        <v>2628</v>
      </c>
      <c r="J2" s="2882"/>
      <c r="K2" s="2010" t="s">
        <v>2807</v>
      </c>
      <c r="L2" s="2011" t="s">
        <v>2808</v>
      </c>
      <c r="M2" s="2011" t="s">
        <v>2809</v>
      </c>
      <c r="N2" s="2011" t="s">
        <v>2810</v>
      </c>
      <c r="O2" s="2011" t="s">
        <v>2812</v>
      </c>
      <c r="P2" s="2011" t="s">
        <v>2628</v>
      </c>
      <c r="Q2" s="2882"/>
      <c r="R2" s="2010" t="s">
        <v>2807</v>
      </c>
      <c r="S2" s="2011" t="s">
        <v>2808</v>
      </c>
      <c r="T2" s="2011" t="s">
        <v>2809</v>
      </c>
      <c r="U2" s="2011" t="s">
        <v>2813</v>
      </c>
      <c r="V2" s="2011" t="s">
        <v>2814</v>
      </c>
      <c r="W2" s="2011" t="s">
        <v>2628</v>
      </c>
      <c r="X2" s="2882"/>
      <c r="Y2" s="2010" t="s">
        <v>2807</v>
      </c>
      <c r="Z2" s="2011" t="s">
        <v>2808</v>
      </c>
      <c r="AA2" s="2011" t="s">
        <v>2809</v>
      </c>
      <c r="AB2" s="2011" t="s">
        <v>2815</v>
      </c>
      <c r="AC2" s="2011" t="s">
        <v>2814</v>
      </c>
      <c r="AD2" s="2011" t="s">
        <v>2628</v>
      </c>
      <c r="AF2" t="s">
        <v>3398</v>
      </c>
      <c r="AG2" t="s">
        <v>673</v>
      </c>
      <c r="AH2" t="s">
        <v>21</v>
      </c>
      <c r="AI2" t="s">
        <v>3399</v>
      </c>
      <c r="AJ2" t="s">
        <v>3</v>
      </c>
      <c r="AK2" t="s">
        <v>3400</v>
      </c>
      <c r="AM2" t="s">
        <v>3398</v>
      </c>
      <c r="AN2" t="s">
        <v>673</v>
      </c>
      <c r="AO2" t="s">
        <v>21</v>
      </c>
      <c r="AP2" t="s">
        <v>3399</v>
      </c>
      <c r="AQ2" t="s">
        <v>3</v>
      </c>
      <c r="AR2" t="s">
        <v>3400</v>
      </c>
    </row>
    <row r="3" spans="1:44" s="2885" customFormat="1" ht="12.75">
      <c r="A3" s="2883" t="s">
        <v>2816</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3397</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3411</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2.75">
      <c r="A7" s="2039" t="s">
        <v>3412</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2.75">
      <c r="A8" s="2039" t="s">
        <v>3403</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2.75">
      <c r="A9" s="2039" t="s">
        <v>3402</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2.75">
      <c r="A11" s="2904" t="s">
        <v>3371</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2.75">
      <c r="A12" s="2904" t="s">
        <v>3370</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2.75">
      <c r="A13" s="2904" t="s">
        <v>3366</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2.75">
      <c r="A14" s="2904" t="s">
        <v>3365</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2.75">
      <c r="A15" s="2904" t="s">
        <v>3363</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2.75">
      <c r="A16" s="2904" t="s">
        <v>3362</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2.75">
      <c r="A17" s="2904" t="s">
        <v>3361</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2.75">
      <c r="A18" s="2904" t="s">
        <v>3359</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2.75">
      <c r="A19" s="2904" t="s">
        <v>3350</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2.75">
      <c r="A20" s="2904" t="s">
        <v>2817</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2.75">
      <c r="A21" s="2904" t="s">
        <v>2818</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2.75">
      <c r="A22" s="2904" t="s">
        <v>2819</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2.75">
      <c r="A23" s="2904" t="s">
        <v>2820</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2821</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3376</v>
      </c>
    </row>
    <row r="27" spans="1:44">
      <c r="I27" s="1404" t="s">
        <v>2822</v>
      </c>
    </row>
    <row r="29" spans="1:44" s="2008" customFormat="1" ht="12.75">
      <c r="B29" s="2928" t="s">
        <v>3374</v>
      </c>
      <c r="C29" s="2929"/>
      <c r="D29" s="2929"/>
      <c r="E29" s="2929"/>
      <c r="F29" s="2929"/>
      <c r="G29" s="2929"/>
      <c r="H29" s="2929"/>
      <c r="I29" s="2929"/>
      <c r="J29" s="2895"/>
      <c r="K29" s="2929" t="s">
        <v>2823</v>
      </c>
      <c r="L29" s="2929"/>
      <c r="M29" s="2929"/>
      <c r="N29" s="2929"/>
      <c r="O29" s="2929"/>
      <c r="P29" s="2929"/>
      <c r="Q29" s="2895"/>
      <c r="R29" s="3506" t="s">
        <v>2824</v>
      </c>
      <c r="S29" s="3507"/>
      <c r="T29" s="3507"/>
      <c r="U29" s="3507"/>
      <c r="V29" s="3507"/>
      <c r="W29" s="3507"/>
      <c r="X29" s="2895"/>
      <c r="Y29" s="3506" t="s">
        <v>2825</v>
      </c>
      <c r="Z29" s="3507"/>
      <c r="AA29" s="3507"/>
      <c r="AB29" s="3507"/>
      <c r="AC29" s="3507"/>
      <c r="AD29" s="3507"/>
    </row>
    <row r="30" spans="1:44" s="2009" customFormat="1" ht="14.25" thickBot="1">
      <c r="B30" s="2880"/>
      <c r="C30" s="2881"/>
      <c r="D30" s="2010" t="s">
        <v>2826</v>
      </c>
      <c r="E30" s="2011" t="s">
        <v>2827</v>
      </c>
      <c r="F30" s="2011" t="s">
        <v>2828</v>
      </c>
      <c r="G30" s="2011" t="s">
        <v>2829</v>
      </c>
      <c r="H30" s="2011"/>
      <c r="I30" s="2011" t="s">
        <v>2830</v>
      </c>
      <c r="J30" s="2882"/>
      <c r="K30" s="2010" t="s">
        <v>2826</v>
      </c>
      <c r="L30" s="2011" t="s">
        <v>2827</v>
      </c>
      <c r="M30" s="2011" t="s">
        <v>2828</v>
      </c>
      <c r="N30" s="2011" t="s">
        <v>2829</v>
      </c>
      <c r="O30" s="2011"/>
      <c r="P30" s="2011" t="s">
        <v>2830</v>
      </c>
      <c r="Q30" s="2882"/>
      <c r="R30" s="2010" t="s">
        <v>2826</v>
      </c>
      <c r="S30" s="2011" t="s">
        <v>2827</v>
      </c>
      <c r="T30" s="2011" t="s">
        <v>2828</v>
      </c>
      <c r="U30" s="2011" t="s">
        <v>2829</v>
      </c>
      <c r="V30" s="2011"/>
      <c r="W30" s="2011" t="s">
        <v>2830</v>
      </c>
      <c r="X30" s="2882"/>
      <c r="Y30" s="2010" t="s">
        <v>2826</v>
      </c>
      <c r="Z30" s="2011" t="s">
        <v>2827</v>
      </c>
      <c r="AA30" s="2011" t="s">
        <v>2828</v>
      </c>
      <c r="AB30" s="2011" t="s">
        <v>2829</v>
      </c>
      <c r="AC30" s="2011"/>
      <c r="AD30" s="2011" t="s">
        <v>2830</v>
      </c>
      <c r="AG30" t="s">
        <v>673</v>
      </c>
      <c r="AH30" t="s">
        <v>21</v>
      </c>
      <c r="AI30" t="s">
        <v>3399</v>
      </c>
      <c r="AJ30"/>
      <c r="AK30" t="s">
        <v>3400</v>
      </c>
      <c r="AN30" t="s">
        <v>673</v>
      </c>
      <c r="AO30" t="s">
        <v>21</v>
      </c>
      <c r="AP30" t="s">
        <v>3399</v>
      </c>
      <c r="AQ30"/>
      <c r="AR30" t="s">
        <v>3400</v>
      </c>
    </row>
    <row r="31" spans="1:44" s="2885" customFormat="1" ht="12.75">
      <c r="A31" s="2883" t="s">
        <v>2831</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3397</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3413</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2.75">
      <c r="A35" s="2039" t="s">
        <v>3412</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2.75">
      <c r="A36" s="2039" t="s">
        <v>3401</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2.75">
      <c r="A37" s="2039" t="s">
        <v>3402</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2.75">
      <c r="A38" s="2039" t="s">
        <v>3368</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2.75">
      <c r="A39" s="2904" t="s">
        <v>3372</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2.75">
      <c r="A40" s="2904" t="s">
        <v>3369</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2.75">
      <c r="A41" s="2904" t="s">
        <v>3367</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2.75">
      <c r="A42" s="2904" t="s">
        <v>3365</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2.75">
      <c r="A43" s="2904" t="s">
        <v>3364</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2.75">
      <c r="A44" s="2904" t="s">
        <v>3362</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2.75">
      <c r="A45" s="2904" t="s">
        <v>3361</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2.75">
      <c r="A46" s="2904" t="s">
        <v>3360</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2.75">
      <c r="A47" s="2904" t="s">
        <v>3350</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2.75">
      <c r="A48" s="2904" t="s">
        <v>2832</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2.75">
      <c r="A49" s="2904" t="s">
        <v>2833</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2.75">
      <c r="A50" s="2904" t="s">
        <v>2834</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2.75">
      <c r="A51" s="2904" t="s">
        <v>2835</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2821</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9" t="s">
        <v>2836</v>
      </c>
      <c r="B1" s="3519"/>
      <c r="C1" s="3519"/>
      <c r="D1" s="3519"/>
      <c r="E1" s="3519"/>
      <c r="F1" s="3519"/>
      <c r="G1" s="3520"/>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2"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17"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2" thickBot="1">
      <c r="A4" s="3518"/>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2"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2"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2"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2"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45968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2306</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O18"/>
  <sheetViews>
    <sheetView workbookViewId="0">
      <selection activeCell="O3" sqref="O3:O18"/>
    </sheetView>
  </sheetViews>
  <sheetFormatPr defaultRowHeight="13.5"/>
  <cols>
    <col min="1" max="11" width="9" style="2812"/>
    <col min="12" max="12" width="16.125" style="2812" customWidth="1"/>
    <col min="13" max="16384" width="9" style="2812"/>
  </cols>
  <sheetData>
    <row r="2" spans="12:15">
      <c r="L2" s="1420" t="s">
        <v>3530</v>
      </c>
      <c r="M2" s="1420" t="s">
        <v>3531</v>
      </c>
      <c r="N2" s="1420" t="s">
        <v>3532</v>
      </c>
      <c r="O2" s="1420" t="s">
        <v>3533</v>
      </c>
    </row>
    <row r="3" spans="12:15">
      <c r="L3" s="3521" t="s">
        <v>3534</v>
      </c>
      <c r="M3" s="1420">
        <v>497</v>
      </c>
      <c r="N3" s="1420">
        <v>20000</v>
      </c>
      <c r="O3" s="1420">
        <f>N3/30/M3</f>
        <v>1.3413816230717639</v>
      </c>
    </row>
    <row r="4" spans="12:15">
      <c r="L4" s="3521"/>
      <c r="M4" s="1420">
        <v>493</v>
      </c>
      <c r="N4" s="1420">
        <v>12500</v>
      </c>
      <c r="O4" s="1420">
        <f t="shared" ref="O4:O18" si="0">N4/30/M4</f>
        <v>0.84516565246788378</v>
      </c>
    </row>
    <row r="5" spans="12:15">
      <c r="L5" s="3521"/>
      <c r="M5" s="1420">
        <v>496</v>
      </c>
      <c r="N5" s="1420">
        <v>20000</v>
      </c>
      <c r="O5" s="1420">
        <f t="shared" si="0"/>
        <v>1.3440860215053763</v>
      </c>
    </row>
    <row r="6" spans="12:15">
      <c r="L6" s="3521"/>
      <c r="M6" s="2812">
        <v>597.34</v>
      </c>
      <c r="N6" s="2812">
        <v>31000</v>
      </c>
      <c r="O6" s="1420">
        <f t="shared" si="0"/>
        <v>1.72989140746197</v>
      </c>
    </row>
    <row r="7" spans="12:15">
      <c r="L7" s="3521" t="s">
        <v>3529</v>
      </c>
      <c r="M7" s="2812">
        <v>211.88</v>
      </c>
      <c r="N7" s="2812">
        <v>6400</v>
      </c>
      <c r="O7" s="1420">
        <f t="shared" si="0"/>
        <v>1.0068592284941162</v>
      </c>
    </row>
    <row r="8" spans="12:15">
      <c r="L8" s="3521"/>
      <c r="M8" s="2812">
        <v>202.68</v>
      </c>
      <c r="N8" s="2812">
        <v>5800</v>
      </c>
      <c r="O8" s="1420">
        <f t="shared" si="0"/>
        <v>0.9538846128544175</v>
      </c>
    </row>
    <row r="9" spans="12:15">
      <c r="L9" s="3521"/>
      <c r="M9" s="2812">
        <v>214</v>
      </c>
      <c r="N9" s="2812">
        <v>5800</v>
      </c>
      <c r="O9" s="1420">
        <f t="shared" si="0"/>
        <v>0.90342679127725856</v>
      </c>
    </row>
    <row r="10" spans="12:15">
      <c r="L10" s="3521"/>
      <c r="M10" s="2812">
        <v>202.86</v>
      </c>
      <c r="N10" s="2812">
        <v>5600</v>
      </c>
      <c r="O10" s="1420">
        <f t="shared" si="0"/>
        <v>0.92017483321831139</v>
      </c>
    </row>
    <row r="11" spans="12:15">
      <c r="L11" s="3521"/>
      <c r="M11" s="2812">
        <v>214.57</v>
      </c>
      <c r="N11" s="2812">
        <v>5500</v>
      </c>
      <c r="O11" s="1420">
        <f t="shared" si="0"/>
        <v>0.85442202233925224</v>
      </c>
    </row>
    <row r="12" spans="12:15">
      <c r="L12" s="3521"/>
      <c r="M12" s="2812">
        <v>202</v>
      </c>
      <c r="N12" s="2812">
        <v>6000</v>
      </c>
      <c r="O12" s="1420">
        <f t="shared" si="0"/>
        <v>0.99009900990099009</v>
      </c>
    </row>
    <row r="13" spans="12:15">
      <c r="L13" s="3521" t="s">
        <v>3535</v>
      </c>
      <c r="M13" s="2812">
        <v>370.42</v>
      </c>
      <c r="N13" s="2812">
        <v>15000</v>
      </c>
      <c r="O13" s="1420">
        <f t="shared" si="0"/>
        <v>1.3498191242373521</v>
      </c>
    </row>
    <row r="14" spans="12:15">
      <c r="L14" s="3521"/>
      <c r="M14" s="2812">
        <v>336</v>
      </c>
      <c r="N14" s="2812">
        <v>13000</v>
      </c>
      <c r="O14" s="1420">
        <f t="shared" si="0"/>
        <v>1.2896825396825395</v>
      </c>
    </row>
    <row r="15" spans="12:15">
      <c r="L15" s="3521"/>
      <c r="M15" s="2812">
        <v>407</v>
      </c>
      <c r="N15" s="2812">
        <v>16000</v>
      </c>
      <c r="O15" s="1420">
        <f t="shared" si="0"/>
        <v>1.3104013104013106</v>
      </c>
    </row>
    <row r="16" spans="12:15">
      <c r="L16" s="1420" t="s">
        <v>3536</v>
      </c>
      <c r="M16" s="2812">
        <v>161</v>
      </c>
      <c r="N16" s="2812">
        <v>10000</v>
      </c>
      <c r="O16" s="1420">
        <f t="shared" si="0"/>
        <v>2.0703933747412009</v>
      </c>
    </row>
    <row r="17" spans="13:15">
      <c r="M17" s="2812">
        <v>121</v>
      </c>
      <c r="N17" s="2812">
        <v>7200</v>
      </c>
      <c r="O17" s="1420">
        <f t="shared" si="0"/>
        <v>1.9834710743801653</v>
      </c>
    </row>
    <row r="18" spans="13:15">
      <c r="M18" s="2812">
        <v>160</v>
      </c>
      <c r="N18" s="2812">
        <v>8000</v>
      </c>
      <c r="O18" s="1420">
        <f t="shared" si="0"/>
        <v>1.6666666666666667</v>
      </c>
    </row>
  </sheetData>
  <mergeCells count="3">
    <mergeCell ref="L7:L12"/>
    <mergeCell ref="L13:L15"/>
    <mergeCell ref="L3:L6"/>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
  <sheetViews>
    <sheetView topLeftCell="A169" workbookViewId="0">
      <selection activeCell="B3" sqref="B3"/>
    </sheetView>
  </sheetViews>
  <sheetFormatPr defaultRowHeight="13.5"/>
  <cols>
    <col min="1" max="1" width="12" customWidth="1"/>
    <col min="2" max="2" width="11.625" bestFit="1" customWidth="1"/>
  </cols>
  <sheetData>
    <row r="3" spans="1:2">
      <c r="A3" s="1404" t="s">
        <v>3537</v>
      </c>
      <c r="B3">
        <f>660*10000/490</f>
        <v>13469.387755102041</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P7"/>
  <sheetViews>
    <sheetView workbookViewId="0">
      <selection activeCell="P7" sqref="P7"/>
    </sheetView>
  </sheetViews>
  <sheetFormatPr defaultRowHeight="13.5"/>
  <sheetData>
    <row r="5" spans="16:16">
      <c r="P5">
        <f>14.4*0.6</f>
        <v>8.64</v>
      </c>
    </row>
    <row r="7" spans="16:16">
      <c r="P7">
        <f>P5*10000</f>
        <v>86400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196"/>
      <c r="B3" s="3196"/>
      <c r="C3" s="3196"/>
      <c r="D3" s="799" t="s">
        <v>925</v>
      </c>
      <c r="E3" s="799" t="s">
        <v>931</v>
      </c>
      <c r="F3" s="799" t="s">
        <v>925</v>
      </c>
      <c r="G3" s="799" t="s">
        <v>926</v>
      </c>
      <c r="H3" s="799" t="s">
        <v>925</v>
      </c>
      <c r="I3" s="799" t="s">
        <v>926</v>
      </c>
    </row>
    <row r="4" spans="1:9" ht="45">
      <c r="A4" s="1402" t="str">
        <f>项目基本情况!S2</f>
        <v>北京市大兴区隆华大街55号院67号楼-1至2层01办公楼用房房地产</v>
      </c>
      <c r="B4" s="799">
        <f>项目基本情况!C17</f>
        <v>681.29</v>
      </c>
      <c r="C4" s="799">
        <f>项目基本情况!C18</f>
        <v>0</v>
      </c>
      <c r="D4" s="799">
        <f ca="1">结果表!D118</f>
        <v>435</v>
      </c>
      <c r="E4" s="799">
        <f ca="1">结果表!E118</f>
        <v>6385</v>
      </c>
      <c r="F4" s="799">
        <f ca="1">结果表!F118</f>
        <v>534</v>
      </c>
      <c r="G4" s="799">
        <f ca="1">结果表!G118</f>
        <v>7836</v>
      </c>
      <c r="H4" s="799">
        <f ca="1">结果表!H118</f>
        <v>969</v>
      </c>
      <c r="I4" s="799">
        <f ca="1">结果表!I118</f>
        <v>14221</v>
      </c>
    </row>
    <row r="5" spans="1:9" ht="30" customHeight="1">
      <c r="A5" s="3196" t="s">
        <v>927</v>
      </c>
      <c r="B5" s="3196"/>
      <c r="C5" s="3196"/>
      <c r="D5" s="3196" t="str">
        <f ca="1">结果表!D119</f>
        <v>肆佰叁拾伍万元整</v>
      </c>
      <c r="E5" s="3196"/>
      <c r="F5" s="3196" t="str">
        <f ca="1">结果表!F119</f>
        <v>伍佰叁拾肆万元整</v>
      </c>
      <c r="G5" s="3196"/>
      <c r="H5" s="3196" t="str">
        <f ca="1">结果表!H119</f>
        <v>玖佰陆拾玖万元整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969</v>
      </c>
      <c r="E8" s="3195"/>
      <c r="F8" s="3195"/>
      <c r="G8" s="3195"/>
      <c r="H8" s="3195"/>
      <c r="I8" s="3195"/>
    </row>
    <row r="9" spans="1:9" ht="15">
      <c r="A9" s="3196" t="s">
        <v>927</v>
      </c>
      <c r="B9" s="3196"/>
      <c r="C9" s="3196"/>
      <c r="D9" s="3196" t="str">
        <f ca="1">结果表!D123</f>
        <v>玖佰陆拾玖万元整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
  <sheetViews>
    <sheetView workbookViewId="0">
      <selection activeCell="F7" sqref="F7"/>
    </sheetView>
  </sheetViews>
  <sheetFormatPr defaultRowHeight="13.5"/>
  <sheetData>
    <row r="7" spans="6:6">
      <c r="F7" s="1404"/>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45971</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t="str">
        <f ca="1">IF(C4&lt;B2,"已过期",1119970066)</f>
        <v>已过期</v>
      </c>
      <c r="C4" s="2161">
        <v>45937</v>
      </c>
      <c r="D4" s="2162" t="str">
        <f ca="1">A4&amp;"（注册号："&amp;B4&amp;"）"</f>
        <v>梁津（注册号：已过期）</v>
      </c>
      <c r="E4" s="2163" t="s">
        <v>2145</v>
      </c>
      <c r="F4" s="1218">
        <f ca="1">IF(G4&lt;B2,"已过期",96010014)</f>
        <v>96010014</v>
      </c>
      <c r="G4" s="2164">
        <v>47118</v>
      </c>
      <c r="H4" s="2165" t="str">
        <f ca="1">E4&amp;"（注册号："&amp;F4&amp;"）"</f>
        <v>梁津（注册号：96010014）</v>
      </c>
    </row>
    <row r="5" spans="1:8" ht="24" customHeight="1">
      <c r="A5" s="1218" t="s">
        <v>2146</v>
      </c>
      <c r="B5" s="1218" t="str">
        <f ca="1">IF(C5&lt;B2,"已过期",1119970111)</f>
        <v>已过期</v>
      </c>
      <c r="C5" s="2161">
        <v>45937</v>
      </c>
      <c r="D5" s="2162" t="str">
        <f t="shared" ref="D5:D15" ca="1" si="0">A5&amp;"（注册号："&amp;B5&amp;"）"</f>
        <v>叶凌（注册号：已过期）</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t="str">
        <f ca="1">IF(C7&lt;B2,"已过期",1120000080)</f>
        <v>已过期</v>
      </c>
      <c r="C7" s="2161">
        <v>45937</v>
      </c>
      <c r="D7" s="2162" t="str">
        <f t="shared" ca="1" si="0"/>
        <v>欧红伟（注册号：已过期）</v>
      </c>
      <c r="E7" s="2163" t="s">
        <v>2148</v>
      </c>
      <c r="F7" s="1218">
        <f ca="1">IF(G7&lt;B2,"已过期",2000110082)</f>
        <v>2000110082</v>
      </c>
      <c r="G7" s="2164">
        <v>46387</v>
      </c>
      <c r="H7" s="2165" t="str">
        <f t="shared" ca="1" si="1"/>
        <v>欧红伟（注册号：2000110082）</v>
      </c>
    </row>
    <row r="8" spans="1:8" ht="24" customHeight="1">
      <c r="A8" s="1218" t="s">
        <v>2149</v>
      </c>
      <c r="B8" s="1218" t="str">
        <f ca="1">IF(C8&lt;B2,"已过期",1419970001)</f>
        <v>已过期</v>
      </c>
      <c r="C8" s="2161">
        <v>45937</v>
      </c>
      <c r="D8" s="2162" t="str">
        <f t="shared" ca="1" si="0"/>
        <v>吴薇（注册号：已过期）</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t="str">
        <f ca="1">IF(C11&lt;B2,"已过期",1120070131)</f>
        <v>已过期</v>
      </c>
      <c r="C11" s="2161">
        <v>45937</v>
      </c>
      <c r="D11" s="2162" t="str">
        <f t="shared" ca="1" si="0"/>
        <v>郑燚（注册号：已过期）</v>
      </c>
      <c r="E11" s="2163" t="s">
        <v>2152</v>
      </c>
      <c r="F11" s="1218">
        <f ca="1">IF(G11&lt;B2,"已过期",2014110011)</f>
        <v>2014110011</v>
      </c>
      <c r="G11" s="2164">
        <v>49302</v>
      </c>
      <c r="H11" s="2165" t="str">
        <f t="shared" ca="1" si="1"/>
        <v>郑燚（注册号：2014110011）</v>
      </c>
    </row>
    <row r="12" spans="1:8" ht="24" customHeight="1">
      <c r="A12" s="1218" t="s">
        <v>2153</v>
      </c>
      <c r="B12" s="1218" t="str">
        <f ca="1">IF(C12&lt;B2,"已过期",1120040230)</f>
        <v>已过期</v>
      </c>
      <c r="C12" s="2166">
        <v>45937</v>
      </c>
      <c r="D12" s="2162" t="str">
        <f t="shared" ca="1" si="0"/>
        <v>苏海（注册号：已过期）</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59"/>
      <c r="E18" s="3221" t="s">
        <v>2159</v>
      </c>
      <c r="F18" s="3220"/>
      <c r="G18" s="3220"/>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基准地价修正</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2025-11-10T05:50:59Z</dcterms:modified>
</cp:coreProperties>
</file>