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codeName="ThisWorkbook" defaultThemeVersion="124226"/>
  <mc:AlternateContent xmlns:mc="http://schemas.openxmlformats.org/markup-compatibility/2006">
    <mc:Choice Requires="x15">
      <x15ac:absPath xmlns:x15ac="http://schemas.microsoft.com/office/spreadsheetml/2010/11/ac" url="D:\桌面\西安土地询价\"/>
    </mc:Choice>
  </mc:AlternateContent>
  <xr:revisionPtr revIDLastSave="0" documentId="13_ncr:1_{6A67D954-8357-4D35-951E-EBFC3CEA4576}" xr6:coauthVersionLast="45" xr6:coauthVersionMax="45" xr10:uidLastSave="{00000000-0000-0000-0000-000000000000}"/>
  <bookViews>
    <workbookView xWindow="-120" yWindow="-120" windowWidth="19440" windowHeight="15000" tabRatio="875" firstSheet="14"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信息" sheetId="72" r:id="rId19"/>
    <sheet name="土地案例"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state="hidden" r:id="rId32"/>
    <sheet name="住宅案例" sheetId="71" state="hidden" r:id="rId33"/>
    <sheet name="不动产收益法" sheetId="15" r:id="rId34"/>
    <sheet name="酒店收入计算" sheetId="57" state="hidden" r:id="rId35"/>
    <sheet name="成本逼近法" sheetId="11" state="hidden" r:id="rId36"/>
    <sheet name="不动产收益法 (车库)" sheetId="70"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2"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7">'比较法-住宅、综合'!$A$1:$K$67,'比较法-住宅、综合'!$A$71:$N$134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1">'不动产比较法-住宅'!$A$1:$K$54,'不动产比较法-住宅'!$A$57:$M$131</definedName>
    <definedName name="_xlnm.Print_Area" localSheetId="33">不动产收益法!$A$1:$F$43,不动产收益法!$H$3:$M$29,不动产收益法!$A$46:$F$70,不动产收益法!$I$46:$M$60</definedName>
    <definedName name="_xlnm.Print_Area" localSheetId="36">'不动产收益法 (车库)'!$A$1:$F$43,'不动产收益法 (车库)'!$H$3:$M$29,'不动产收益法 (车库)'!$A$46:$F$70,'不动产收益法 (车库)'!$I$46:$M$60</definedName>
    <definedName name="_xlnm.Print_Area" localSheetId="35">成本逼近法!$A$1:$G$23</definedName>
    <definedName name="_xlnm.Print_Area" localSheetId="14">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V26" i="1" l="1"/>
  <c r="V25" i="1"/>
  <c r="V24" i="1"/>
  <c r="D73" i="39"/>
  <c r="I40" i="39"/>
  <c r="G40" i="39"/>
  <c r="E40" i="39"/>
  <c r="I13" i="39"/>
  <c r="G13" i="39"/>
  <c r="E13" i="39"/>
  <c r="I48" i="39"/>
  <c r="G48" i="39"/>
  <c r="E48" i="39"/>
  <c r="I9" i="39"/>
  <c r="G9" i="39"/>
  <c r="E9" i="39"/>
  <c r="I7" i="39"/>
  <c r="G7" i="39"/>
  <c r="E7" i="39"/>
  <c r="S5" i="73" l="1"/>
  <c r="R5" i="73"/>
  <c r="G3" i="73"/>
  <c r="G6" i="73"/>
  <c r="G7" i="73"/>
  <c r="G2" i="73"/>
  <c r="K23" i="1"/>
  <c r="M23" i="1"/>
  <c r="M21" i="1"/>
  <c r="C106" i="9"/>
  <c r="K13" i="3"/>
  <c r="F20" i="6" s="1"/>
  <c r="A3" i="3"/>
  <c r="F19" i="6"/>
  <c r="G21" i="6"/>
  <c r="L14" i="1"/>
  <c r="I50" i="21" l="1"/>
  <c r="I7" i="21"/>
  <c r="G7" i="21"/>
  <c r="E7" i="21"/>
  <c r="Q73" i="70" l="1"/>
  <c r="F61" i="70"/>
  <c r="Q60" i="70"/>
  <c r="D60" i="70"/>
  <c r="Q59" i="70"/>
  <c r="K59" i="70"/>
  <c r="F58" i="70"/>
  <c r="Q52" i="70"/>
  <c r="J50" i="70"/>
  <c r="J51" i="70" s="1"/>
  <c r="M47" i="70"/>
  <c r="F34" i="70"/>
  <c r="F33" i="70"/>
  <c r="F60" i="70" s="1"/>
  <c r="F31" i="70"/>
  <c r="F23" i="70"/>
  <c r="F21" i="70"/>
  <c r="M20" i="70"/>
  <c r="F20" i="70"/>
  <c r="M19" i="70"/>
  <c r="F18" i="70"/>
  <c r="M17" i="70"/>
  <c r="F17" i="70"/>
  <c r="F15" i="70"/>
  <c r="D23" i="70" l="1"/>
  <c r="D22" i="70"/>
  <c r="D24" i="70"/>
  <c r="L46" i="70"/>
  <c r="P75" i="70"/>
  <c r="P62" i="70"/>
  <c r="E73" i="39"/>
  <c r="F73" i="39"/>
  <c r="G73" i="39" s="1"/>
  <c r="H73" i="39" s="1"/>
  <c r="I73" i="39" s="1"/>
  <c r="J73" i="39" s="1"/>
  <c r="K73" i="39" s="1"/>
  <c r="L73" i="39" s="1"/>
  <c r="M73" i="39" s="1"/>
  <c r="N73" i="39" s="1"/>
  <c r="J21" i="1" l="1"/>
  <c r="C40" i="39"/>
  <c r="D3" i="4"/>
  <c r="C16" i="11" l="1"/>
  <c r="C15" i="11"/>
  <c r="C14" i="11"/>
  <c r="C9" i="11"/>
  <c r="C8" i="11"/>
  <c r="K36" i="36" l="1"/>
  <c r="K38" i="35"/>
  <c r="K42" i="37"/>
  <c r="K49" i="34"/>
  <c r="K48" i="33" l="1"/>
  <c r="K48" i="21"/>
  <c r="K44" i="40" l="1"/>
  <c r="K49" i="39"/>
  <c r="E77" i="9"/>
  <c r="F77" i="9"/>
  <c r="AH5" i="59" l="1"/>
  <c r="AG5" i="59"/>
  <c r="AE5" i="59"/>
  <c r="AF5" i="59" s="1"/>
  <c r="AD5" i="59"/>
  <c r="Q5" i="59"/>
  <c r="P5" i="59"/>
  <c r="O5" i="59"/>
  <c r="N5" i="59"/>
  <c r="A21" i="31" l="1"/>
  <c r="C109" i="9" l="1"/>
  <c r="AH6" i="59" l="1"/>
  <c r="AG6" i="59"/>
  <c r="AE6" i="59"/>
  <c r="AF6" i="59" s="1"/>
  <c r="AD6" i="59"/>
  <c r="Q6" i="59"/>
  <c r="P6" i="59"/>
  <c r="O6" i="59"/>
  <c r="N6" i="59"/>
  <c r="Q8" i="59" l="1"/>
  <c r="P8" i="59"/>
  <c r="O8" i="59"/>
  <c r="N8" i="59"/>
  <c r="AH7" i="59"/>
  <c r="AG7" i="59"/>
  <c r="AE7" i="59"/>
  <c r="AF7" i="59" s="1"/>
  <c r="AD7" i="59"/>
  <c r="Q7" i="59"/>
  <c r="P7" i="59"/>
  <c r="O7" i="59"/>
  <c r="N7" i="59"/>
  <c r="AH8" i="59"/>
  <c r="AG8" i="59"/>
  <c r="AE8" i="59"/>
  <c r="AF8" i="59" s="1"/>
  <c r="AD8" i="59"/>
  <c r="Q9" i="59"/>
  <c r="Q10" i="59"/>
  <c r="P9" i="59"/>
  <c r="P10" i="59"/>
  <c r="O9" i="59"/>
  <c r="O10" i="59"/>
  <c r="N9" i="59"/>
  <c r="N10" i="59"/>
  <c r="AH9" i="59"/>
  <c r="AG9" i="59"/>
  <c r="AE9" i="59"/>
  <c r="AF9" i="59"/>
  <c r="AD9" i="59"/>
  <c r="F25" i="12"/>
  <c r="AH10" i="59"/>
  <c r="AG10" i="59"/>
  <c r="AE10" i="59"/>
  <c r="AF10" i="59"/>
  <c r="AD10"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O12" i="59"/>
  <c r="O13" i="59"/>
  <c r="N12" i="59"/>
  <c r="N13" i="59"/>
  <c r="AH13" i="59"/>
  <c r="AG13" i="59"/>
  <c r="AE13" i="59"/>
  <c r="AF13" i="59" s="1"/>
  <c r="AD13" i="59"/>
  <c r="Q14" i="59"/>
  <c r="P14" i="59"/>
  <c r="O14" i="59"/>
  <c r="N14" i="59"/>
  <c r="M19" i="46"/>
  <c r="J50" i="15"/>
  <c r="J51" i="15" s="1"/>
  <c r="D16" i="59"/>
  <c r="AH14" i="59"/>
  <c r="AG14" i="59"/>
  <c r="AE14" i="59"/>
  <c r="AF14" i="59" s="1"/>
  <c r="AD14" i="59"/>
  <c r="AE15" i="59"/>
  <c r="AF15" i="59"/>
  <c r="AG15" i="59"/>
  <c r="AH15" i="59"/>
  <c r="AD15" i="59"/>
  <c r="Q15" i="59"/>
  <c r="P15" i="59"/>
  <c r="O15" i="59"/>
  <c r="N15" i="59"/>
  <c r="N16" i="59"/>
  <c r="Q16" i="59"/>
  <c r="P16" i="59"/>
  <c r="O16" i="59"/>
  <c r="K59" i="15"/>
  <c r="P62" i="15"/>
  <c r="P75" i="15"/>
  <c r="Q74" i="44"/>
  <c r="Q61" i="44"/>
  <c r="Q60" i="44"/>
  <c r="Q53" i="44"/>
  <c r="J51" i="44"/>
  <c r="J52" i="44" s="1"/>
  <c r="M48" i="44"/>
  <c r="A16" i="55"/>
  <c r="A15" i="55"/>
  <c r="B66" i="63" s="1"/>
  <c r="A10" i="55"/>
  <c r="B61" i="63" s="1"/>
  <c r="A9" i="55"/>
  <c r="B60" i="63" s="1"/>
  <c r="A8" i="55"/>
  <c r="A6" i="54"/>
  <c r="A8" i="54"/>
  <c r="A7" i="54"/>
  <c r="A27" i="51"/>
  <c r="B20" i="63"/>
  <c r="Q17" i="59"/>
  <c r="O17" i="59"/>
  <c r="N18" i="59"/>
  <c r="O18" i="59"/>
  <c r="P18" i="59"/>
  <c r="Q18" i="59"/>
  <c r="N17" i="59"/>
  <c r="P17" i="59"/>
  <c r="K75" i="9"/>
  <c r="K6" i="4"/>
  <c r="O76" i="9"/>
  <c r="L76" i="9"/>
  <c r="K76" i="9"/>
  <c r="B22" i="31"/>
  <c r="E15" i="66"/>
  <c r="F15" i="66"/>
  <c r="E16" i="66"/>
  <c r="F16" i="66"/>
  <c r="E17" i="66"/>
  <c r="F17" i="66"/>
  <c r="E18" i="66"/>
  <c r="F18" i="66"/>
  <c r="E19" i="66"/>
  <c r="F19" i="66"/>
  <c r="E20" i="66"/>
  <c r="F20" i="66"/>
  <c r="E21" i="66"/>
  <c r="F21" i="66"/>
  <c r="E22" i="66"/>
  <c r="F22" i="66"/>
  <c r="E23" i="66"/>
  <c r="F23" i="66"/>
  <c r="B3" i="66"/>
  <c r="B15" i="59"/>
  <c r="B14" i="59"/>
  <c r="B13" i="59" s="1"/>
  <c r="E15" i="59"/>
  <c r="E14" i="59" s="1"/>
  <c r="E13" i="59" s="1"/>
  <c r="E12" i="59" s="1"/>
  <c r="E11" i="59" s="1"/>
  <c r="E10" i="59" s="1"/>
  <c r="E9" i="59" s="1"/>
  <c r="E8" i="59" s="1"/>
  <c r="F15" i="59"/>
  <c r="V15" i="59" s="1"/>
  <c r="S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H30" i="59"/>
  <c r="AG30" i="59"/>
  <c r="AE30" i="59"/>
  <c r="AF30" i="59" s="1"/>
  <c r="AD30" i="59"/>
  <c r="AD31" i="59"/>
  <c r="AE31" i="59"/>
  <c r="AF31" i="59" s="1"/>
  <c r="AG31" i="59"/>
  <c r="AH31" i="59"/>
  <c r="S2" i="31"/>
  <c r="M2" i="31"/>
  <c r="N2" i="31"/>
  <c r="O2" i="31"/>
  <c r="P2" i="31"/>
  <c r="Q2" i="31"/>
  <c r="R2" i="31"/>
  <c r="C15" i="59"/>
  <c r="C14" i="59"/>
  <c r="C3" i="65"/>
  <c r="C1" i="65"/>
  <c r="N1" i="65" s="1"/>
  <c r="T15" i="59"/>
  <c r="D15"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I12" i="46"/>
  <c r="AG12" i="46"/>
  <c r="AE12" i="46"/>
  <c r="AC12" i="46"/>
  <c r="AA12" i="46"/>
  <c r="B73" i="63"/>
  <c r="A21" i="64"/>
  <c r="B75" i="63" s="1"/>
  <c r="A27" i="64"/>
  <c r="A15" i="64"/>
  <c r="A14" i="64"/>
  <c r="A11" i="64"/>
  <c r="A3" i="64"/>
  <c r="A45" i="9"/>
  <c r="A44" i="9"/>
  <c r="C57" i="10"/>
  <c r="A28" i="51" s="1"/>
  <c r="B21" i="63" s="1"/>
  <c r="C56" i="10"/>
  <c r="A26" i="51" s="1"/>
  <c r="B19" i="63" s="1"/>
  <c r="C55" i="10"/>
  <c r="C54" i="10"/>
  <c r="B49" i="63"/>
  <c r="B44" i="63"/>
  <c r="B40" i="63"/>
  <c r="B30" i="63"/>
  <c r="B27" i="63"/>
  <c r="B25" i="63"/>
  <c r="A11" i="5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s="1"/>
  <c r="A4" i="55"/>
  <c r="B57" i="63" s="1"/>
  <c r="B41" i="63"/>
  <c r="G5" i="54"/>
  <c r="B34" i="63"/>
  <c r="E5" i="54"/>
  <c r="B32" i="63"/>
  <c r="R2" i="54"/>
  <c r="B24" i="63"/>
  <c r="B49" i="50"/>
  <c r="B5" i="63" s="1"/>
  <c r="B40" i="50"/>
  <c r="B3" i="63" s="1"/>
  <c r="B67" i="63"/>
  <c r="I19" i="46"/>
  <c r="Q19" i="59"/>
  <c r="P19" i="59"/>
  <c r="E19" i="59" s="1"/>
  <c r="O19" i="59"/>
  <c r="N19" i="59"/>
  <c r="B19" i="59" s="1"/>
  <c r="B18" i="59" s="1"/>
  <c r="B17" i="59" s="1"/>
  <c r="D80" i="59"/>
  <c r="F79" i="59"/>
  <c r="E79" i="59"/>
  <c r="E78" i="59" s="1"/>
  <c r="E77" i="59"/>
  <c r="C79" i="59"/>
  <c r="D79" i="59"/>
  <c r="B79" i="59"/>
  <c r="F78" i="59"/>
  <c r="F77" i="59" s="1"/>
  <c r="B78" i="59"/>
  <c r="B77" i="59" s="1"/>
  <c r="D76" i="59"/>
  <c r="F75" i="59"/>
  <c r="E75" i="59"/>
  <c r="E74" i="59" s="1"/>
  <c r="E73" i="59" s="1"/>
  <c r="C75" i="59"/>
  <c r="D75" i="59"/>
  <c r="B75" i="59"/>
  <c r="F74" i="59"/>
  <c r="F73" i="59" s="1"/>
  <c r="B74" i="59"/>
  <c r="B73" i="59" s="1"/>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s="1"/>
  <c r="E67" i="59"/>
  <c r="C67" i="59"/>
  <c r="B67" i="59"/>
  <c r="S67" i="59" s="1"/>
  <c r="Q66" i="59"/>
  <c r="P66" i="59"/>
  <c r="O66" i="59"/>
  <c r="N66" i="59"/>
  <c r="F66" i="59"/>
  <c r="F65" i="59" s="1"/>
  <c r="B66" i="59"/>
  <c r="B65" i="59" s="1"/>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E59" i="59"/>
  <c r="C59" i="59"/>
  <c r="B59" i="59"/>
  <c r="F58" i="59"/>
  <c r="F57" i="59" s="1"/>
  <c r="Q57" i="59" s="1"/>
  <c r="Q56" i="59"/>
  <c r="D56" i="59"/>
  <c r="Q55" i="59"/>
  <c r="P55" i="59"/>
  <c r="O55" i="59"/>
  <c r="N55" i="59"/>
  <c r="Q54" i="59"/>
  <c r="P54" i="59"/>
  <c r="O54" i="59"/>
  <c r="N54" i="59"/>
  <c r="Q53" i="59"/>
  <c r="P53" i="59"/>
  <c r="O53" i="59"/>
  <c r="N53" i="59"/>
  <c r="Q52" i="59"/>
  <c r="F53" i="59" s="1"/>
  <c r="F54" i="59" s="1"/>
  <c r="P52" i="59"/>
  <c r="E53" i="59" s="1"/>
  <c r="E54" i="59"/>
  <c r="E55" i="59" s="1"/>
  <c r="U55" i="59" s="1"/>
  <c r="O52" i="59"/>
  <c r="C53" i="59"/>
  <c r="N52" i="59"/>
  <c r="B53" i="59"/>
  <c r="B54" i="59" s="1"/>
  <c r="B55" i="59"/>
  <c r="S55" i="59" s="1"/>
  <c r="D52" i="59"/>
  <c r="Q51" i="59"/>
  <c r="P51" i="59"/>
  <c r="O51" i="59"/>
  <c r="N51" i="59"/>
  <c r="Q50" i="59"/>
  <c r="P50" i="59"/>
  <c r="O50" i="59"/>
  <c r="N50" i="59"/>
  <c r="Q49" i="59"/>
  <c r="P49" i="59"/>
  <c r="O49" i="59"/>
  <c r="N49" i="59"/>
  <c r="Q48" i="59"/>
  <c r="F49" i="59"/>
  <c r="P48" i="59"/>
  <c r="E49" i="59"/>
  <c r="E50" i="59" s="1"/>
  <c r="E51" i="59"/>
  <c r="U51" i="59" s="1"/>
  <c r="O48" i="59"/>
  <c r="C49" i="59" s="1"/>
  <c r="C50" i="59" s="1"/>
  <c r="C51" i="59" s="1"/>
  <c r="N48" i="59"/>
  <c r="B49" i="59" s="1"/>
  <c r="B50" i="59" s="1"/>
  <c r="B51" i="59" s="1"/>
  <c r="S51" i="59" s="1"/>
  <c r="D48" i="59"/>
  <c r="Q47" i="59"/>
  <c r="P47" i="59"/>
  <c r="O47" i="59"/>
  <c r="N47" i="59"/>
  <c r="Q46" i="59"/>
  <c r="P46" i="59"/>
  <c r="O46" i="59"/>
  <c r="N46" i="59"/>
  <c r="Q45" i="59"/>
  <c r="P45" i="59"/>
  <c r="O45" i="59"/>
  <c r="N45" i="59"/>
  <c r="Q44" i="59"/>
  <c r="F45" i="59" s="1"/>
  <c r="F46" i="59" s="1"/>
  <c r="P44" i="59"/>
  <c r="E45" i="59" s="1"/>
  <c r="E46" i="59"/>
  <c r="E47" i="59" s="1"/>
  <c r="U47" i="59" s="1"/>
  <c r="O44" i="59"/>
  <c r="C45" i="59"/>
  <c r="N44" i="59"/>
  <c r="B45" i="59"/>
  <c r="B46" i="59" s="1"/>
  <c r="B47" i="59"/>
  <c r="S47" i="59" s="1"/>
  <c r="D44" i="59"/>
  <c r="Q43" i="59"/>
  <c r="P43" i="59"/>
  <c r="O43" i="59"/>
  <c r="N43" i="59"/>
  <c r="Q42" i="59"/>
  <c r="P42" i="59"/>
  <c r="O42" i="59"/>
  <c r="N42" i="59"/>
  <c r="Q41" i="59"/>
  <c r="P41" i="59"/>
  <c r="O41" i="59"/>
  <c r="N41" i="59"/>
  <c r="Q40" i="59"/>
  <c r="F41" i="59"/>
  <c r="F42" i="59" s="1"/>
  <c r="F43" i="59"/>
  <c r="V43" i="59" s="1"/>
  <c r="P40" i="59"/>
  <c r="E41" i="59" s="1"/>
  <c r="O40" i="59"/>
  <c r="C41" i="59" s="1"/>
  <c r="C42" i="59" s="1"/>
  <c r="D42" i="59" s="1"/>
  <c r="N40" i="59"/>
  <c r="B41" i="59" s="1"/>
  <c r="B42" i="59" s="1"/>
  <c r="D40" i="59"/>
  <c r="T39" i="59"/>
  <c r="Q39" i="59"/>
  <c r="P39" i="59"/>
  <c r="O39" i="59"/>
  <c r="N39" i="59"/>
  <c r="D39" i="59"/>
  <c r="Q38" i="59"/>
  <c r="P38" i="59"/>
  <c r="O38" i="59"/>
  <c r="N38" i="59"/>
  <c r="Q37" i="59"/>
  <c r="P37" i="59"/>
  <c r="O37" i="59"/>
  <c r="N37" i="59"/>
  <c r="Q36" i="59"/>
  <c r="F37" i="59"/>
  <c r="P36" i="59"/>
  <c r="E37" i="59"/>
  <c r="E38" i="59" s="1"/>
  <c r="E39" i="59" s="1"/>
  <c r="U39" i="59" s="1"/>
  <c r="O36" i="59"/>
  <c r="C37" i="59" s="1"/>
  <c r="N36" i="59"/>
  <c r="B37" i="59" s="1"/>
  <c r="B38" i="59"/>
  <c r="B39" i="59" s="1"/>
  <c r="S39" i="59" s="1"/>
  <c r="D36" i="59"/>
  <c r="Q35" i="59"/>
  <c r="P35" i="59"/>
  <c r="O35" i="59"/>
  <c r="N35" i="59"/>
  <c r="Q34" i="59"/>
  <c r="P34" i="59"/>
  <c r="O34" i="59"/>
  <c r="N34" i="59"/>
  <c r="Q33" i="59"/>
  <c r="P33" i="59"/>
  <c r="O33" i="59"/>
  <c r="N33" i="59"/>
  <c r="Q32" i="59"/>
  <c r="F33" i="59" s="1"/>
  <c r="F34" i="59" s="1"/>
  <c r="P32" i="59"/>
  <c r="E33" i="59" s="1"/>
  <c r="E34" i="59" s="1"/>
  <c r="E35" i="59" s="1"/>
  <c r="U35" i="59" s="1"/>
  <c r="O32" i="59"/>
  <c r="C33" i="59"/>
  <c r="D33" i="59" s="1"/>
  <c r="N32" i="59"/>
  <c r="B33" i="59"/>
  <c r="B34" i="59" s="1"/>
  <c r="B35" i="59" s="1"/>
  <c r="S35" i="59" s="1"/>
  <c r="D32" i="59"/>
  <c r="Q31" i="59"/>
  <c r="P31" i="59"/>
  <c r="O31" i="59"/>
  <c r="N31" i="59"/>
  <c r="Q30" i="59"/>
  <c r="AB30" i="59"/>
  <c r="P30" i="59"/>
  <c r="O30" i="59"/>
  <c r="Y30" i="59" s="1"/>
  <c r="Z30" i="59" s="1"/>
  <c r="N30" i="59"/>
  <c r="X30" i="59"/>
  <c r="Q29" i="59"/>
  <c r="AB29" i="59" s="1"/>
  <c r="P29" i="59"/>
  <c r="AA29" i="59" s="1"/>
  <c r="O29" i="59"/>
  <c r="N29" i="59"/>
  <c r="X29" i="59" s="1"/>
  <c r="Q28" i="59"/>
  <c r="AB28" i="59" s="1"/>
  <c r="F29" i="59"/>
  <c r="P28" i="59"/>
  <c r="E29" i="59"/>
  <c r="E30" i="59" s="1"/>
  <c r="E31" i="59"/>
  <c r="U31" i="59" s="1"/>
  <c r="O28" i="59"/>
  <c r="N28" i="59"/>
  <c r="D28" i="59"/>
  <c r="Q27" i="59"/>
  <c r="AB27" i="59" s="1"/>
  <c r="P27" i="59"/>
  <c r="AA27" i="59" s="1"/>
  <c r="O27" i="59"/>
  <c r="Y27" i="59" s="1"/>
  <c r="Z27" i="59" s="1"/>
  <c r="N27" i="59"/>
  <c r="Q26" i="59"/>
  <c r="AB26" i="59" s="1"/>
  <c r="P26" i="59"/>
  <c r="O26" i="59"/>
  <c r="Y26" i="59" s="1"/>
  <c r="Z26" i="59" s="1"/>
  <c r="N26" i="59"/>
  <c r="Q25" i="59"/>
  <c r="AB25" i="59" s="1"/>
  <c r="P25" i="59"/>
  <c r="AA25" i="59" s="1"/>
  <c r="O25" i="59"/>
  <c r="Y25" i="59" s="1"/>
  <c r="Z25" i="59" s="1"/>
  <c r="N25" i="59"/>
  <c r="Q24" i="59"/>
  <c r="P24" i="59"/>
  <c r="O24" i="59"/>
  <c r="C25" i="59"/>
  <c r="N24" i="59"/>
  <c r="X24" i="59" s="1"/>
  <c r="B25" i="59"/>
  <c r="B26" i="59" s="1"/>
  <c r="B27" i="59"/>
  <c r="S27" i="59" s="1"/>
  <c r="D24" i="59"/>
  <c r="Q23" i="59"/>
  <c r="P23" i="59"/>
  <c r="AA23" i="59" s="1"/>
  <c r="O23" i="59"/>
  <c r="Y23" i="59" s="1"/>
  <c r="Z23" i="59" s="1"/>
  <c r="N23" i="59"/>
  <c r="X23" i="59" s="1"/>
  <c r="Q22" i="59"/>
  <c r="AB22" i="59" s="1"/>
  <c r="P22" i="59"/>
  <c r="AA22" i="59" s="1"/>
  <c r="O22" i="59"/>
  <c r="N22" i="59"/>
  <c r="X22" i="59" s="1"/>
  <c r="Q21" i="59"/>
  <c r="P21" i="59"/>
  <c r="O21" i="59"/>
  <c r="Y21" i="59" s="1"/>
  <c r="Z21" i="59" s="1"/>
  <c r="N21" i="59"/>
  <c r="X21" i="59" s="1"/>
  <c r="Q20" i="59"/>
  <c r="AB20" i="59" s="1"/>
  <c r="F21" i="59"/>
  <c r="P20" i="59"/>
  <c r="O20" i="59"/>
  <c r="N20" i="59"/>
  <c r="X18" i="59" s="1"/>
  <c r="D20" i="59"/>
  <c r="X16" i="59"/>
  <c r="AA3" i="59"/>
  <c r="AA17" i="59"/>
  <c r="AA19" i="59"/>
  <c r="AB3" i="59"/>
  <c r="AB17" i="59"/>
  <c r="E21" i="59"/>
  <c r="E22" i="59"/>
  <c r="E23" i="59" s="1"/>
  <c r="U23" i="59" s="1"/>
  <c r="B43" i="59"/>
  <c r="S43" i="59" s="1"/>
  <c r="E42" i="59"/>
  <c r="E43" i="59" s="1"/>
  <c r="U43" i="59"/>
  <c r="AA30" i="59"/>
  <c r="F22" i="59"/>
  <c r="F23" i="59" s="1"/>
  <c r="V23" i="59"/>
  <c r="F30" i="59"/>
  <c r="F31" i="59" s="1"/>
  <c r="V31" i="59" s="1"/>
  <c r="F35" i="59"/>
  <c r="V35" i="59" s="1"/>
  <c r="F38" i="59"/>
  <c r="F39" i="59" s="1"/>
  <c r="V39" i="59"/>
  <c r="F47" i="59"/>
  <c r="V47" i="59" s="1"/>
  <c r="F50" i="59"/>
  <c r="F51" i="59" s="1"/>
  <c r="V51" i="59" s="1"/>
  <c r="F55" i="59"/>
  <c r="V55" i="59" s="1"/>
  <c r="C34" i="59"/>
  <c r="D34" i="59" s="1"/>
  <c r="C38" i="59"/>
  <c r="D38" i="59" s="1"/>
  <c r="D37" i="59"/>
  <c r="D41" i="59"/>
  <c r="D45" i="59"/>
  <c r="D49" i="59"/>
  <c r="D53" i="59"/>
  <c r="D25" i="59"/>
  <c r="Q58" i="59"/>
  <c r="T59" i="59"/>
  <c r="O59" i="59"/>
  <c r="D59" i="59"/>
  <c r="C58" i="59"/>
  <c r="O58" i="59" s="1"/>
  <c r="U59" i="59"/>
  <c r="C62" i="59"/>
  <c r="C61" i="59" s="1"/>
  <c r="E62" i="59"/>
  <c r="E61" i="59"/>
  <c r="D63" i="59"/>
  <c r="C66" i="59"/>
  <c r="D66" i="59" s="1"/>
  <c r="C70" i="59"/>
  <c r="D70" i="59" s="1"/>
  <c r="E70" i="59"/>
  <c r="E69" i="59"/>
  <c r="D71" i="59"/>
  <c r="C74" i="59"/>
  <c r="C73" i="59" s="1"/>
  <c r="D73" i="59" s="1"/>
  <c r="C78" i="59"/>
  <c r="U16" i="4"/>
  <c r="S16" i="4"/>
  <c r="Q16" i="4"/>
  <c r="P16" i="4" s="1"/>
  <c r="O16" i="4"/>
  <c r="M16" i="4"/>
  <c r="K16" i="4"/>
  <c r="D78" i="59"/>
  <c r="C77" i="59"/>
  <c r="D77" i="59"/>
  <c r="C69" i="59"/>
  <c r="D69" i="59" s="1"/>
  <c r="D61" i="59"/>
  <c r="D74" i="59"/>
  <c r="C65" i="59"/>
  <c r="D65" i="59" s="1"/>
  <c r="D50" i="59"/>
  <c r="C43" i="59"/>
  <c r="D43" i="59" s="1"/>
  <c r="C35" i="59"/>
  <c r="N16" i="4"/>
  <c r="T51" i="59"/>
  <c r="D51" i="59"/>
  <c r="T35" i="59"/>
  <c r="D35" i="59"/>
  <c r="T43"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21" i="37"/>
  <c r="S31" i="39"/>
  <c r="E66" i="36"/>
  <c r="H18" i="35"/>
  <c r="J18" i="35"/>
  <c r="H21" i="37"/>
  <c r="J21" i="37"/>
  <c r="E84" i="34"/>
  <c r="F84" i="34" s="1"/>
  <c r="G84" i="34" s="1"/>
  <c r="J21" i="34"/>
  <c r="H21" i="34"/>
  <c r="F21" i="33"/>
  <c r="H21" i="33"/>
  <c r="J21" i="33"/>
  <c r="H21" i="21"/>
  <c r="J21" i="21"/>
  <c r="W21" i="21" s="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G2" i="46"/>
  <c r="H17"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11" i="55" s="1"/>
  <c r="B62" i="63" s="1"/>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E19" i="4"/>
  <c r="F7" i="1"/>
  <c r="B2" i="52"/>
  <c r="I2" i="46"/>
  <c r="N12" i="46"/>
  <c r="A7" i="46"/>
  <c r="F41" i="4"/>
  <c r="J52" i="40" s="1"/>
  <c r="H61" i="49"/>
  <c r="H39" i="46"/>
  <c r="H38" i="46"/>
  <c r="H37" i="46"/>
  <c r="H36" i="46"/>
  <c r="H35" i="46"/>
  <c r="H34" i="46"/>
  <c r="H33" i="46"/>
  <c r="J20" i="46"/>
  <c r="C18" i="46"/>
  <c r="F15" i="46"/>
  <c r="E15" i="46"/>
  <c r="D15" i="46"/>
  <c r="C15" i="46"/>
  <c r="C10" i="46"/>
  <c r="C11" i="46" s="1"/>
  <c r="C9" i="46"/>
  <c r="E19" i="6"/>
  <c r="E32" i="6" s="1"/>
  <c r="E20" i="6"/>
  <c r="E21" i="6"/>
  <c r="K8" i="1" s="1"/>
  <c r="E22" i="6"/>
  <c r="E23" i="6"/>
  <c r="E24" i="6"/>
  <c r="E25" i="6"/>
  <c r="E26" i="6"/>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C5" i="3" s="1"/>
  <c r="BB13" i="3"/>
  <c r="BB5" i="3" s="1"/>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c r="H111" i="39" s="1"/>
  <c r="I111" i="39" s="1"/>
  <c r="J111" i="39" s="1"/>
  <c r="K111" i="39" s="1"/>
  <c r="L111" i="39" s="1"/>
  <c r="M111" i="39" s="1"/>
  <c r="D109" i="39"/>
  <c r="E109" i="39"/>
  <c r="F109" i="39" s="1"/>
  <c r="G109" i="39"/>
  <c r="H109" i="39" s="1"/>
  <c r="I109" i="39" s="1"/>
  <c r="J109" i="39" s="1"/>
  <c r="K109" i="39" s="1"/>
  <c r="L109" i="39" s="1"/>
  <c r="M109" i="39" s="1"/>
  <c r="D107" i="39"/>
  <c r="E107" i="39"/>
  <c r="F107" i="39" s="1"/>
  <c r="G107" i="39"/>
  <c r="H107" i="39" s="1"/>
  <c r="I107" i="39" s="1"/>
  <c r="J107" i="39" s="1"/>
  <c r="K107" i="39" s="1"/>
  <c r="L107" i="39" s="1"/>
  <c r="M107" i="39" s="1"/>
  <c r="D103" i="39"/>
  <c r="E103" i="39" s="1"/>
  <c r="F103" i="39" s="1"/>
  <c r="G103" i="39" s="1"/>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c r="B59" i="36"/>
  <c r="B57" i="36"/>
  <c r="J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C48" i="35" s="1"/>
  <c r="D48" i="35" s="1"/>
  <c r="E48" i="35" s="1"/>
  <c r="F48" i="35" s="1"/>
  <c r="G48" i="35" s="1"/>
  <c r="H48" i="35" s="1"/>
  <c r="I48" i="35" s="1"/>
  <c r="J48" i="35" s="1"/>
  <c r="K48" i="35" s="1"/>
  <c r="L48" i="35" s="1"/>
  <c r="M48" i="35" s="1"/>
  <c r="N48" i="35" s="1"/>
  <c r="O48" i="35" s="1"/>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C7" i="33"/>
  <c r="C58" i="33" s="1"/>
  <c r="D58" i="33" s="1"/>
  <c r="E58" i="33" s="1"/>
  <c r="F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c r="H115" i="21" s="1"/>
  <c r="I115" i="21" s="1"/>
  <c r="J115" i="21" s="1"/>
  <c r="K115" i="21" s="1"/>
  <c r="L115" i="21" s="1"/>
  <c r="M115" i="21" s="1"/>
  <c r="D113" i="21"/>
  <c r="E113" i="21"/>
  <c r="F113" i="21" s="1"/>
  <c r="G113" i="21" s="1"/>
  <c r="H113" i="21" s="1"/>
  <c r="D110" i="21"/>
  <c r="E110" i="21" s="1"/>
  <c r="F110" i="2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S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S8" i="21" s="1"/>
  <c r="E13" i="11"/>
  <c r="E12" i="11"/>
  <c r="BB12" i="3"/>
  <c r="F9" i="12"/>
  <c r="D9" i="12"/>
  <c r="G9" i="12"/>
  <c r="K5" i="3"/>
  <c r="J5" i="3"/>
  <c r="BE10" i="3"/>
  <c r="BD13" i="3"/>
  <c r="BD5" i="3" s="1"/>
  <c r="BE13" i="3"/>
  <c r="BF13" i="3"/>
  <c r="BF5" i="3" s="1"/>
  <c r="BG13" i="3"/>
  <c r="BG5" i="3" s="1"/>
  <c r="BH13" i="3"/>
  <c r="BI13" i="3"/>
  <c r="BJ13" i="3"/>
  <c r="BJ5" i="3" s="1"/>
  <c r="BK13" i="3"/>
  <c r="BM13" i="3"/>
  <c r="BN13" i="3"/>
  <c r="BO13" i="3"/>
  <c r="BO5" i="3" s="1"/>
  <c r="BP13" i="3"/>
  <c r="BS13" i="3"/>
  <c r="BS5" i="3" s="1"/>
  <c r="BT13" i="3"/>
  <c r="BT5" i="3" s="1"/>
  <c r="BB570" i="3"/>
  <c r="BC570" i="3"/>
  <c r="BD570" i="3"/>
  <c r="BE570" i="3"/>
  <c r="BA570" i="3" s="1"/>
  <c r="BF570" i="3"/>
  <c r="BG570" i="3"/>
  <c r="BH570" i="3"/>
  <c r="BI570" i="3"/>
  <c r="BI5" i="3" s="1"/>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I4" i="6" s="1"/>
  <c r="C11" i="21" s="1"/>
  <c r="J11" i="21" s="1"/>
  <c r="W11" i="21" s="1"/>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s="1"/>
  <c r="H38" i="21"/>
  <c r="AB38" i="21" s="1"/>
  <c r="H43" i="21"/>
  <c r="AB43" i="21" s="1"/>
  <c r="F32" i="21"/>
  <c r="AA32" i="21" s="1"/>
  <c r="F38" i="21"/>
  <c r="S38" i="21"/>
  <c r="F36" i="21"/>
  <c r="S36" i="21"/>
  <c r="F39" i="21"/>
  <c r="AA39" i="21"/>
  <c r="J40" i="21"/>
  <c r="W40" i="2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2" i="36"/>
  <c r="U26" i="36"/>
  <c r="AC31" i="36"/>
  <c r="J33" i="36"/>
  <c r="W33" i="36"/>
  <c r="AC27" i="35"/>
  <c r="U31" i="35"/>
  <c r="W36" i="35"/>
  <c r="W24" i="35"/>
  <c r="S31" i="35"/>
  <c r="W31" i="35"/>
  <c r="F36" i="34"/>
  <c r="S36" i="34"/>
  <c r="W9" i="34"/>
  <c r="S34" i="34"/>
  <c r="W39" i="34"/>
  <c r="H39" i="33"/>
  <c r="AB39" i="33" s="1"/>
  <c r="F26" i="33"/>
  <c r="AA26" i="33" s="1"/>
  <c r="U33" i="33"/>
  <c r="W38" i="33"/>
  <c r="S40" i="33"/>
  <c r="S33" i="33"/>
  <c r="W33" i="33"/>
  <c r="U38" i="33"/>
  <c r="H39" i="37"/>
  <c r="AB39" i="37"/>
  <c r="AB27" i="35"/>
  <c r="S10" i="40"/>
  <c r="W10" i="40"/>
  <c r="S11" i="40"/>
  <c r="U11" i="40"/>
  <c r="S36" i="40"/>
  <c r="U36" i="40"/>
  <c r="S36" i="39"/>
  <c r="F11" i="21"/>
  <c r="S11" i="21" s="1"/>
  <c r="AC40" i="21"/>
  <c r="AA38" i="21"/>
  <c r="AB36" i="21"/>
  <c r="C23" i="39"/>
  <c r="U36" i="39"/>
  <c r="S42" i="39"/>
  <c r="H32" i="33"/>
  <c r="AB32" i="33" s="1"/>
  <c r="H11" i="21"/>
  <c r="U11" i="21" s="1"/>
  <c r="F100" i="40"/>
  <c r="F86" i="40"/>
  <c r="U9" i="21"/>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S46" i="33"/>
  <c r="U36" i="37"/>
  <c r="AC13" i="36"/>
  <c r="AB45" i="33"/>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AZ555" i="3" s="1"/>
  <c r="BL551" i="3"/>
  <c r="BL541" i="3"/>
  <c r="AZ541" i="3" s="1"/>
  <c r="BL533" i="3"/>
  <c r="BL525" i="3"/>
  <c r="G518" i="3"/>
  <c r="G514" i="3"/>
  <c r="G510" i="3"/>
  <c r="BL503" i="3"/>
  <c r="BL495" i="3"/>
  <c r="BL485" i="3"/>
  <c r="G18" i="3"/>
  <c r="BA569" i="3"/>
  <c r="AZ569" i="3" s="1"/>
  <c r="BA565" i="3"/>
  <c r="BA561" i="3"/>
  <c r="AZ561" i="3" s="1"/>
  <c r="BA559" i="3"/>
  <c r="AZ559" i="3" s="1"/>
  <c r="BA557" i="3"/>
  <c r="AZ557" i="3"/>
  <c r="BA555" i="3"/>
  <c r="BA551" i="3"/>
  <c r="AZ551" i="3"/>
  <c r="BA545" i="3"/>
  <c r="BA543" i="3"/>
  <c r="BA541" i="3"/>
  <c r="BA531" i="3"/>
  <c r="BA521" i="3"/>
  <c r="BA509" i="3"/>
  <c r="BA505" i="3"/>
  <c r="BA501" i="3"/>
  <c r="BA493" i="3"/>
  <c r="BA487" i="3"/>
  <c r="BA19" i="3"/>
  <c r="BA572" i="3"/>
  <c r="AZ572" i="3" s="1"/>
  <c r="BA566" i="3"/>
  <c r="BA562" i="3"/>
  <c r="BA560" i="3"/>
  <c r="BA558" i="3"/>
  <c r="BA556" i="3"/>
  <c r="BA554" i="3"/>
  <c r="BA550" i="3"/>
  <c r="AZ550" i="3"/>
  <c r="BA546" i="3"/>
  <c r="BA544" i="3"/>
  <c r="BA540" i="3"/>
  <c r="BA536" i="3"/>
  <c r="BA532" i="3"/>
  <c r="BA528" i="3"/>
  <c r="BA524" i="3"/>
  <c r="BA520" i="3"/>
  <c r="AZ520" i="3" s="1"/>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c r="BQ568" i="3"/>
  <c r="BQ566" i="3"/>
  <c r="BQ564" i="3"/>
  <c r="BL564" i="3"/>
  <c r="BQ562" i="3"/>
  <c r="BL562" i="3"/>
  <c r="BQ560" i="3"/>
  <c r="BL560" i="3" s="1"/>
  <c r="AZ560" i="3" s="1"/>
  <c r="BQ558" i="3"/>
  <c r="BL558" i="3" s="1"/>
  <c r="BQ556" i="3"/>
  <c r="BL556" i="3" s="1"/>
  <c r="AZ556" i="3"/>
  <c r="BQ554" i="3"/>
  <c r="BQ552" i="3"/>
  <c r="BL552" i="3" s="1"/>
  <c r="BQ550" i="3"/>
  <c r="BL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AC33" i="36"/>
  <c r="W23" i="35"/>
  <c r="AC23" i="37"/>
  <c r="U39" i="37"/>
  <c r="AC8" i="37"/>
  <c r="AC36" i="34"/>
  <c r="AB8" i="34"/>
  <c r="AC37" i="33"/>
  <c r="AA13" i="33"/>
  <c r="AC45" i="33"/>
  <c r="U19" i="21"/>
  <c r="AA36" i="21"/>
  <c r="S39" i="33"/>
  <c r="F43" i="33"/>
  <c r="AA43" i="33" s="1"/>
  <c r="AA23" i="37"/>
  <c r="AB44" i="33"/>
  <c r="G107" i="37"/>
  <c r="H107" i="37"/>
  <c r="I107" i="37" s="1"/>
  <c r="J107" i="37"/>
  <c r="K107" i="37" s="1"/>
  <c r="L107" i="37" s="1"/>
  <c r="M107" i="37" s="1"/>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AZ540" i="3"/>
  <c r="G483" i="3"/>
  <c r="G515" i="3"/>
  <c r="G507" i="3"/>
  <c r="G501" i="3"/>
  <c r="BA15" i="3"/>
  <c r="BL17" i="3"/>
  <c r="BL15" i="3"/>
  <c r="BA14" i="3"/>
  <c r="AZ14" i="3"/>
  <c r="J57" i="39"/>
  <c r="H13" i="40"/>
  <c r="U13" i="40" s="1"/>
  <c r="H12" i="48"/>
  <c r="I4" i="4"/>
  <c r="K141" i="21"/>
  <c r="K143" i="21"/>
  <c r="K144" i="21"/>
  <c r="I59" i="40"/>
  <c r="C59" i="40"/>
  <c r="I60" i="40"/>
  <c r="C60" i="40"/>
  <c r="G297" i="3"/>
  <c r="BL298" i="3"/>
  <c r="G299" i="3"/>
  <c r="BL300" i="3"/>
  <c r="BA302" i="3"/>
  <c r="AZ302" i="3" s="1"/>
  <c r="BA303" i="3"/>
  <c r="BL303" i="3"/>
  <c r="G304" i="3"/>
  <c r="BA305" i="3"/>
  <c r="G321" i="3"/>
  <c r="BL322" i="3"/>
  <c r="G323" i="3"/>
  <c r="BL324" i="3"/>
  <c r="BA326" i="3"/>
  <c r="AZ326" i="3"/>
  <c r="BA327" i="3"/>
  <c r="BL327" i="3"/>
  <c r="AZ327" i="3" s="1"/>
  <c r="G328" i="3"/>
  <c r="BA329" i="3"/>
  <c r="AZ329" i="3"/>
  <c r="G337" i="3"/>
  <c r="BL338" i="3"/>
  <c r="AZ338" i="3" s="1"/>
  <c r="G339" i="3"/>
  <c r="BL340" i="3"/>
  <c r="BA342" i="3"/>
  <c r="AZ342" i="3"/>
  <c r="BA343" i="3"/>
  <c r="BL343" i="3"/>
  <c r="AZ343" i="3" s="1"/>
  <c r="G344" i="3"/>
  <c r="BA345" i="3"/>
  <c r="G353" i="3"/>
  <c r="BL354" i="3"/>
  <c r="G355" i="3"/>
  <c r="BL356" i="3"/>
  <c r="G357" i="3"/>
  <c r="BL358" i="3"/>
  <c r="G359" i="3"/>
  <c r="BA360" i="3"/>
  <c r="AZ360" i="3"/>
  <c r="BA361" i="3"/>
  <c r="BL361" i="3"/>
  <c r="AZ361" i="3" s="1"/>
  <c r="G362" i="3"/>
  <c r="BA363" i="3"/>
  <c r="AZ363" i="3" s="1"/>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AZ305" i="3" s="1"/>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AZ345" i="3" s="1"/>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BH5" i="3"/>
  <c r="R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21" i="39"/>
  <c r="S21" i="39" s="1"/>
  <c r="H21" i="39"/>
  <c r="J21" i="39"/>
  <c r="W21" i="39"/>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H29" i="39"/>
  <c r="U29" i="39" s="1"/>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c r="H16" i="39"/>
  <c r="U16" i="39"/>
  <c r="J16" i="39"/>
  <c r="AC16" i="39"/>
  <c r="F23" i="39"/>
  <c r="AA23" i="39" s="1"/>
  <c r="E97" i="39"/>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W40" i="40"/>
  <c r="AC14" i="40"/>
  <c r="W35" i="40"/>
  <c r="S33" i="40"/>
  <c r="AB32" i="40"/>
  <c r="AC47" i="39"/>
  <c r="S47" i="39"/>
  <c r="AB25" i="39"/>
  <c r="U37" i="34"/>
  <c r="AB37" i="34"/>
  <c r="AC41" i="40"/>
  <c r="W41" i="40"/>
  <c r="U41" i="40"/>
  <c r="J23" i="40"/>
  <c r="AC23" i="40" s="1"/>
  <c r="G92" i="40"/>
  <c r="F23" i="40"/>
  <c r="S23" i="40" s="1"/>
  <c r="AC15" i="40"/>
  <c r="W15" i="40"/>
  <c r="AB16" i="39"/>
  <c r="U23" i="35"/>
  <c r="AB23" i="35"/>
  <c r="H20" i="35"/>
  <c r="F20" i="35"/>
  <c r="S20" i="35"/>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AA43"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B11" i="1"/>
  <c r="E11" i="1" s="1"/>
  <c r="K11" i="1"/>
  <c r="M11" i="1" s="1"/>
  <c r="B9" i="1"/>
  <c r="E9" i="1" s="1"/>
  <c r="K9" i="1"/>
  <c r="M9" i="1" s="1"/>
  <c r="B7" i="1"/>
  <c r="E7" i="1" s="1"/>
  <c r="C20" i="43"/>
  <c r="F6" i="1"/>
  <c r="AP6" i="1" s="1"/>
  <c r="AC25" i="36"/>
  <c r="S8" i="36"/>
  <c r="AA26" i="36"/>
  <c r="AA28" i="36"/>
  <c r="U25" i="36"/>
  <c r="H20" i="36"/>
  <c r="U20" i="36"/>
  <c r="F68" i="36"/>
  <c r="G68" i="36"/>
  <c r="J20" i="36"/>
  <c r="AC20" i="36"/>
  <c r="F20" i="36"/>
  <c r="S20" i="36"/>
  <c r="F62" i="36"/>
  <c r="G62" i="36"/>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43" i="21"/>
  <c r="AA37" i="21"/>
  <c r="AB37" i="21"/>
  <c r="W28" i="21"/>
  <c r="AC46" i="21"/>
  <c r="AC26" i="21"/>
  <c r="F85" i="21"/>
  <c r="G85" i="21" s="1"/>
  <c r="J23" i="21"/>
  <c r="W23" i="21" s="1"/>
  <c r="F23" i="21"/>
  <c r="H23" i="21"/>
  <c r="AB23" i="21" s="1"/>
  <c r="F15" i="21"/>
  <c r="S15" i="21" s="1"/>
  <c r="F77" i="21"/>
  <c r="G77" i="21" s="1"/>
  <c r="J15" i="21"/>
  <c r="AC15" i="21" s="1"/>
  <c r="H15" i="21"/>
  <c r="U15" i="21" s="1"/>
  <c r="W13" i="21"/>
  <c r="AC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11" i="39"/>
  <c r="AB45" i="39"/>
  <c r="AA21" i="39"/>
  <c r="AC38" i="39"/>
  <c r="AC21" i="39"/>
  <c r="AB15" i="39"/>
  <c r="AB38" i="39"/>
  <c r="U31" i="39"/>
  <c r="AB31" i="39"/>
  <c r="S25" i="39"/>
  <c r="S38" i="39"/>
  <c r="S22" i="31"/>
  <c r="A18" i="64"/>
  <c r="B74" i="63" s="1"/>
  <c r="C53" i="10"/>
  <c r="A25" i="64" s="1"/>
  <c r="A18" i="51"/>
  <c r="B14" i="63" s="1"/>
  <c r="BA16" i="3"/>
  <c r="BA17" i="3"/>
  <c r="AZ17" i="3"/>
  <c r="G3" i="46"/>
  <c r="H22" i="46" s="1"/>
  <c r="AZ15" i="3"/>
  <c r="BK5" i="3"/>
  <c r="BP5" i="3"/>
  <c r="BN5" i="3"/>
  <c r="BL18" i="3"/>
  <c r="AZ18" i="3" s="1"/>
  <c r="BR5" i="3"/>
  <c r="G28" i="6" s="1"/>
  <c r="BQ5" i="3"/>
  <c r="F28" i="6" s="1"/>
  <c r="BL16" i="3"/>
  <c r="G22" i="43"/>
  <c r="D24" i="44"/>
  <c r="D26" i="44"/>
  <c r="G27" i="12"/>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A4" i="51"/>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I20" i="46"/>
  <c r="C20" i="46" s="1"/>
  <c r="B6" i="63"/>
  <c r="L5" i="54"/>
  <c r="B39" i="63" s="1"/>
  <c r="K5" i="54"/>
  <c r="B38" i="63" s="1"/>
  <c r="T41" i="4"/>
  <c r="A17" i="64" s="1"/>
  <c r="H86" i="46"/>
  <c r="H82" i="46"/>
  <c r="H10" i="48"/>
  <c r="H87" i="46"/>
  <c r="H85" i="46"/>
  <c r="H83" i="46"/>
  <c r="K10" i="1"/>
  <c r="M10" i="1" s="1"/>
  <c r="O10" i="1" s="1"/>
  <c r="P10" i="1" s="1"/>
  <c r="S11" i="1"/>
  <c r="R11" i="1"/>
  <c r="S13" i="1"/>
  <c r="R13" i="1"/>
  <c r="B10" i="1"/>
  <c r="E10" i="1"/>
  <c r="S10" i="1"/>
  <c r="B12" i="1"/>
  <c r="E12" i="1" s="1"/>
  <c r="S12" i="1"/>
  <c r="G1" i="15"/>
  <c r="F66" i="36"/>
  <c r="G66" i="36" s="1"/>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C27" i="21"/>
  <c r="W29" i="21"/>
  <c r="G96" i="40"/>
  <c r="J27" i="40"/>
  <c r="AC27" i="40" s="1"/>
  <c r="W37" i="40"/>
  <c r="S17" i="40"/>
  <c r="W30" i="40"/>
  <c r="S34" i="40"/>
  <c r="U17" i="40"/>
  <c r="U38" i="40"/>
  <c r="S40" i="40"/>
  <c r="S42" i="40"/>
  <c r="G105" i="39"/>
  <c r="J31" i="39"/>
  <c r="W31" i="39" s="1"/>
  <c r="S45" i="39"/>
  <c r="AB43" i="39"/>
  <c r="AB33" i="39"/>
  <c r="AC46" i="39"/>
  <c r="S34" i="39"/>
  <c r="W42" i="39"/>
  <c r="W36" i="39"/>
  <c r="AC37" i="39"/>
  <c r="W16" i="39"/>
  <c r="S15" i="39"/>
  <c r="W45" i="39"/>
  <c r="AA44" i="39"/>
  <c r="AA46" i="39"/>
  <c r="W34" i="39"/>
  <c r="W10" i="39"/>
  <c r="U42" i="39"/>
  <c r="W40" i="39"/>
  <c r="S32" i="40"/>
  <c r="C17" i="40"/>
  <c r="C19" i="40"/>
  <c r="C21" i="39"/>
  <c r="C23" i="40"/>
  <c r="B62"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A23" i="21"/>
  <c r="S23"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AT6" i="3"/>
  <c r="G29" i="6"/>
  <c r="AZ16" i="3"/>
  <c r="A9" i="51"/>
  <c r="B9" i="63" s="1"/>
  <c r="A3" i="55"/>
  <c r="B56" i="63"/>
  <c r="J18" i="36"/>
  <c r="AC18" i="36" s="1"/>
  <c r="AE6" i="1"/>
  <c r="W18" i="36"/>
  <c r="AG6" i="1"/>
  <c r="L20" i="6"/>
  <c r="S9" i="1"/>
  <c r="R9" i="1"/>
  <c r="C45" i="9"/>
  <c r="H14" i="66" s="1"/>
  <c r="B7" i="66" s="1"/>
  <c r="N76" i="9"/>
  <c r="H58" i="46"/>
  <c r="J17" i="46"/>
  <c r="C17" i="46"/>
  <c r="F34" i="46"/>
  <c r="F38" i="46"/>
  <c r="F37" i="46"/>
  <c r="H113" i="46"/>
  <c r="H49" i="46"/>
  <c r="H53" i="46"/>
  <c r="D14" i="59"/>
  <c r="C13" i="59"/>
  <c r="D13" i="59" s="1"/>
  <c r="U11" i="59"/>
  <c r="F14" i="59"/>
  <c r="F13" i="59"/>
  <c r="F12" i="59" s="1"/>
  <c r="F11" i="59" s="1"/>
  <c r="Y13" i="59"/>
  <c r="Z13" i="59"/>
  <c r="AA13" i="59"/>
  <c r="AB13" i="59"/>
  <c r="Y12" i="59"/>
  <c r="Z12" i="59"/>
  <c r="Y11" i="59"/>
  <c r="Z11" i="59" s="1"/>
  <c r="Y10" i="59"/>
  <c r="Z10" i="59" s="1"/>
  <c r="AB12" i="59"/>
  <c r="AB11" i="59"/>
  <c r="AB10" i="59"/>
  <c r="AA15" i="59"/>
  <c r="X13" i="59"/>
  <c r="X11" i="59"/>
  <c r="X10" i="59"/>
  <c r="AA11" i="59"/>
  <c r="AA10" i="59"/>
  <c r="H1" i="65"/>
  <c r="H51" i="46"/>
  <c r="X7" i="46"/>
  <c r="E17" i="46"/>
  <c r="N17" i="46"/>
  <c r="O17" i="46"/>
  <c r="M17" i="46"/>
  <c r="L17" i="46"/>
  <c r="H70" i="46"/>
  <c r="H73" i="46"/>
  <c r="H50" i="46"/>
  <c r="H48" i="46"/>
  <c r="F35" i="46"/>
  <c r="I17" i="46"/>
  <c r="G17" i="46"/>
  <c r="C16" i="46" s="1"/>
  <c r="H63" i="46"/>
  <c r="H64" i="46"/>
  <c r="H66" i="46"/>
  <c r="D100" i="46"/>
  <c r="H62" i="46"/>
  <c r="AF12" i="46"/>
  <c r="K100" i="46"/>
  <c r="AB12" i="46"/>
  <c r="AJ12" i="46"/>
  <c r="H60" i="46"/>
  <c r="H59" i="46"/>
  <c r="H74" i="46"/>
  <c r="H65" i="46"/>
  <c r="H75" i="46"/>
  <c r="E10" i="46"/>
  <c r="E9" i="46"/>
  <c r="E11" i="46"/>
  <c r="E8" i="46"/>
  <c r="C7" i="46" s="1"/>
  <c r="H72" i="46"/>
  <c r="H69" i="46"/>
  <c r="H77" i="46"/>
  <c r="H76" i="46"/>
  <c r="H55" i="46"/>
  <c r="H54" i="46"/>
  <c r="H52" i="46"/>
  <c r="H47" i="46"/>
  <c r="AD12" i="46"/>
  <c r="AH12" i="46"/>
  <c r="C12" i="59"/>
  <c r="C11" i="59" s="1"/>
  <c r="B12" i="59"/>
  <c r="B11" i="59"/>
  <c r="B10" i="59" s="1"/>
  <c r="B9" i="59" s="1"/>
  <c r="B8" i="59" s="1"/>
  <c r="D12" i="59"/>
  <c r="G20" i="46"/>
  <c r="E41" i="46"/>
  <c r="C41" i="46" s="1"/>
  <c r="M6" i="15"/>
  <c r="E10" i="67"/>
  <c r="F26" i="15"/>
  <c r="I7" i="65"/>
  <c r="E8" i="67"/>
  <c r="L48" i="15"/>
  <c r="N4" i="65"/>
  <c r="F36" i="15"/>
  <c r="F8" i="15"/>
  <c r="F16" i="15"/>
  <c r="I6" i="65"/>
  <c r="F13" i="67"/>
  <c r="J6" i="65"/>
  <c r="F8" i="67"/>
  <c r="E9" i="67"/>
  <c r="M9" i="15"/>
  <c r="E13" i="67"/>
  <c r="M27" i="15"/>
  <c r="N6" i="65"/>
  <c r="M23" i="15"/>
  <c r="J5" i="65"/>
  <c r="M24" i="15"/>
  <c r="B9" i="67"/>
  <c r="E14" i="67"/>
  <c r="F9" i="67"/>
  <c r="J4" i="65"/>
  <c r="F37" i="15"/>
  <c r="F6" i="15"/>
  <c r="B8" i="67"/>
  <c r="F38" i="15"/>
  <c r="B12" i="67"/>
  <c r="M26" i="15"/>
  <c r="I4" i="65"/>
  <c r="F9" i="15"/>
  <c r="F42" i="15"/>
  <c r="I3" i="65"/>
  <c r="B10" i="67"/>
  <c r="M22" i="15"/>
  <c r="J7" i="65"/>
  <c r="J15" i="15"/>
  <c r="J36" i="15"/>
  <c r="L47" i="15"/>
  <c r="F40" i="15"/>
  <c r="I5" i="65"/>
  <c r="E12" i="67"/>
  <c r="M8" i="15"/>
  <c r="N5" i="65"/>
  <c r="B11" i="67"/>
  <c r="J3" i="65"/>
  <c r="F10" i="67"/>
  <c r="F12" i="67"/>
  <c r="E11" i="67"/>
  <c r="N7" i="65"/>
  <c r="F11" i="67"/>
  <c r="M28" i="15"/>
  <c r="N3" i="65"/>
  <c r="F14" i="67"/>
  <c r="B13" i="67"/>
  <c r="F13" i="15"/>
  <c r="B14" i="67"/>
  <c r="F91" i="39" l="1"/>
  <c r="G91" i="39" s="1"/>
  <c r="H17" i="39"/>
  <c r="F17" i="39"/>
  <c r="AA17" i="39" s="1"/>
  <c r="J17" i="39"/>
  <c r="W17" i="39" s="1"/>
  <c r="G8" i="1"/>
  <c r="B41" i="1"/>
  <c r="M20" i="44" s="1"/>
  <c r="BL13" i="3"/>
  <c r="BL5" i="3" s="1"/>
  <c r="B8" i="1"/>
  <c r="E8" i="1" s="1"/>
  <c r="G1" i="70"/>
  <c r="B6" i="1"/>
  <c r="E6" i="1" s="1"/>
  <c r="K1" i="43"/>
  <c r="E22" i="46"/>
  <c r="N101" i="46"/>
  <c r="N105" i="46" s="1"/>
  <c r="AP8" i="1"/>
  <c r="G13" i="1"/>
  <c r="G9" i="1"/>
  <c r="G11" i="1"/>
  <c r="G10" i="1"/>
  <c r="L16" i="4"/>
  <c r="G13" i="3"/>
  <c r="K6" i="1"/>
  <c r="BM5" i="3"/>
  <c r="F29" i="6" s="1"/>
  <c r="E29" i="6" s="1"/>
  <c r="K15" i="1" s="1"/>
  <c r="AC5" i="3"/>
  <c r="E5" i="6"/>
  <c r="D12" i="11" s="1"/>
  <c r="C12" i="11" s="1"/>
  <c r="E12" i="6"/>
  <c r="E59" i="40" s="1"/>
  <c r="E8" i="6"/>
  <c r="E53" i="40" s="1"/>
  <c r="M8" i="1"/>
  <c r="O8" i="1" s="1"/>
  <c r="P8" i="1" s="1"/>
  <c r="D3" i="21"/>
  <c r="E9" i="12"/>
  <c r="C9" i="12"/>
  <c r="BA13" i="3"/>
  <c r="BA5" i="3" s="1"/>
  <c r="K7" i="1"/>
  <c r="AC35" i="21"/>
  <c r="AB11" i="21"/>
  <c r="U35" i="21"/>
  <c r="AC23" i="21"/>
  <c r="S19" i="21"/>
  <c r="AA17" i="21"/>
  <c r="AB15" i="21"/>
  <c r="W8" i="21"/>
  <c r="AA8" i="21"/>
  <c r="S32" i="21"/>
  <c r="W32" i="21"/>
  <c r="AB32" i="21"/>
  <c r="U23" i="21"/>
  <c r="AC19" i="21"/>
  <c r="W17" i="21"/>
  <c r="W15" i="21"/>
  <c r="U42" i="21"/>
  <c r="S42" i="21"/>
  <c r="W42" i="21"/>
  <c r="S35" i="21"/>
  <c r="AC11" i="21"/>
  <c r="S21" i="21"/>
  <c r="U17" i="21"/>
  <c r="AA15" i="21"/>
  <c r="AA11" i="21"/>
  <c r="W10" i="21"/>
  <c r="S10" i="21"/>
  <c r="AB10" i="21"/>
  <c r="G23" i="43"/>
  <c r="G26" i="12"/>
  <c r="G28" i="12"/>
  <c r="U27" i="39"/>
  <c r="AC31" i="39"/>
  <c r="W29" i="39"/>
  <c r="S29" i="39"/>
  <c r="AB29" i="39"/>
  <c r="S27" i="39"/>
  <c r="W27" i="39"/>
  <c r="W25" i="39"/>
  <c r="U23" i="39"/>
  <c r="W23" i="39"/>
  <c r="S23" i="39"/>
  <c r="F93" i="39"/>
  <c r="G93" i="39" s="1"/>
  <c r="F19" i="39"/>
  <c r="S19" i="39" s="1"/>
  <c r="H19" i="39"/>
  <c r="J19" i="39"/>
  <c r="U14" i="39"/>
  <c r="B64" i="46"/>
  <c r="C17" i="39"/>
  <c r="U41" i="39"/>
  <c r="S41" i="39"/>
  <c r="W41" i="39"/>
  <c r="U40" i="39"/>
  <c r="S40" i="39"/>
  <c r="S14" i="39"/>
  <c r="W14" i="39"/>
  <c r="W11" i="39"/>
  <c r="U11" i="39"/>
  <c r="C95" i="9"/>
  <c r="C92" i="9" s="1"/>
  <c r="C18" i="9"/>
  <c r="B55" i="46"/>
  <c r="B74" i="46"/>
  <c r="B53" i="46"/>
  <c r="C29" i="39"/>
  <c r="B59" i="46"/>
  <c r="B48" i="46"/>
  <c r="C19" i="39"/>
  <c r="B66" i="46"/>
  <c r="B51" i="46"/>
  <c r="C27" i="39"/>
  <c r="C31" i="39"/>
  <c r="M20" i="15"/>
  <c r="M22" i="44"/>
  <c r="M18" i="15"/>
  <c r="D96" i="9"/>
  <c r="F30" i="44"/>
  <c r="C30" i="44" s="1"/>
  <c r="F66" i="9"/>
  <c r="P72" i="9" s="1"/>
  <c r="S7" i="46"/>
  <c r="AF11" i="46"/>
  <c r="AF13" i="46" s="1"/>
  <c r="J101" i="46"/>
  <c r="J107" i="46" s="1"/>
  <c r="G22" i="46"/>
  <c r="G1" i="44"/>
  <c r="K1" i="12"/>
  <c r="F3" i="35"/>
  <c r="G30" i="6"/>
  <c r="G31" i="6" s="1"/>
  <c r="E28" i="6"/>
  <c r="K14" i="1" s="1"/>
  <c r="E14" i="6"/>
  <c r="E66" i="39" s="1"/>
  <c r="E11" i="6"/>
  <c r="E58" i="40" s="1"/>
  <c r="E15" i="6"/>
  <c r="E62" i="40" s="1"/>
  <c r="AB11" i="46"/>
  <c r="AB13" i="46" s="1"/>
  <c r="AA11" i="46"/>
  <c r="AA13" i="46" s="1"/>
  <c r="F22" i="46"/>
  <c r="AD11" i="46"/>
  <c r="AD13" i="46" s="1"/>
  <c r="I101" i="46"/>
  <c r="I107" i="46" s="1"/>
  <c r="E64" i="39"/>
  <c r="E10" i="6"/>
  <c r="E13" i="6"/>
  <c r="S4" i="46"/>
  <c r="S2" i="46"/>
  <c r="AE11" i="46"/>
  <c r="AE13" i="46" s="1"/>
  <c r="AI11" i="46"/>
  <c r="AI13" i="46" s="1"/>
  <c r="Z11" i="46"/>
  <c r="Z13" i="46" s="1"/>
  <c r="Z7" i="46"/>
  <c r="N104" i="45"/>
  <c r="C101" i="46"/>
  <c r="C107" i="46" s="1"/>
  <c r="AC11" i="46"/>
  <c r="AC13" i="46" s="1"/>
  <c r="M101" i="46"/>
  <c r="M102" i="46" s="1"/>
  <c r="F101" i="46"/>
  <c r="F104" i="46" s="1"/>
  <c r="Y11" i="46"/>
  <c r="Y13" i="46" s="1"/>
  <c r="S6" i="46"/>
  <c r="S3" i="46"/>
  <c r="S5" i="46"/>
  <c r="C105" i="46"/>
  <c r="C23" i="46"/>
  <c r="AH11" i="46"/>
  <c r="AH13" i="46" s="1"/>
  <c r="AG11" i="46"/>
  <c r="AG13" i="46" s="1"/>
  <c r="K101" i="46"/>
  <c r="K106" i="46" s="1"/>
  <c r="E101" i="46"/>
  <c r="E107" i="46" s="1"/>
  <c r="L101" i="46"/>
  <c r="L106" i="46" s="1"/>
  <c r="B113" i="46"/>
  <c r="G118" i="46" s="1"/>
  <c r="H118" i="46" s="1"/>
  <c r="G101" i="46"/>
  <c r="G107" i="46" s="1"/>
  <c r="AJ11" i="46"/>
  <c r="AJ13" i="46" s="1"/>
  <c r="D101" i="46"/>
  <c r="D106" i="46" s="1"/>
  <c r="J22" i="46"/>
  <c r="H101" i="46"/>
  <c r="H107" i="46" s="1"/>
  <c r="G6" i="1"/>
  <c r="G7" i="1"/>
  <c r="K17" i="4"/>
  <c r="A22" i="51" s="1"/>
  <c r="B16" i="63" s="1"/>
  <c r="AP7" i="1"/>
  <c r="N4" i="63"/>
  <c r="O40" i="9"/>
  <c r="K31" i="9" s="1"/>
  <c r="K32" i="9" s="1"/>
  <c r="D59" i="34"/>
  <c r="E59" i="34" s="1"/>
  <c r="F59" i="34" s="1"/>
  <c r="G59" i="34" s="1"/>
  <c r="H59" i="34" s="1"/>
  <c r="I59" i="34" s="1"/>
  <c r="J59" i="34" s="1"/>
  <c r="K59" i="34" s="1"/>
  <c r="L59" i="34" s="1"/>
  <c r="M59" i="34" s="1"/>
  <c r="N59" i="34" s="1"/>
  <c r="O59" i="34" s="1"/>
  <c r="C25" i="12"/>
  <c r="A25" i="51"/>
  <c r="B18" i="63" s="1"/>
  <c r="C7" i="21"/>
  <c r="C58" i="21" s="1"/>
  <c r="D58" i="21" s="1"/>
  <c r="E58" i="21" s="1"/>
  <c r="C7" i="36"/>
  <c r="C46" i="36" s="1"/>
  <c r="D46" i="36" s="1"/>
  <c r="E46" i="36" s="1"/>
  <c r="F46" i="36" s="1"/>
  <c r="G46" i="36" s="1"/>
  <c r="H46" i="36" s="1"/>
  <c r="I46" i="36" s="1"/>
  <c r="J46" i="36" s="1"/>
  <c r="K46" i="36" s="1"/>
  <c r="L46" i="36" s="1"/>
  <c r="M46" i="36" s="1"/>
  <c r="N46" i="36" s="1"/>
  <c r="O46" i="36" s="1"/>
  <c r="C7" i="37"/>
  <c r="C52" i="37" s="1"/>
  <c r="D52" i="37" s="1"/>
  <c r="E52" i="37" s="1"/>
  <c r="F52" i="37" s="1"/>
  <c r="G52" i="37" s="1"/>
  <c r="H52" i="37" s="1"/>
  <c r="I52" i="37" s="1"/>
  <c r="J52" i="37" s="1"/>
  <c r="K52" i="37" s="1"/>
  <c r="L52" i="37" s="1"/>
  <c r="M52" i="37" s="1"/>
  <c r="N52" i="37" s="1"/>
  <c r="O52" i="37" s="1"/>
  <c r="C9" i="39"/>
  <c r="C70" i="39" s="1"/>
  <c r="C9" i="40"/>
  <c r="C65" i="40" s="1"/>
  <c r="G12" i="1"/>
  <c r="D38" i="4"/>
  <c r="C39" i="4" s="1"/>
  <c r="G19" i="46"/>
  <c r="O19" i="46" s="1"/>
  <c r="F7" i="37"/>
  <c r="C5" i="46"/>
  <c r="D5" i="46"/>
  <c r="F10" i="59"/>
  <c r="F9" i="59" s="1"/>
  <c r="F8" i="59" s="1"/>
  <c r="F7" i="59" s="1"/>
  <c r="V11" i="59"/>
  <c r="G58" i="33"/>
  <c r="H58" i="33" s="1"/>
  <c r="I58" i="33" s="1"/>
  <c r="J58" i="33" s="1"/>
  <c r="K58" i="33" s="1"/>
  <c r="L58" i="33" s="1"/>
  <c r="M58" i="33" s="1"/>
  <c r="N58" i="33" s="1"/>
  <c r="O58" i="33" s="1"/>
  <c r="F7" i="33"/>
  <c r="F58" i="21"/>
  <c r="G58" i="21" s="1"/>
  <c r="H58" i="21" s="1"/>
  <c r="I58" i="21" s="1"/>
  <c r="J58" i="21" s="1"/>
  <c r="K58" i="21" s="1"/>
  <c r="L58" i="21" s="1"/>
  <c r="M58" i="21" s="1"/>
  <c r="N58" i="21" s="1"/>
  <c r="O58" i="21" s="1"/>
  <c r="F7" i="21"/>
  <c r="H7" i="37"/>
  <c r="H7" i="35"/>
  <c r="J7" i="35"/>
  <c r="F7" i="35"/>
  <c r="C10" i="59"/>
  <c r="D11" i="59"/>
  <c r="T11" i="59"/>
  <c r="O9" i="1"/>
  <c r="P9" i="1" s="1"/>
  <c r="O11" i="1"/>
  <c r="P11" i="1" s="1"/>
  <c r="J7" i="33"/>
  <c r="J7" i="21"/>
  <c r="R7" i="54"/>
  <c r="B52" i="63" s="1"/>
  <c r="AA10" i="35"/>
  <c r="S10" i="35"/>
  <c r="AZ492" i="3"/>
  <c r="AZ493" i="3"/>
  <c r="J7" i="37"/>
  <c r="J7" i="36"/>
  <c r="F7" i="36"/>
  <c r="H7" i="34"/>
  <c r="S11" i="59"/>
  <c r="AZ323" i="3"/>
  <c r="W41" i="34"/>
  <c r="AC41" i="34"/>
  <c r="AZ544" i="3"/>
  <c r="AZ558" i="3"/>
  <c r="AZ562" i="3"/>
  <c r="AC23" i="36"/>
  <c r="W23" i="36"/>
  <c r="S27" i="37"/>
  <c r="U28" i="21"/>
  <c r="S45" i="21"/>
  <c r="AA27" i="33"/>
  <c r="W31" i="34"/>
  <c r="AB14" i="21"/>
  <c r="U46" i="21"/>
  <c r="AB13" i="21"/>
  <c r="AB40" i="37"/>
  <c r="W46" i="33"/>
  <c r="W35" i="35"/>
  <c r="S22" i="35"/>
  <c r="H25" i="37"/>
  <c r="J25" i="37"/>
  <c r="F25" i="37"/>
  <c r="AZ389" i="3"/>
  <c r="AZ404" i="3"/>
  <c r="AZ416" i="3"/>
  <c r="AZ421" i="3"/>
  <c r="J9" i="33"/>
  <c r="H9" i="33"/>
  <c r="F9" i="33"/>
  <c r="J12" i="35"/>
  <c r="J12" i="33"/>
  <c r="H12" i="33"/>
  <c r="F12" i="33"/>
  <c r="J34" i="35"/>
  <c r="H34" i="35"/>
  <c r="F34" i="35"/>
  <c r="H12" i="36"/>
  <c r="F23" i="36"/>
  <c r="G536" i="3"/>
  <c r="G524" i="3"/>
  <c r="G512" i="3"/>
  <c r="G489" i="3"/>
  <c r="G481" i="3"/>
  <c r="AZ396" i="3"/>
  <c r="AZ412" i="3"/>
  <c r="AZ419" i="3"/>
  <c r="AZ425" i="3"/>
  <c r="AZ429" i="3"/>
  <c r="AZ28" i="3"/>
  <c r="A30" i="51"/>
  <c r="B22" i="63" s="1"/>
  <c r="A30" i="64"/>
  <c r="A2" i="55"/>
  <c r="B55" i="63" s="1"/>
  <c r="AZ445" i="3"/>
  <c r="AZ448" i="3"/>
  <c r="AZ468" i="3"/>
  <c r="AZ472" i="3"/>
  <c r="AZ350" i="3"/>
  <c r="AZ208" i="3"/>
  <c r="AZ211" i="3"/>
  <c r="AZ224" i="3"/>
  <c r="AZ227" i="3"/>
  <c r="AZ240" i="3"/>
  <c r="AZ243" i="3"/>
  <c r="AZ256" i="3"/>
  <c r="AZ259" i="3"/>
  <c r="AZ275" i="3"/>
  <c r="AZ279" i="3"/>
  <c r="AZ291" i="3"/>
  <c r="AZ294" i="3"/>
  <c r="AZ113" i="3"/>
  <c r="AZ116" i="3"/>
  <c r="AZ129" i="3"/>
  <c r="AZ132" i="3"/>
  <c r="AZ145" i="3"/>
  <c r="AZ148" i="3"/>
  <c r="AZ25" i="3"/>
  <c r="AZ30" i="3"/>
  <c r="AZ44" i="3"/>
  <c r="AZ50" i="3"/>
  <c r="AZ53" i="3"/>
  <c r="AZ60" i="3"/>
  <c r="AZ72" i="3"/>
  <c r="AZ77" i="3"/>
  <c r="AZ92" i="3"/>
  <c r="AZ97" i="3"/>
  <c r="AZ108" i="3"/>
  <c r="AZ37" i="3"/>
  <c r="K13" i="1"/>
  <c r="M13" i="1" s="1"/>
  <c r="K12" i="1"/>
  <c r="D1" i="57"/>
  <c r="E10" i="57" s="1"/>
  <c r="I21" i="57"/>
  <c r="B54" i="46"/>
  <c r="C27" i="40"/>
  <c r="S27" i="40"/>
  <c r="S21" i="34"/>
  <c r="S18" i="35"/>
  <c r="D62" i="59"/>
  <c r="Y20" i="59"/>
  <c r="Z20" i="59" s="1"/>
  <c r="C21" i="59"/>
  <c r="AA21" i="59"/>
  <c r="AA16" i="59"/>
  <c r="AA18" i="59"/>
  <c r="C26" i="59"/>
  <c r="AA24" i="59"/>
  <c r="E25" i="59"/>
  <c r="E26" i="59" s="1"/>
  <c r="E27" i="59" s="1"/>
  <c r="U27" i="59" s="1"/>
  <c r="X26" i="59"/>
  <c r="Y28" i="59"/>
  <c r="Z28" i="59" s="1"/>
  <c r="C29" i="59"/>
  <c r="C46" i="59"/>
  <c r="C54" i="59"/>
  <c r="N59" i="59"/>
  <c r="B58" i="59"/>
  <c r="S59" i="59"/>
  <c r="V59" i="59"/>
  <c r="Q59" i="59"/>
  <c r="T67" i="59"/>
  <c r="D67" i="59"/>
  <c r="Y15" i="59"/>
  <c r="Z15" i="59" s="1"/>
  <c r="C19" i="59"/>
  <c r="Y16" i="59"/>
  <c r="Z16" i="59" s="1"/>
  <c r="Y17" i="59"/>
  <c r="Z17" i="59" s="1"/>
  <c r="Y18" i="59"/>
  <c r="Z18" i="59" s="1"/>
  <c r="Y19" i="59"/>
  <c r="Z19" i="59" s="1"/>
  <c r="F19" i="59"/>
  <c r="AB15" i="59"/>
  <c r="AB19" i="59"/>
  <c r="AB16" i="59"/>
  <c r="AB18" i="59"/>
  <c r="C57" i="59"/>
  <c r="D58" i="59"/>
  <c r="X20" i="59"/>
  <c r="B21" i="59"/>
  <c r="B22" i="59" s="1"/>
  <c r="B23" i="59" s="1"/>
  <c r="S23" i="59" s="1"/>
  <c r="X3" i="59"/>
  <c r="X17" i="59"/>
  <c r="X19" i="59"/>
  <c r="AB24" i="59"/>
  <c r="F25" i="59"/>
  <c r="F26" i="59" s="1"/>
  <c r="F27" i="59" s="1"/>
  <c r="V27" i="59" s="1"/>
  <c r="X28" i="59"/>
  <c r="B29" i="59"/>
  <c r="B30" i="59" s="1"/>
  <c r="B31" i="59" s="1"/>
  <c r="S31" i="59" s="1"/>
  <c r="E58" i="59"/>
  <c r="P59" i="59"/>
  <c r="U67" i="59"/>
  <c r="E66" i="59"/>
  <c r="E65" i="59" s="1"/>
  <c r="U19" i="59"/>
  <c r="E18" i="59"/>
  <c r="E17" i="59" s="1"/>
  <c r="AA20" i="59"/>
  <c r="AB21" i="59"/>
  <c r="Y22" i="59"/>
  <c r="Z22" i="59" s="1"/>
  <c r="AB23" i="59"/>
  <c r="Y24" i="59"/>
  <c r="Z24" i="59" s="1"/>
  <c r="X25" i="59"/>
  <c r="AA26" i="59"/>
  <c r="X27" i="59"/>
  <c r="AA28" i="59"/>
  <c r="Y29" i="59"/>
  <c r="Z29" i="59" s="1"/>
  <c r="A28" i="64"/>
  <c r="U15" i="59"/>
  <c r="S19" i="59"/>
  <c r="X14" i="59"/>
  <c r="X15" i="59"/>
  <c r="AA14" i="59"/>
  <c r="X9" i="59"/>
  <c r="AA9" i="59"/>
  <c r="X5" i="59"/>
  <c r="AA5" i="59"/>
  <c r="Y14" i="59"/>
  <c r="Z14" i="59" s="1"/>
  <c r="AB14" i="59"/>
  <c r="AA12" i="59"/>
  <c r="X12" i="59"/>
  <c r="Y9" i="59"/>
  <c r="Z9" i="59" s="1"/>
  <c r="AB9" i="59"/>
  <c r="X8" i="59"/>
  <c r="Y8" i="59"/>
  <c r="Z8" i="59" s="1"/>
  <c r="AA8" i="59"/>
  <c r="Y5" i="59"/>
  <c r="Z5" i="59" s="1"/>
  <c r="AB8" i="59"/>
  <c r="AB6" i="59"/>
  <c r="AB5" i="59"/>
  <c r="AA6" i="59"/>
  <c r="X7" i="59"/>
  <c r="C18" i="11"/>
  <c r="K77" i="9"/>
  <c r="K79" i="9" s="1"/>
  <c r="K81" i="9" s="1"/>
  <c r="E12" i="52"/>
  <c r="B15" i="52"/>
  <c r="F31" i="15"/>
  <c r="F33" i="44"/>
  <c r="E7" i="59"/>
  <c r="B7" i="59"/>
  <c r="X6" i="59"/>
  <c r="Y6" i="59"/>
  <c r="Z6"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7" i="59"/>
  <c r="AA7" i="59"/>
  <c r="Y7" i="59"/>
  <c r="Z7" i="59" s="1"/>
  <c r="P24" i="46"/>
  <c r="B68" i="40" s="1"/>
  <c r="P25" i="46"/>
  <c r="B73" i="39" s="1"/>
  <c r="E20" i="46"/>
  <c r="F65" i="15"/>
  <c r="J1" i="65"/>
  <c r="F67" i="15"/>
  <c r="F50" i="15"/>
  <c r="C27" i="15"/>
  <c r="F64" i="15"/>
  <c r="I1" i="65"/>
  <c r="L59" i="15"/>
  <c r="L58" i="15"/>
  <c r="J53" i="15"/>
  <c r="J57" i="15"/>
  <c r="J55" i="15" s="1"/>
  <c r="J58" i="15" s="1"/>
  <c r="Q51" i="15" s="1"/>
  <c r="I54" i="15"/>
  <c r="L56" i="15"/>
  <c r="Q72" i="15"/>
  <c r="F63" i="15"/>
  <c r="C4" i="65"/>
  <c r="B39" i="1" s="1"/>
  <c r="M29" i="70"/>
  <c r="F43" i="70"/>
  <c r="L48" i="70"/>
  <c r="J15" i="70"/>
  <c r="F13" i="70"/>
  <c r="F9" i="70"/>
  <c r="M24" i="70"/>
  <c r="F42" i="70"/>
  <c r="F40" i="70"/>
  <c r="F26" i="70"/>
  <c r="M22" i="70"/>
  <c r="F36" i="70"/>
  <c r="F38" i="70"/>
  <c r="J36" i="70"/>
  <c r="F6" i="70"/>
  <c r="M23" i="70"/>
  <c r="M27" i="70"/>
  <c r="F16" i="70"/>
  <c r="F37" i="70"/>
  <c r="M8" i="70"/>
  <c r="M6" i="70"/>
  <c r="M9" i="70"/>
  <c r="M26" i="70"/>
  <c r="F7" i="70"/>
  <c r="F8" i="70"/>
  <c r="M28" i="70"/>
  <c r="L47" i="70"/>
  <c r="C16" i="70"/>
  <c r="F43" i="15"/>
  <c r="M29" i="15"/>
  <c r="F7" i="15"/>
  <c r="F15" i="44"/>
  <c r="F45" i="44"/>
  <c r="F11" i="44"/>
  <c r="M31" i="44"/>
  <c r="M11" i="44"/>
  <c r="L49" i="44"/>
  <c r="F18" i="44"/>
  <c r="L48" i="44"/>
  <c r="F40" i="44"/>
  <c r="F38" i="44"/>
  <c r="E2" i="65"/>
  <c r="M30" i="44"/>
  <c r="F43" i="44"/>
  <c r="M25" i="44"/>
  <c r="M26" i="44"/>
  <c r="M29" i="44"/>
  <c r="F39" i="44"/>
  <c r="F9" i="44"/>
  <c r="F8" i="44"/>
  <c r="M28" i="44"/>
  <c r="F28" i="44"/>
  <c r="F10" i="44"/>
  <c r="F46" i="44"/>
  <c r="M8" i="44"/>
  <c r="J17" i="44"/>
  <c r="M10" i="44"/>
  <c r="M24" i="44"/>
  <c r="E3" i="65"/>
  <c r="S17" i="39" l="1"/>
  <c r="U17" i="39"/>
  <c r="AB17" i="39"/>
  <c r="AC17" i="39"/>
  <c r="F30" i="6"/>
  <c r="M6" i="1"/>
  <c r="O6" i="1" s="1"/>
  <c r="F70" i="9"/>
  <c r="F72" i="9"/>
  <c r="F34" i="44"/>
  <c r="F32" i="70"/>
  <c r="F59" i="70" s="1"/>
  <c r="F28" i="70"/>
  <c r="C28" i="70" s="1"/>
  <c r="M18" i="70"/>
  <c r="F71" i="9"/>
  <c r="F29" i="12"/>
  <c r="F31" i="43"/>
  <c r="C31" i="43" s="1"/>
  <c r="F28" i="15"/>
  <c r="C28" i="15" s="1"/>
  <c r="F27" i="43"/>
  <c r="C27" i="43" s="1"/>
  <c r="F32" i="15"/>
  <c r="F59" i="15" s="1"/>
  <c r="D86" i="9"/>
  <c r="F27" i="6"/>
  <c r="E58" i="39"/>
  <c r="N102" i="46"/>
  <c r="N103" i="46"/>
  <c r="N107" i="46"/>
  <c r="D22" i="46"/>
  <c r="C21" i="46" s="1"/>
  <c r="N106" i="46"/>
  <c r="N109" i="46"/>
  <c r="N104" i="46"/>
  <c r="L59" i="70"/>
  <c r="L58" i="70"/>
  <c r="Q61" i="70" s="1"/>
  <c r="F50" i="70"/>
  <c r="M7" i="70"/>
  <c r="J6" i="70" s="1"/>
  <c r="J18" i="70" s="1"/>
  <c r="F49" i="70"/>
  <c r="F64" i="70"/>
  <c r="C6" i="70"/>
  <c r="Q72" i="70"/>
  <c r="F65" i="70"/>
  <c r="F63" i="70"/>
  <c r="C27" i="70"/>
  <c r="F67" i="70"/>
  <c r="J60" i="70"/>
  <c r="Q49" i="70" s="1"/>
  <c r="J59" i="70"/>
  <c r="J53" i="70"/>
  <c r="Q53" i="70" s="1"/>
  <c r="I54" i="70"/>
  <c r="L56" i="70"/>
  <c r="L60" i="70"/>
  <c r="Q58" i="70" s="1"/>
  <c r="L57" i="70"/>
  <c r="J57" i="70"/>
  <c r="J55" i="70" s="1"/>
  <c r="J58" i="70" s="1"/>
  <c r="Q51" i="70" s="1"/>
  <c r="F70" i="70"/>
  <c r="Q74" i="70"/>
  <c r="J103" i="46"/>
  <c r="J104" i="46"/>
  <c r="J109" i="46"/>
  <c r="C6" i="15"/>
  <c r="C32" i="15" s="1"/>
  <c r="M7" i="15"/>
  <c r="M17" i="15" s="1"/>
  <c r="F49" i="15"/>
  <c r="F58" i="15" s="1"/>
  <c r="F70" i="15"/>
  <c r="E27" i="6"/>
  <c r="K19" i="6" s="1"/>
  <c r="C33" i="21"/>
  <c r="F31" i="6"/>
  <c r="M14" i="1"/>
  <c r="O14" i="1" s="1"/>
  <c r="P14" i="1" s="1"/>
  <c r="D21" i="12"/>
  <c r="C21" i="12" s="1"/>
  <c r="P6" i="1"/>
  <c r="C15" i="12" s="1"/>
  <c r="J102" i="46"/>
  <c r="E61" i="40"/>
  <c r="J106" i="46"/>
  <c r="J105" i="46"/>
  <c r="AZ13" i="3"/>
  <c r="AZ5" i="3" s="1"/>
  <c r="E3" i="6" s="1"/>
  <c r="M7" i="1"/>
  <c r="K21" i="1"/>
  <c r="F11" i="70"/>
  <c r="M11" i="70"/>
  <c r="J10" i="70" s="1"/>
  <c r="W19" i="39"/>
  <c r="AC19" i="39"/>
  <c r="AA19" i="39"/>
  <c r="U19" i="39"/>
  <c r="AB19" i="39"/>
  <c r="D18" i="9"/>
  <c r="M44" i="9" s="1"/>
  <c r="M43" i="9"/>
  <c r="E67" i="39"/>
  <c r="L19" i="6"/>
  <c r="L27" i="6" s="1"/>
  <c r="C104" i="46"/>
  <c r="D118" i="46"/>
  <c r="E118" i="46" s="1"/>
  <c r="F118" i="46" s="1"/>
  <c r="Q73" i="44"/>
  <c r="J54" i="44"/>
  <c r="F1" i="44" s="1"/>
  <c r="J58" i="44"/>
  <c r="J56" i="44" s="1"/>
  <c r="J59" i="44" s="1"/>
  <c r="Q52" i="44" s="1"/>
  <c r="J61" i="44"/>
  <c r="Q50" i="44" s="1"/>
  <c r="I55" i="44"/>
  <c r="L57" i="44"/>
  <c r="J60" i="44"/>
  <c r="L60" i="44"/>
  <c r="Q76" i="44" s="1"/>
  <c r="L59" i="44"/>
  <c r="Q62" i="44" s="1"/>
  <c r="M9" i="44"/>
  <c r="J8" i="44" s="1"/>
  <c r="J20" i="44" s="1"/>
  <c r="C8" i="44"/>
  <c r="C34" i="44" s="1"/>
  <c r="C29" i="44"/>
  <c r="D117" i="46"/>
  <c r="E117" i="46" s="1"/>
  <c r="F117" i="46" s="1"/>
  <c r="G117" i="46" s="1"/>
  <c r="H117" i="46" s="1"/>
  <c r="E30" i="6"/>
  <c r="E102" i="46"/>
  <c r="B118" i="46"/>
  <c r="C118" i="46" s="1"/>
  <c r="K104" i="46"/>
  <c r="G105" i="46"/>
  <c r="C106" i="46"/>
  <c r="M106" i="46"/>
  <c r="B115" i="46"/>
  <c r="C115" i="46" s="1"/>
  <c r="C103" i="46"/>
  <c r="H106" i="46"/>
  <c r="E16" i="6"/>
  <c r="E63" i="39"/>
  <c r="H103" i="46"/>
  <c r="D107" i="46"/>
  <c r="L104" i="46"/>
  <c r="K21" i="6"/>
  <c r="I102" i="46"/>
  <c r="I106" i="46"/>
  <c r="I105" i="46"/>
  <c r="F102" i="46"/>
  <c r="H109" i="46"/>
  <c r="D104" i="46"/>
  <c r="L103" i="46"/>
  <c r="D109" i="46"/>
  <c r="L107" i="46"/>
  <c r="G106" i="46"/>
  <c r="I104" i="46"/>
  <c r="I103" i="46"/>
  <c r="I109" i="46"/>
  <c r="E65" i="39"/>
  <c r="E60" i="40"/>
  <c r="F106" i="46"/>
  <c r="F107" i="46"/>
  <c r="F109" i="46"/>
  <c r="F103" i="46"/>
  <c r="D102" i="46"/>
  <c r="D105" i="46"/>
  <c r="K102" i="46"/>
  <c r="L109" i="46"/>
  <c r="G102" i="46"/>
  <c r="G109" i="46"/>
  <c r="D103" i="46"/>
  <c r="F105" i="46"/>
  <c r="M107" i="46"/>
  <c r="M104" i="46"/>
  <c r="M103" i="46"/>
  <c r="M109" i="46"/>
  <c r="M105" i="46"/>
  <c r="C109" i="46"/>
  <c r="C102" i="46"/>
  <c r="I115" i="46"/>
  <c r="J115" i="46" s="1"/>
  <c r="K115" i="46" s="1"/>
  <c r="L115" i="46" s="1"/>
  <c r="M115" i="46" s="1"/>
  <c r="D116" i="46"/>
  <c r="E116" i="46" s="1"/>
  <c r="F116" i="46" s="1"/>
  <c r="G116" i="46" s="1"/>
  <c r="H116" i="46" s="1"/>
  <c r="I116" i="46"/>
  <c r="J116" i="46" s="1"/>
  <c r="K116" i="46" s="1"/>
  <c r="L116" i="46" s="1"/>
  <c r="M116" i="46" s="1"/>
  <c r="I117" i="46"/>
  <c r="J117" i="46" s="1"/>
  <c r="K117" i="46" s="1"/>
  <c r="L117" i="46" s="1"/>
  <c r="M117" i="46" s="1"/>
  <c r="E104" i="46"/>
  <c r="E103" i="46"/>
  <c r="E105" i="46"/>
  <c r="B116" i="46"/>
  <c r="C116" i="46" s="1"/>
  <c r="D115" i="46"/>
  <c r="E115" i="46" s="1"/>
  <c r="F115" i="46" s="1"/>
  <c r="G115" i="46" s="1"/>
  <c r="H115" i="46" s="1"/>
  <c r="B117" i="46"/>
  <c r="C117" i="46" s="1"/>
  <c r="E109" i="46"/>
  <c r="E106" i="46"/>
  <c r="I118" i="46"/>
  <c r="J118" i="46" s="1"/>
  <c r="K118" i="46" s="1"/>
  <c r="L118" i="46" s="1"/>
  <c r="M118" i="46" s="1"/>
  <c r="H102" i="46"/>
  <c r="H105" i="46"/>
  <c r="H104" i="46"/>
  <c r="G103" i="46"/>
  <c r="G104" i="46"/>
  <c r="L102" i="46"/>
  <c r="L105" i="46"/>
  <c r="K107" i="46"/>
  <c r="K103" i="46"/>
  <c r="K105" i="46"/>
  <c r="K109" i="46"/>
  <c r="D70" i="39"/>
  <c r="C72" i="39"/>
  <c r="P21" i="46"/>
  <c r="P23" i="46"/>
  <c r="P22" i="46"/>
  <c r="F7" i="34"/>
  <c r="H7" i="36"/>
  <c r="AB7" i="36" s="1"/>
  <c r="T36" i="36" s="1"/>
  <c r="G36" i="36" s="1"/>
  <c r="H7" i="33"/>
  <c r="C67" i="40"/>
  <c r="D65" i="40"/>
  <c r="J7" i="34"/>
  <c r="E6" i="59"/>
  <c r="E5" i="59" s="1"/>
  <c r="U7" i="59"/>
  <c r="O57" i="59"/>
  <c r="O56" i="59"/>
  <c r="D57" i="59"/>
  <c r="D19" i="59"/>
  <c r="T19" i="59"/>
  <c r="C18" i="59"/>
  <c r="D46" i="59"/>
  <c r="C47" i="59"/>
  <c r="D26" i="59"/>
  <c r="C27" i="59"/>
  <c r="D21" i="59"/>
  <c r="C22" i="59"/>
  <c r="M12" i="1"/>
  <c r="Q16" i="1"/>
  <c r="AP16" i="1"/>
  <c r="F22" i="11" s="1"/>
  <c r="G16" i="1"/>
  <c r="H16" i="1"/>
  <c r="K16" i="1"/>
  <c r="G5" i="3"/>
  <c r="B3" i="3" s="1"/>
  <c r="U12" i="36"/>
  <c r="AB12" i="36"/>
  <c r="U34" i="35"/>
  <c r="AB34" i="35"/>
  <c r="S12" i="33"/>
  <c r="AA12" i="33"/>
  <c r="W12" i="33"/>
  <c r="AC12" i="33"/>
  <c r="AA9" i="33"/>
  <c r="S9" i="33"/>
  <c r="AC9" i="33"/>
  <c r="W9" i="33"/>
  <c r="W25" i="37"/>
  <c r="AC25" i="37"/>
  <c r="AA7" i="34"/>
  <c r="R49" i="34" s="1"/>
  <c r="S7" i="34"/>
  <c r="U7" i="36"/>
  <c r="AC7" i="37"/>
  <c r="V42" i="37" s="1"/>
  <c r="I42" i="37" s="1"/>
  <c r="W7" i="37"/>
  <c r="AC7" i="21"/>
  <c r="W7" i="21"/>
  <c r="C9" i="59"/>
  <c r="D10" i="59"/>
  <c r="W7" i="35"/>
  <c r="AC7" i="35"/>
  <c r="V38" i="35" s="1"/>
  <c r="I38" i="35" s="1"/>
  <c r="AB7" i="35"/>
  <c r="T38" i="35" s="1"/>
  <c r="G38" i="35" s="1"/>
  <c r="U7" i="35"/>
  <c r="H7" i="21"/>
  <c r="AA7" i="33"/>
  <c r="R48" i="33" s="1"/>
  <c r="S7" i="33"/>
  <c r="F6" i="59"/>
  <c r="F5" i="59" s="1"/>
  <c r="V7" i="59"/>
  <c r="AA7" i="37"/>
  <c r="R42" i="37" s="1"/>
  <c r="S7" i="37"/>
  <c r="B6" i="59"/>
  <c r="B5" i="59" s="1"/>
  <c r="S7" i="59"/>
  <c r="E57" i="59"/>
  <c r="P58" i="59"/>
  <c r="V19" i="59"/>
  <c r="F18" i="59"/>
  <c r="F17" i="59" s="1"/>
  <c r="B57" i="59"/>
  <c r="N58" i="59"/>
  <c r="D54" i="59"/>
  <c r="C55" i="59"/>
  <c r="D29" i="59"/>
  <c r="C30" i="59"/>
  <c r="O13" i="1"/>
  <c r="P13" i="1" s="1"/>
  <c r="AA23" i="36"/>
  <c r="S23" i="36"/>
  <c r="AA34" i="35"/>
  <c r="S34" i="35"/>
  <c r="AC34" i="35"/>
  <c r="W34" i="35"/>
  <c r="U12" i="33"/>
  <c r="AB12" i="33"/>
  <c r="W12" i="35"/>
  <c r="AC12" i="35"/>
  <c r="AB9" i="33"/>
  <c r="U9" i="33"/>
  <c r="AA25" i="37"/>
  <c r="S25" i="37"/>
  <c r="U25" i="37"/>
  <c r="AB25" i="37"/>
  <c r="U7" i="34"/>
  <c r="AB7" i="34"/>
  <c r="T49" i="34" s="1"/>
  <c r="G49" i="34" s="1"/>
  <c r="AA7" i="36"/>
  <c r="R36" i="36" s="1"/>
  <c r="S7" i="36"/>
  <c r="AC7" i="36"/>
  <c r="V36" i="36" s="1"/>
  <c r="I36" i="36" s="1"/>
  <c r="W7" i="36"/>
  <c r="AC7" i="33"/>
  <c r="V48" i="33" s="1"/>
  <c r="I48" i="33" s="1"/>
  <c r="W7" i="33"/>
  <c r="AA7" i="35"/>
  <c r="R38" i="35" s="1"/>
  <c r="S7" i="35"/>
  <c r="U7" i="37"/>
  <c r="AB7" i="37"/>
  <c r="T42" i="37" s="1"/>
  <c r="G42" i="37" s="1"/>
  <c r="AA7" i="21"/>
  <c r="S7" i="21"/>
  <c r="U7" i="33"/>
  <c r="AB7" i="33"/>
  <c r="T48" i="33" s="1"/>
  <c r="G48" i="33" s="1"/>
  <c r="M19" i="44"/>
  <c r="C19" i="46"/>
  <c r="C34" i="46" s="1"/>
  <c r="B40" i="1"/>
  <c r="F24" i="70" s="1"/>
  <c r="F17" i="11"/>
  <c r="C17" i="11" s="1"/>
  <c r="C19" i="11" s="1"/>
  <c r="Q62" i="15"/>
  <c r="Q75" i="15"/>
  <c r="M13" i="44"/>
  <c r="J12" i="44" s="1"/>
  <c r="F11" i="15"/>
  <c r="M11" i="15"/>
  <c r="J10" i="15" s="1"/>
  <c r="F13" i="44"/>
  <c r="C12" i="44" s="1"/>
  <c r="M28" i="46"/>
  <c r="P28" i="46"/>
  <c r="O28" i="46"/>
  <c r="N28" i="46"/>
  <c r="F1" i="15"/>
  <c r="Q53" i="15"/>
  <c r="Q61" i="15"/>
  <c r="Q74" i="15"/>
  <c r="C16" i="15"/>
  <c r="C18" i="44"/>
  <c r="AE7" i="1"/>
  <c r="C15" i="43" l="1"/>
  <c r="K20" i="6"/>
  <c r="S7" i="1" s="1"/>
  <c r="M24" i="1"/>
  <c r="Q67" i="70"/>
  <c r="F1" i="70"/>
  <c r="J5" i="70"/>
  <c r="J26" i="70" s="1"/>
  <c r="C32" i="70"/>
  <c r="C33" i="70"/>
  <c r="C48" i="70"/>
  <c r="Q62" i="70"/>
  <c r="Q75" i="70"/>
  <c r="K22" i="6"/>
  <c r="K24" i="6"/>
  <c r="M24" i="6" s="1"/>
  <c r="I24" i="6" s="1"/>
  <c r="S24" i="6" s="1"/>
  <c r="K25" i="6"/>
  <c r="M25" i="6" s="1"/>
  <c r="I25" i="6" s="1"/>
  <c r="S25" i="6" s="1"/>
  <c r="K26" i="6"/>
  <c r="M26" i="6" s="1"/>
  <c r="I26" i="6" s="1"/>
  <c r="S26" i="6" s="1"/>
  <c r="K23" i="6"/>
  <c r="M23" i="6" s="1"/>
  <c r="I23" i="6" s="1"/>
  <c r="S23" i="6" s="1"/>
  <c r="E31" i="6"/>
  <c r="C48" i="15"/>
  <c r="C7" i="44"/>
  <c r="C40" i="44" s="1"/>
  <c r="L47" i="44"/>
  <c r="J6" i="15"/>
  <c r="J18" i="15" s="1"/>
  <c r="AY6" i="3"/>
  <c r="AY262" i="3" s="1"/>
  <c r="J33" i="21"/>
  <c r="F33" i="21"/>
  <c r="H33" i="21"/>
  <c r="O7" i="1"/>
  <c r="P7" i="1" s="1"/>
  <c r="Q63" i="44"/>
  <c r="Q75" i="44"/>
  <c r="C24" i="70"/>
  <c r="C52" i="70"/>
  <c r="C10" i="70"/>
  <c r="C5" i="70" s="1"/>
  <c r="M21" i="6"/>
  <c r="I21" i="6" s="1"/>
  <c r="S21" i="6" s="1"/>
  <c r="S8" i="1"/>
  <c r="M20" i="6"/>
  <c r="I20" i="6" s="1"/>
  <c r="S20" i="6" s="1"/>
  <c r="S6" i="1"/>
  <c r="Q54" i="44"/>
  <c r="J7" i="44"/>
  <c r="J28" i="44" s="1"/>
  <c r="J31" i="44" s="1"/>
  <c r="E489" i="3"/>
  <c r="E524" i="3"/>
  <c r="E536" i="3"/>
  <c r="D113" i="46"/>
  <c r="M19" i="6"/>
  <c r="AC7" i="34"/>
  <c r="V49" i="34" s="1"/>
  <c r="I49" i="34" s="1"/>
  <c r="I53" i="34" s="1"/>
  <c r="J53" i="34" s="1"/>
  <c r="W7" i="34"/>
  <c r="E70" i="39"/>
  <c r="D72" i="39"/>
  <c r="E65" i="40"/>
  <c r="D67" i="40"/>
  <c r="AY388" i="3"/>
  <c r="AY209" i="3"/>
  <c r="AY554" i="3"/>
  <c r="AY147" i="3"/>
  <c r="G46" i="37"/>
  <c r="H46" i="37" s="1"/>
  <c r="G47" i="37"/>
  <c r="H47" i="37" s="1"/>
  <c r="G52" i="33"/>
  <c r="H52" i="33" s="1"/>
  <c r="G53" i="33"/>
  <c r="H53" i="33" s="1"/>
  <c r="R39" i="35"/>
  <c r="E38" i="35"/>
  <c r="G54" i="34"/>
  <c r="H54" i="34" s="1"/>
  <c r="G53" i="34"/>
  <c r="H53" i="34" s="1"/>
  <c r="D30" i="59"/>
  <c r="C31" i="59"/>
  <c r="T55" i="59"/>
  <c r="D55" i="59"/>
  <c r="R43" i="37"/>
  <c r="E42" i="37"/>
  <c r="R49" i="33"/>
  <c r="E48" i="33"/>
  <c r="I42" i="35"/>
  <c r="J42" i="35" s="1"/>
  <c r="I43" i="35"/>
  <c r="J43" i="35" s="1"/>
  <c r="I46" i="37"/>
  <c r="J46" i="37" s="1"/>
  <c r="I47" i="37"/>
  <c r="J47" i="37" s="1"/>
  <c r="R50" i="34"/>
  <c r="E49" i="34"/>
  <c r="E512" i="3"/>
  <c r="E481" i="3"/>
  <c r="O12" i="1"/>
  <c r="M16" i="1"/>
  <c r="N24" i="1" s="1"/>
  <c r="I52" i="33"/>
  <c r="J52" i="33" s="1"/>
  <c r="I53" i="33"/>
  <c r="J53" i="33" s="1"/>
  <c r="I40" i="36"/>
  <c r="J40" i="36" s="1"/>
  <c r="R37" i="36"/>
  <c r="E36" i="36"/>
  <c r="N57" i="59"/>
  <c r="N56" i="59"/>
  <c r="P57" i="59"/>
  <c r="P56" i="59"/>
  <c r="AB7" i="21"/>
  <c r="U7" i="21"/>
  <c r="G42" i="35"/>
  <c r="H42" i="35" s="1"/>
  <c r="G43" i="35"/>
  <c r="H43" i="35" s="1"/>
  <c r="C8" i="59"/>
  <c r="D9" i="59"/>
  <c r="G41" i="36"/>
  <c r="H41" i="36" s="1"/>
  <c r="G40" i="36"/>
  <c r="H40" i="36" s="1"/>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J12" i="40"/>
  <c r="F12" i="39"/>
  <c r="F12" i="40"/>
  <c r="H12" i="40"/>
  <c r="H12" i="39"/>
  <c r="J12" i="39"/>
  <c r="F33" i="12"/>
  <c r="C34" i="12" s="1"/>
  <c r="D33" i="12" s="1"/>
  <c r="F24" i="43"/>
  <c r="C26" i="43" s="1"/>
  <c r="D24" i="43" s="1"/>
  <c r="D22" i="59"/>
  <c r="C23" i="59"/>
  <c r="T27" i="59"/>
  <c r="D27" i="59"/>
  <c r="T47" i="59"/>
  <c r="D47" i="59"/>
  <c r="C17" i="59"/>
  <c r="D17" i="59" s="1"/>
  <c r="D18" i="59"/>
  <c r="D16" i="12"/>
  <c r="D16" i="43"/>
  <c r="C16" i="43" s="1"/>
  <c r="E6" i="6"/>
  <c r="L38" i="9"/>
  <c r="B14" i="66" s="1"/>
  <c r="B1" i="66" s="1"/>
  <c r="D45" i="9"/>
  <c r="C21" i="4"/>
  <c r="O5" i="54" s="1"/>
  <c r="B45" i="63" s="1"/>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8" i="46"/>
  <c r="E34" i="46"/>
  <c r="G34" i="46"/>
  <c r="I34" i="46" s="1"/>
  <c r="C52" i="15"/>
  <c r="C10" i="15"/>
  <c r="C5" i="15" s="1"/>
  <c r="C20" i="11"/>
  <c r="C21" i="11" s="1"/>
  <c r="C22" i="11" s="1"/>
  <c r="C23" i="11" s="1"/>
  <c r="B2" i="11" s="1"/>
  <c r="F21" i="43"/>
  <c r="C23" i="43" s="1"/>
  <c r="D21" i="43" s="1"/>
  <c r="F24" i="15"/>
  <c r="C24" i="15" s="1"/>
  <c r="F26" i="12"/>
  <c r="F26" i="44"/>
  <c r="C26" i="44" s="1"/>
  <c r="AE8" i="1"/>
  <c r="F41" i="70" s="1"/>
  <c r="C19" i="44"/>
  <c r="C17" i="70"/>
  <c r="C17" i="15"/>
  <c r="F41" i="15"/>
  <c r="AY289" i="3" l="1"/>
  <c r="AY528" i="3"/>
  <c r="AY431" i="3"/>
  <c r="AY19" i="3"/>
  <c r="F68" i="70"/>
  <c r="J29" i="70"/>
  <c r="AY353" i="3"/>
  <c r="AY287" i="3"/>
  <c r="AY282" i="3"/>
  <c r="AY560" i="3"/>
  <c r="AY186" i="3"/>
  <c r="AY101" i="3"/>
  <c r="AY517" i="3"/>
  <c r="AY189" i="3"/>
  <c r="AY445" i="3"/>
  <c r="AY466" i="3"/>
  <c r="AY260" i="3"/>
  <c r="AY357" i="3"/>
  <c r="AY407" i="3"/>
  <c r="AY218" i="3"/>
  <c r="AY117" i="3"/>
  <c r="AY542" i="3"/>
  <c r="AY373" i="3"/>
  <c r="AY436" i="3"/>
  <c r="AY380" i="3"/>
  <c r="AY432" i="3"/>
  <c r="AY65" i="3"/>
  <c r="AY179" i="3"/>
  <c r="AY102" i="3"/>
  <c r="BI6" i="3"/>
  <c r="AY483" i="3"/>
  <c r="AY259" i="3"/>
  <c r="AY16" i="3"/>
  <c r="AY121" i="3"/>
  <c r="AY419" i="3"/>
  <c r="AY566" i="3"/>
  <c r="AY331" i="3"/>
  <c r="AY534" i="3"/>
  <c r="AY355" i="3"/>
  <c r="AY461" i="3"/>
  <c r="AY562" i="3"/>
  <c r="AY356" i="3"/>
  <c r="AY273" i="3"/>
  <c r="BS6" i="3"/>
  <c r="AY36" i="3"/>
  <c r="AY429" i="3"/>
  <c r="AY115" i="3"/>
  <c r="BE6" i="3"/>
  <c r="AY54" i="3"/>
  <c r="AY313" i="3"/>
  <c r="AY17" i="3"/>
  <c r="AY500" i="3"/>
  <c r="AY46" i="3"/>
  <c r="AY341" i="3"/>
  <c r="AY572" i="3"/>
  <c r="AY72" i="3"/>
  <c r="AY202" i="3"/>
  <c r="AY126" i="3"/>
  <c r="AY80" i="3"/>
  <c r="AY94" i="3"/>
  <c r="AY470" i="3"/>
  <c r="AY263" i="3"/>
  <c r="AY210" i="3"/>
  <c r="AY40" i="3"/>
  <c r="AY208" i="3"/>
  <c r="AY29" i="3"/>
  <c r="AY430" i="3"/>
  <c r="AY525" i="3"/>
  <c r="AY62" i="3"/>
  <c r="O16" i="1"/>
  <c r="AY474" i="3"/>
  <c r="AY196" i="3"/>
  <c r="AY284" i="3"/>
  <c r="AY568" i="3"/>
  <c r="AY228" i="3"/>
  <c r="AY252" i="3"/>
  <c r="AY130" i="3"/>
  <c r="AY387" i="3"/>
  <c r="AY567" i="3"/>
  <c r="AY563" i="3"/>
  <c r="AY390" i="3"/>
  <c r="AY242" i="3"/>
  <c r="AY140" i="3"/>
  <c r="AY245" i="3"/>
  <c r="AY162" i="3"/>
  <c r="AY288" i="3"/>
  <c r="AY392" i="3"/>
  <c r="AY64" i="3"/>
  <c r="BH6" i="3"/>
  <c r="AY394" i="3"/>
  <c r="AY172" i="3"/>
  <c r="AY333" i="3"/>
  <c r="AY516" i="3"/>
  <c r="AY43" i="3"/>
  <c r="AY382" i="3"/>
  <c r="AY435" i="3"/>
  <c r="AY348" i="3"/>
  <c r="AY491" i="3"/>
  <c r="AY521" i="3"/>
  <c r="AY134" i="3"/>
  <c r="AY212" i="3"/>
  <c r="AY270" i="3"/>
  <c r="AY418" i="3"/>
  <c r="AY404" i="3"/>
  <c r="AY492" i="3"/>
  <c r="AY489" i="3"/>
  <c r="AY303" i="3"/>
  <c r="AY371" i="3"/>
  <c r="AY34" i="3"/>
  <c r="AY465" i="3"/>
  <c r="AY123" i="3"/>
  <c r="AY103" i="3"/>
  <c r="AY555" i="3"/>
  <c r="AY400" i="3"/>
  <c r="AY238" i="3"/>
  <c r="AY286" i="3"/>
  <c r="AY425" i="3"/>
  <c r="AY118" i="3"/>
  <c r="AY100" i="3"/>
  <c r="AY58" i="3"/>
  <c r="AY523" i="3"/>
  <c r="AY536" i="3"/>
  <c r="AY462" i="3"/>
  <c r="AY533" i="3"/>
  <c r="AY347" i="3"/>
  <c r="AY231" i="3"/>
  <c r="AY469" i="3"/>
  <c r="AY468" i="3"/>
  <c r="BO6" i="3"/>
  <c r="AY322" i="3"/>
  <c r="AY60" i="3"/>
  <c r="AY447" i="3"/>
  <c r="AY415" i="3"/>
  <c r="AY319" i="3"/>
  <c r="AY365" i="3"/>
  <c r="AY207" i="3"/>
  <c r="AY224" i="3"/>
  <c r="AY386" i="3"/>
  <c r="AY253" i="3"/>
  <c r="AY295" i="3"/>
  <c r="AY549" i="3"/>
  <c r="AY97" i="3"/>
  <c r="AY77" i="3"/>
  <c r="AY57" i="3"/>
  <c r="AY349" i="3"/>
  <c r="AY149" i="3"/>
  <c r="AY463" i="3"/>
  <c r="AY37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530" i="3"/>
  <c r="AY73" i="3"/>
  <c r="AY397" i="3"/>
  <c r="AY135" i="3"/>
  <c r="AY256" i="3"/>
  <c r="AY81" i="3"/>
  <c r="AY342"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506" i="3"/>
  <c r="AY2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D3" i="6"/>
  <c r="C22" i="4" s="1"/>
  <c r="AY82" i="3"/>
  <c r="AY37" i="3"/>
  <c r="AY41" i="3"/>
  <c r="AY203" i="3"/>
  <c r="AY128" i="3"/>
  <c r="AY95" i="3"/>
  <c r="AY504" i="3"/>
  <c r="AY83" i="3"/>
  <c r="AY182" i="3"/>
  <c r="AY45" i="3"/>
  <c r="AY175" i="3"/>
  <c r="AY277" i="3"/>
  <c r="AY264" i="3"/>
  <c r="AY384" i="3"/>
  <c r="AY416" i="3"/>
  <c r="AY402" i="3"/>
  <c r="AY55" i="3"/>
  <c r="AY181" i="3"/>
  <c r="AY250" i="3"/>
  <c r="AY343" i="3"/>
  <c r="AY398" i="3"/>
  <c r="AY70" i="3"/>
  <c r="AY265" i="3"/>
  <c r="AY310" i="3"/>
  <c r="BK6" i="3"/>
  <c r="AY50" i="3"/>
  <c r="AY346" i="3"/>
  <c r="AY30" i="3"/>
  <c r="AY340" i="3"/>
  <c r="AY272" i="3"/>
  <c r="AY405" i="3"/>
  <c r="AY188" i="3"/>
  <c r="AY157" i="3"/>
  <c r="AY501" i="3"/>
  <c r="AY481" i="3"/>
  <c r="AY204" i="3"/>
  <c r="AY216" i="3"/>
  <c r="AY28" i="3"/>
  <c r="AY374" i="3"/>
  <c r="AY183" i="3"/>
  <c r="AY25" i="3"/>
  <c r="AY197" i="3"/>
  <c r="AY321" i="3"/>
  <c r="AY544" i="3"/>
  <c r="AY24" i="3"/>
  <c r="AY428" i="3"/>
  <c r="AY42" i="3"/>
  <c r="AY158" i="3"/>
  <c r="AY443" i="3"/>
  <c r="AY219" i="3"/>
  <c r="AY148" i="3"/>
  <c r="BA6" i="3"/>
  <c r="AY446" i="3"/>
  <c r="AY211" i="3"/>
  <c r="AY221" i="3"/>
  <c r="AY127" i="3"/>
  <c r="AY239" i="3"/>
  <c r="AY107" i="3"/>
  <c r="AY152" i="3"/>
  <c r="AY519" i="3"/>
  <c r="AY325" i="3"/>
  <c r="BF6" i="3"/>
  <c r="AY385" i="3"/>
  <c r="AY15" i="3"/>
  <c r="AY505" i="3"/>
  <c r="BR6" i="3"/>
  <c r="AY285" i="3"/>
  <c r="AY327" i="3"/>
  <c r="AY276" i="3"/>
  <c r="AY113" i="3"/>
  <c r="AY478" i="3"/>
  <c r="AY434" i="3"/>
  <c r="AY512" i="3"/>
  <c r="AY125" i="3"/>
  <c r="AY362" i="3"/>
  <c r="AY487" i="3"/>
  <c r="AY509" i="3"/>
  <c r="AY539" i="3"/>
  <c r="AY564" i="3"/>
  <c r="BB6" i="3"/>
  <c r="AY296" i="3"/>
  <c r="AY460" i="3"/>
  <c r="AY444" i="3"/>
  <c r="AY261" i="3"/>
  <c r="AY426" i="3"/>
  <c r="AY301" i="3"/>
  <c r="AY255" i="3"/>
  <c r="M22" i="6"/>
  <c r="I22" i="6" s="1"/>
  <c r="S22" i="6" s="1"/>
  <c r="K27" i="6"/>
  <c r="AY508" i="3"/>
  <c r="AY482" i="3"/>
  <c r="AY496" i="3"/>
  <c r="AY165" i="3"/>
  <c r="BG6" i="3"/>
  <c r="AY79" i="3"/>
  <c r="AY338" i="3"/>
  <c r="AY451" i="3"/>
  <c r="AY488" i="3"/>
  <c r="AY18" i="3"/>
  <c r="AY423" i="3"/>
  <c r="BM6" i="3"/>
  <c r="AY205" i="3"/>
  <c r="AY334" i="3"/>
  <c r="AY93" i="3"/>
  <c r="AY410" i="3"/>
  <c r="AY557" i="3"/>
  <c r="AY538" i="3"/>
  <c r="AY133" i="3"/>
  <c r="AY68" i="3"/>
  <c r="AY220" i="3"/>
  <c r="AY540" i="3"/>
  <c r="AY222" i="3"/>
  <c r="AY417" i="3"/>
  <c r="AY546" i="3"/>
  <c r="AY527" i="3"/>
  <c r="AY552" i="3"/>
  <c r="AY32" i="3"/>
  <c r="AY406" i="3"/>
  <c r="AY22" i="3"/>
  <c r="AY561" i="3"/>
  <c r="AY318" i="3"/>
  <c r="AY44" i="3"/>
  <c r="AY176" i="3"/>
  <c r="AY309" i="3"/>
  <c r="AY515" i="3"/>
  <c r="AY494" i="3"/>
  <c r="AY86" i="3"/>
  <c r="AY437" i="3"/>
  <c r="AY359" i="3"/>
  <c r="AY254" i="3"/>
  <c r="AY257" i="3"/>
  <c r="AY311" i="3"/>
  <c r="AY408" i="3"/>
  <c r="AY246" i="3"/>
  <c r="AY52" i="3"/>
  <c r="AY236" i="3"/>
  <c r="AY308" i="3"/>
  <c r="AY442" i="3"/>
  <c r="AY420" i="3"/>
  <c r="AY132" i="3"/>
  <c r="AY161" i="3"/>
  <c r="AY241" i="3"/>
  <c r="AY459" i="3"/>
  <c r="AY169" i="3"/>
  <c r="AY467" i="3"/>
  <c r="AY441" i="3"/>
  <c r="AY354" i="3"/>
  <c r="AY570" i="3"/>
  <c r="AY243" i="3"/>
  <c r="AY312" i="3"/>
  <c r="AY251" i="3"/>
  <c r="AY532" i="3"/>
  <c r="AY571" i="3"/>
  <c r="AY421" i="3"/>
  <c r="AY56" i="3"/>
  <c r="AY192" i="3"/>
  <c r="AY84" i="3"/>
  <c r="AY497" i="3"/>
  <c r="AY484" i="3"/>
  <c r="AY163" i="3"/>
  <c r="AY66" i="3"/>
  <c r="AY458" i="3"/>
  <c r="AY498" i="3"/>
  <c r="AY396" i="3"/>
  <c r="AY283" i="3"/>
  <c r="AY569" i="3"/>
  <c r="AY290" i="3"/>
  <c r="AY526" i="3"/>
  <c r="AY493" i="3"/>
  <c r="AY76" i="3"/>
  <c r="AY337" i="3"/>
  <c r="AY280" i="3"/>
  <c r="AY150" i="3"/>
  <c r="AY99" i="3"/>
  <c r="AY143" i="3"/>
  <c r="AY305" i="3"/>
  <c r="AY230" i="3"/>
  <c r="AY226" i="3"/>
  <c r="AY350" i="3"/>
  <c r="AY141" i="3"/>
  <c r="AY364" i="3"/>
  <c r="AY139" i="3"/>
  <c r="AY479" i="3"/>
  <c r="AY317" i="3"/>
  <c r="AY234" i="3"/>
  <c r="AY31" i="3"/>
  <c r="AY47" i="3"/>
  <c r="AY105" i="3"/>
  <c r="AY159" i="3"/>
  <c r="AY67" i="3"/>
  <c r="AY486" i="3"/>
  <c r="AY535" i="3"/>
  <c r="BJ6" i="3"/>
  <c r="AY511" i="3"/>
  <c r="AY51" i="3"/>
  <c r="AY332" i="3"/>
  <c r="AY89" i="3"/>
  <c r="AY119" i="3"/>
  <c r="AY345" i="3"/>
  <c r="AY513" i="3"/>
  <c r="AY300" i="3"/>
  <c r="AY524" i="3"/>
  <c r="AY177" i="3"/>
  <c r="AY164" i="3"/>
  <c r="AY377" i="3"/>
  <c r="AY297" i="3"/>
  <c r="AY490" i="3"/>
  <c r="AY393" i="3"/>
  <c r="AY395" i="3"/>
  <c r="AY281" i="3"/>
  <c r="AY475" i="3"/>
  <c r="AY108" i="3"/>
  <c r="AY185" i="3"/>
  <c r="AY299" i="3"/>
  <c r="AY503" i="3"/>
  <c r="AY518" i="3"/>
  <c r="AY323" i="3"/>
  <c r="AY166" i="3"/>
  <c r="AY138" i="3"/>
  <c r="AY409" i="3"/>
  <c r="AY154" i="3"/>
  <c r="AY320" i="3"/>
  <c r="AY369" i="3"/>
  <c r="AY335" i="3"/>
  <c r="AY187" i="3"/>
  <c r="AY92" i="3"/>
  <c r="AY35" i="3"/>
  <c r="AY278" i="3"/>
  <c r="AY194" i="3"/>
  <c r="AY464" i="3"/>
  <c r="AY379" i="3"/>
  <c r="AY198" i="3"/>
  <c r="J24" i="70"/>
  <c r="C47" i="70"/>
  <c r="C59" i="70" s="1"/>
  <c r="AY550" i="3"/>
  <c r="AY294" i="3"/>
  <c r="AY178" i="3"/>
  <c r="AY326" i="3"/>
  <c r="AY381" i="3"/>
  <c r="AY49" i="3"/>
  <c r="AY448" i="3"/>
  <c r="AY232" i="3"/>
  <c r="AY136" i="3"/>
  <c r="AY144" i="3"/>
  <c r="AY537" i="3"/>
  <c r="AY142" i="3"/>
  <c r="AY109" i="3"/>
  <c r="AY87" i="3"/>
  <c r="J5" i="15"/>
  <c r="J24" i="15" s="1"/>
  <c r="C47" i="15"/>
  <c r="C65" i="15" s="1"/>
  <c r="AY168" i="3"/>
  <c r="AY548" i="3"/>
  <c r="AY315" i="3"/>
  <c r="AY366" i="3"/>
  <c r="AY258" i="3"/>
  <c r="AY116" i="3"/>
  <c r="AY39" i="3"/>
  <c r="AY476" i="3"/>
  <c r="AY324" i="3"/>
  <c r="AY214" i="3"/>
  <c r="AY146" i="3"/>
  <c r="AY170" i="3"/>
  <c r="AY422" i="3"/>
  <c r="AY427" i="3"/>
  <c r="AY361" i="3"/>
  <c r="AY383" i="3"/>
  <c r="AY291" i="3"/>
  <c r="AY217" i="3"/>
  <c r="AY106" i="3"/>
  <c r="AY98" i="3"/>
  <c r="AY74" i="3"/>
  <c r="AY53" i="3"/>
  <c r="AY104" i="3"/>
  <c r="AY529" i="3"/>
  <c r="AY129" i="3"/>
  <c r="AY26" i="3"/>
  <c r="AY88" i="3"/>
  <c r="AY69" i="3"/>
  <c r="U33" i="21"/>
  <c r="AB33" i="21"/>
  <c r="T48" i="21" s="1"/>
  <c r="W33" i="21"/>
  <c r="AC33" i="21"/>
  <c r="V48" i="21" s="1"/>
  <c r="I48" i="21" s="1"/>
  <c r="I52" i="21" s="1"/>
  <c r="J52" i="21" s="1"/>
  <c r="S33" i="21"/>
  <c r="AA33" i="21"/>
  <c r="R48" i="21" s="1"/>
  <c r="E48" i="21" s="1"/>
  <c r="E52" i="21" s="1"/>
  <c r="F52" i="21" s="1"/>
  <c r="F68" i="15"/>
  <c r="C38" i="70"/>
  <c r="E37" i="46"/>
  <c r="G39" i="46"/>
  <c r="I39" i="46" s="1"/>
  <c r="S16" i="1"/>
  <c r="T6" i="1" s="1"/>
  <c r="J26" i="44"/>
  <c r="H6" i="3"/>
  <c r="AC6" i="3"/>
  <c r="I19" i="6"/>
  <c r="F65" i="40"/>
  <c r="E67" i="40"/>
  <c r="E72" i="39"/>
  <c r="F70" i="39"/>
  <c r="G33" i="46"/>
  <c r="I33" i="46" s="1"/>
  <c r="C27" i="46" s="1"/>
  <c r="E35" i="46"/>
  <c r="E36" i="46"/>
  <c r="D13" i="11"/>
  <c r="C13" i="11" s="1"/>
  <c r="D22" i="12"/>
  <c r="C22" i="12" s="1"/>
  <c r="C20" i="12" s="1"/>
  <c r="C7" i="66"/>
  <c r="T23" i="59"/>
  <c r="D23" i="59"/>
  <c r="AC12" i="39"/>
  <c r="W12" i="39"/>
  <c r="AB12" i="40"/>
  <c r="U12" i="40"/>
  <c r="S12" i="39"/>
  <c r="AA12" i="39"/>
  <c r="E40" i="36"/>
  <c r="F40" i="36" s="1"/>
  <c r="E41" i="36"/>
  <c r="F41" i="36" s="1"/>
  <c r="I41" i="36"/>
  <c r="J41" i="36" s="1"/>
  <c r="C13" i="43"/>
  <c r="L16" i="1"/>
  <c r="N16" i="1"/>
  <c r="C29" i="43" s="1"/>
  <c r="P12" i="1"/>
  <c r="P16" i="1" s="1"/>
  <c r="C13" i="12" s="1"/>
  <c r="C50" i="34"/>
  <c r="B3" i="34" s="1"/>
  <c r="B2" i="34" s="1"/>
  <c r="C49" i="34"/>
  <c r="E52" i="33"/>
  <c r="F52" i="33" s="1"/>
  <c r="E53" i="33"/>
  <c r="F53" i="33" s="1"/>
  <c r="E47" i="37"/>
  <c r="F47" i="37" s="1"/>
  <c r="E46" i="37"/>
  <c r="F46" i="37" s="1"/>
  <c r="T31" i="59"/>
  <c r="D31" i="59"/>
  <c r="E43" i="35"/>
  <c r="F43" i="35" s="1"/>
  <c r="E42" i="35"/>
  <c r="F42" i="35" s="1"/>
  <c r="E68" i="39"/>
  <c r="D12" i="6"/>
  <c r="D19" i="12"/>
  <c r="C19" i="12" s="1"/>
  <c r="C16" i="12"/>
  <c r="U12" i="39"/>
  <c r="AB12" i="39"/>
  <c r="AA12" i="40"/>
  <c r="S12" i="40"/>
  <c r="W12" i="40"/>
  <c r="AC12" i="40"/>
  <c r="C7" i="59"/>
  <c r="D8" i="59"/>
  <c r="C37" i="36"/>
  <c r="B3" i="36" s="1"/>
  <c r="B2" i="36" s="1"/>
  <c r="C36" i="36"/>
  <c r="E54" i="34"/>
  <c r="F54" i="34" s="1"/>
  <c r="E53" i="34"/>
  <c r="F53" i="34" s="1"/>
  <c r="I54" i="34"/>
  <c r="J54" i="34" s="1"/>
  <c r="C48" i="33"/>
  <c r="C49" i="33"/>
  <c r="B3" i="33" s="1"/>
  <c r="B2" i="33" s="1"/>
  <c r="C43" i="37"/>
  <c r="B3" i="37" s="1"/>
  <c r="B2" i="37" s="1"/>
  <c r="C42" i="37"/>
  <c r="C38" i="35"/>
  <c r="C39" i="35"/>
  <c r="B3" i="35" s="1"/>
  <c r="B2" i="35" s="1"/>
  <c r="E29" i="46"/>
  <c r="B3" i="11"/>
  <c r="C27" i="12"/>
  <c r="D26" i="12" s="1"/>
  <c r="C32" i="12" s="1"/>
  <c r="D30" i="12" s="1"/>
  <c r="C38" i="15"/>
  <c r="Q58" i="44"/>
  <c r="Q67" i="44"/>
  <c r="Q49" i="44"/>
  <c r="Q55" i="44" s="1"/>
  <c r="F7" i="67"/>
  <c r="B4" i="11" l="1"/>
  <c r="B5" i="11"/>
  <c r="D19" i="6"/>
  <c r="D21" i="6"/>
  <c r="D8" i="6"/>
  <c r="D28" i="6"/>
  <c r="D9" i="6"/>
  <c r="D14" i="6"/>
  <c r="H25" i="6"/>
  <c r="H26" i="6"/>
  <c r="K38" i="9"/>
  <c r="C14" i="66" s="1"/>
  <c r="B2" i="66" s="1"/>
  <c r="D13" i="6"/>
  <c r="D15" i="6"/>
  <c r="D11" i="6"/>
  <c r="H23" i="6"/>
  <c r="H21" i="6"/>
  <c r="R21" i="6" s="1"/>
  <c r="R8" i="1" s="1"/>
  <c r="H22" i="6"/>
  <c r="D22" i="6"/>
  <c r="D23" i="6"/>
  <c r="D5" i="6"/>
  <c r="D26" i="6"/>
  <c r="E45" i="9"/>
  <c r="H24" i="6"/>
  <c r="D25" i="6"/>
  <c r="R25" i="6" s="1"/>
  <c r="E63" i="40"/>
  <c r="D29" i="6"/>
  <c r="H20" i="6"/>
  <c r="D24" i="6"/>
  <c r="F45" i="9"/>
  <c r="D20" i="6"/>
  <c r="D6" i="6"/>
  <c r="D10" i="6"/>
  <c r="I27" i="6"/>
  <c r="M27" i="6"/>
  <c r="C65" i="70"/>
  <c r="C60" i="70"/>
  <c r="I53" i="21"/>
  <c r="J53" i="21" s="1"/>
  <c r="S19" i="6"/>
  <c r="S27" i="6" s="1"/>
  <c r="G48" i="21"/>
  <c r="R49" i="21"/>
  <c r="C49" i="21" s="1"/>
  <c r="B3" i="21" s="1"/>
  <c r="B2" i="21" s="1"/>
  <c r="C59" i="15"/>
  <c r="J26" i="15"/>
  <c r="J29" i="15" s="1"/>
  <c r="T7" i="1"/>
  <c r="C48" i="21"/>
  <c r="T8" i="1"/>
  <c r="T9" i="1"/>
  <c r="T11" i="1"/>
  <c r="T13" i="1"/>
  <c r="T12" i="1"/>
  <c r="T10" i="1"/>
  <c r="H19" i="6"/>
  <c r="H27" i="6" s="1"/>
  <c r="E6" i="3"/>
  <c r="R23" i="6"/>
  <c r="D16" i="6"/>
  <c r="G65" i="40"/>
  <c r="F67" i="40"/>
  <c r="F72" i="39"/>
  <c r="G70" i="39"/>
  <c r="C6" i="59"/>
  <c r="T7" i="59"/>
  <c r="D7" i="59"/>
  <c r="A20" i="64"/>
  <c r="A6" i="64"/>
  <c r="N5" i="54"/>
  <c r="B43" i="63" s="1"/>
  <c r="A6" i="51"/>
  <c r="B7" i="63" s="1"/>
  <c r="A20" i="51"/>
  <c r="B15" i="63" s="1"/>
  <c r="C14" i="43"/>
  <c r="C17" i="43"/>
  <c r="D7" i="66"/>
  <c r="D27" i="6"/>
  <c r="C17" i="12"/>
  <c r="C14" i="12"/>
  <c r="E4" i="67"/>
  <c r="C26" i="46"/>
  <c r="B2" i="46" s="1"/>
  <c r="D77" i="9"/>
  <c r="N75" i="9" s="1"/>
  <c r="M21" i="70"/>
  <c r="F35" i="70"/>
  <c r="C16" i="44"/>
  <c r="B7" i="67"/>
  <c r="C14" i="70"/>
  <c r="C14" i="15"/>
  <c r="E7" i="67"/>
  <c r="D30" i="6" l="1"/>
  <c r="R20" i="6"/>
  <c r="R7" i="1" s="1"/>
  <c r="R24" i="6"/>
  <c r="R22" i="6"/>
  <c r="R26" i="6"/>
  <c r="G53" i="21"/>
  <c r="H53" i="21" s="1"/>
  <c r="E53" i="21"/>
  <c r="F53" i="21" s="1"/>
  <c r="G52" i="21"/>
  <c r="H52" i="21" s="1"/>
  <c r="D31" i="6"/>
  <c r="I5" i="6" s="1"/>
  <c r="F62" i="70"/>
  <c r="C61" i="70" s="1"/>
  <c r="C58" i="70" s="1"/>
  <c r="C34" i="70"/>
  <c r="C31" i="70" s="1"/>
  <c r="J20" i="70"/>
  <c r="C18" i="70"/>
  <c r="C15" i="70"/>
  <c r="C17" i="44"/>
  <c r="C20" i="44"/>
  <c r="C18" i="15"/>
  <c r="C15" i="15"/>
  <c r="R19" i="6"/>
  <c r="R6" i="1" s="1"/>
  <c r="T16" i="1"/>
  <c r="R27" i="6"/>
  <c r="G72" i="39"/>
  <c r="H70" i="39"/>
  <c r="G67" i="40"/>
  <c r="H65" i="40"/>
  <c r="C18" i="12"/>
  <c r="C18" i="43"/>
  <c r="C5" i="59"/>
  <c r="D6" i="59"/>
  <c r="E3" i="67"/>
  <c r="B2" i="67"/>
  <c r="D4" i="46"/>
  <c r="B3" i="46"/>
  <c r="B4" i="46"/>
  <c r="M21" i="15"/>
  <c r="F35" i="15"/>
  <c r="M23" i="44"/>
  <c r="F37" i="44"/>
  <c r="I6" i="6" l="1"/>
  <c r="C13" i="39" s="1"/>
  <c r="F13" i="39" s="1"/>
  <c r="F62" i="15"/>
  <c r="C61" i="15" s="1"/>
  <c r="C34" i="15"/>
  <c r="J20" i="15"/>
  <c r="C36" i="44"/>
  <c r="J22" i="44"/>
  <c r="R16" i="1"/>
  <c r="J13" i="39"/>
  <c r="C19" i="70"/>
  <c r="C20" i="70" s="1"/>
  <c r="C26" i="70" s="1"/>
  <c r="C19" i="15"/>
  <c r="C20" i="15" s="1"/>
  <c r="C26" i="15" s="1"/>
  <c r="C21" i="44"/>
  <c r="C22" i="44" s="1"/>
  <c r="I65" i="40"/>
  <c r="H67" i="40"/>
  <c r="H72" i="39"/>
  <c r="I70" i="39"/>
  <c r="D5" i="59"/>
  <c r="M20" i="46"/>
  <c r="C19" i="43"/>
  <c r="C25" i="43" s="1"/>
  <c r="C24" i="43" s="1"/>
  <c r="C23" i="12"/>
  <c r="B3" i="67"/>
  <c r="B4" i="67"/>
  <c r="H13" i="39" l="1"/>
  <c r="AB13" i="39" s="1"/>
  <c r="AC13" i="39"/>
  <c r="W13" i="39"/>
  <c r="S13" i="39"/>
  <c r="AA13" i="39"/>
  <c r="C23" i="70"/>
  <c r="C29" i="70" s="1"/>
  <c r="J19" i="70" s="1"/>
  <c r="J17" i="70" s="1"/>
  <c r="C23" i="15"/>
  <c r="C29" i="15" s="1"/>
  <c r="C28" i="44"/>
  <c r="C25" i="44"/>
  <c r="J70" i="39"/>
  <c r="I72" i="39"/>
  <c r="J65" i="40"/>
  <c r="I67" i="40"/>
  <c r="C22" i="43"/>
  <c r="C21" i="43" s="1"/>
  <c r="C28" i="43" s="1"/>
  <c r="C30" i="43" s="1"/>
  <c r="C32" i="43" s="1"/>
  <c r="B2" i="43" s="1"/>
  <c r="B5" i="43" s="1"/>
  <c r="U13" i="39" l="1"/>
  <c r="C36" i="70"/>
  <c r="C13" i="70"/>
  <c r="J35" i="70" s="1"/>
  <c r="C56" i="70"/>
  <c r="C63" i="70" s="1"/>
  <c r="Q50" i="70"/>
  <c r="J14" i="70"/>
  <c r="J13" i="70" s="1"/>
  <c r="J23" i="70" s="1"/>
  <c r="Q50" i="15"/>
  <c r="J19" i="15"/>
  <c r="J17" i="15" s="1"/>
  <c r="C36" i="15"/>
  <c r="C33" i="15"/>
  <c r="C31" i="15" s="1"/>
  <c r="J14" i="15"/>
  <c r="J22" i="15" s="1"/>
  <c r="C31" i="44"/>
  <c r="C38" i="44" s="1"/>
  <c r="J59" i="15"/>
  <c r="J60" i="15" s="1"/>
  <c r="L46" i="15" s="1"/>
  <c r="C13" i="15"/>
  <c r="C37" i="15" s="1"/>
  <c r="C56" i="15"/>
  <c r="C63" i="15" s="1"/>
  <c r="J67" i="40"/>
  <c r="K65" i="40"/>
  <c r="K70" i="39"/>
  <c r="J72" i="39"/>
  <c r="B3" i="43"/>
  <c r="B4" i="43"/>
  <c r="C37" i="70" l="1"/>
  <c r="C30" i="70" s="1"/>
  <c r="C39" i="70" s="1"/>
  <c r="Q71" i="70"/>
  <c r="C55" i="70"/>
  <c r="C64" i="70" s="1"/>
  <c r="C57" i="70" s="1"/>
  <c r="C66" i="70" s="1"/>
  <c r="C67" i="70" s="1"/>
  <c r="C70" i="70" s="1"/>
  <c r="J22" i="70"/>
  <c r="J16" i="70" s="1"/>
  <c r="J25" i="70" s="1"/>
  <c r="C15" i="44"/>
  <c r="C39" i="44" s="1"/>
  <c r="J35" i="15"/>
  <c r="J16" i="44"/>
  <c r="J24" i="44" s="1"/>
  <c r="Q71" i="15"/>
  <c r="J21" i="44"/>
  <c r="J19" i="44" s="1"/>
  <c r="C55" i="15"/>
  <c r="C64" i="15" s="1"/>
  <c r="Q51" i="44"/>
  <c r="C35" i="44"/>
  <c r="C33" i="44" s="1"/>
  <c r="J13" i="15"/>
  <c r="J23" i="15" s="1"/>
  <c r="J16" i="15" s="1"/>
  <c r="J25" i="15" s="1"/>
  <c r="C60" i="15"/>
  <c r="C58" i="15" s="1"/>
  <c r="C30" i="15"/>
  <c r="C39" i="15" s="1"/>
  <c r="Q70" i="15" s="1"/>
  <c r="Q49" i="15"/>
  <c r="L70" i="39"/>
  <c r="K72" i="39"/>
  <c r="K67" i="40"/>
  <c r="L65" i="40"/>
  <c r="L51" i="70"/>
  <c r="C43" i="44" l="1"/>
  <c r="C40" i="70"/>
  <c r="C43" i="70" s="1"/>
  <c r="J39" i="70"/>
  <c r="J40" i="70" s="1"/>
  <c r="Q70" i="70"/>
  <c r="Q69" i="70" s="1"/>
  <c r="Q68" i="70"/>
  <c r="J15" i="44"/>
  <c r="J25" i="44" s="1"/>
  <c r="J18" i="44" s="1"/>
  <c r="J27" i="44" s="1"/>
  <c r="C32" i="44"/>
  <c r="C42" i="44" s="1"/>
  <c r="C44" i="44" s="1"/>
  <c r="C45" i="44" s="1"/>
  <c r="L52" i="44" s="1"/>
  <c r="Q72" i="44"/>
  <c r="C40" i="15"/>
  <c r="C43" i="15" s="1"/>
  <c r="J39" i="15"/>
  <c r="J40" i="15" s="1"/>
  <c r="Q69" i="15"/>
  <c r="C57" i="15"/>
  <c r="C66" i="15" s="1"/>
  <c r="C67" i="15" s="1"/>
  <c r="C70" i="15" s="1"/>
  <c r="L72" i="39"/>
  <c r="M70" i="39"/>
  <c r="L67" i="40"/>
  <c r="M65" i="40"/>
  <c r="L51" i="15"/>
  <c r="Q57" i="70" l="1"/>
  <c r="Q63" i="70" s="1"/>
  <c r="B2" i="70"/>
  <c r="B3" i="70" s="1"/>
  <c r="C46" i="70"/>
  <c r="Q66" i="70"/>
  <c r="Q76" i="70" s="1"/>
  <c r="J42" i="70"/>
  <c r="J43" i="70" s="1"/>
  <c r="Q48" i="70"/>
  <c r="Q54" i="70" s="1"/>
  <c r="Q71" i="44"/>
  <c r="Q70" i="44" s="1"/>
  <c r="L57" i="15"/>
  <c r="L60" i="15" s="1"/>
  <c r="Q67" i="15" s="1"/>
  <c r="Q68" i="15"/>
  <c r="C46" i="15"/>
  <c r="B2" i="15"/>
  <c r="D10" i="12" s="1"/>
  <c r="Q48" i="15"/>
  <c r="Q54" i="15" s="1"/>
  <c r="B2" i="44"/>
  <c r="B3" i="44" s="1"/>
  <c r="Q66" i="15"/>
  <c r="J42" i="15"/>
  <c r="J43" i="15" s="1"/>
  <c r="Q57" i="15"/>
  <c r="L58" i="44"/>
  <c r="L61" i="44" s="1"/>
  <c r="Q69" i="44"/>
  <c r="N65" i="40"/>
  <c r="N67" i="40" s="1"/>
  <c r="M67" i="40"/>
  <c r="M72" i="39"/>
  <c r="N70" i="39"/>
  <c r="N72" i="39" s="1"/>
  <c r="B3" i="15" l="1"/>
  <c r="D8" i="12" s="1"/>
  <c r="Q58" i="15"/>
  <c r="Q76" i="15"/>
  <c r="B4" i="44"/>
  <c r="B5" i="44"/>
  <c r="Q63" i="15"/>
  <c r="Q68" i="44"/>
  <c r="Q77" i="44" s="1"/>
  <c r="Q59" i="44"/>
  <c r="Q64" i="44" s="1"/>
  <c r="H9" i="40"/>
  <c r="F9" i="40"/>
  <c r="H9" i="39"/>
  <c r="F9" i="39"/>
  <c r="J9" i="39"/>
  <c r="J9" i="40"/>
  <c r="C6" i="12" l="1"/>
  <c r="W9" i="39"/>
  <c r="AC9" i="39"/>
  <c r="V49" i="39" s="1"/>
  <c r="I49" i="39" s="1"/>
  <c r="U9" i="39"/>
  <c r="AB9" i="39"/>
  <c r="T49" i="39" s="1"/>
  <c r="G49" i="39" s="1"/>
  <c r="AB9" i="40"/>
  <c r="T44" i="40" s="1"/>
  <c r="G44" i="40" s="1"/>
  <c r="U9" i="40"/>
  <c r="W9" i="40"/>
  <c r="AC9" i="40"/>
  <c r="V44" i="40" s="1"/>
  <c r="I44" i="40" s="1"/>
  <c r="AA9" i="39"/>
  <c r="R49" i="39" s="1"/>
  <c r="S9" i="39"/>
  <c r="AA9" i="40"/>
  <c r="R44" i="40" s="1"/>
  <c r="S9" i="40"/>
  <c r="C24" i="12" l="1"/>
  <c r="C29" i="12"/>
  <c r="E44" i="40"/>
  <c r="R45" i="40"/>
  <c r="E49" i="39"/>
  <c r="R50" i="39"/>
  <c r="G49" i="40"/>
  <c r="H49" i="40" s="1"/>
  <c r="G48" i="40"/>
  <c r="H48" i="40" s="1"/>
  <c r="I48" i="40"/>
  <c r="J48" i="40" s="1"/>
  <c r="G53" i="39"/>
  <c r="H53" i="39" s="1"/>
  <c r="G54" i="39"/>
  <c r="H54" i="39" s="1"/>
  <c r="I53" i="39"/>
  <c r="J53" i="39" s="1"/>
  <c r="C28" i="12" l="1"/>
  <c r="C26" i="12" s="1"/>
  <c r="C31" i="12" s="1"/>
  <c r="C30" i="12" s="1"/>
  <c r="C35" i="12"/>
  <c r="C33" i="12" s="1"/>
  <c r="E53" i="39"/>
  <c r="F53" i="39" s="1"/>
  <c r="E54" i="39"/>
  <c r="F54" i="39" s="1"/>
  <c r="E49" i="40"/>
  <c r="F49" i="40" s="1"/>
  <c r="E48" i="40"/>
  <c r="F48" i="40" s="1"/>
  <c r="I54" i="39"/>
  <c r="J54" i="39" s="1"/>
  <c r="I49" i="40"/>
  <c r="J49" i="40" s="1"/>
  <c r="C49" i="39"/>
  <c r="C50" i="39"/>
  <c r="C44" i="40"/>
  <c r="C45" i="40"/>
  <c r="C36" i="12" l="1"/>
  <c r="B2" i="12" s="1"/>
  <c r="B55" i="40"/>
  <c r="F55" i="40" s="1"/>
  <c r="B53" i="40"/>
  <c r="F53" i="40" s="1"/>
  <c r="B57" i="40"/>
  <c r="F57" i="40" s="1"/>
  <c r="B62" i="40"/>
  <c r="F62" i="40" s="1"/>
  <c r="B58" i="40"/>
  <c r="F58" i="40" s="1"/>
  <c r="B60" i="40"/>
  <c r="F60" i="40" s="1"/>
  <c r="B56" i="40"/>
  <c r="F56" i="40" s="1"/>
  <c r="B54" i="40"/>
  <c r="F54" i="40" s="1"/>
  <c r="B61" i="40"/>
  <c r="F61" i="40" s="1"/>
  <c r="F63" i="40"/>
  <c r="B2" i="40" s="1"/>
  <c r="B59" i="40"/>
  <c r="F59" i="40" s="1"/>
  <c r="B64" i="39"/>
  <c r="F64" i="39" s="1"/>
  <c r="B59" i="39"/>
  <c r="F59" i="39" s="1"/>
  <c r="B66" i="39"/>
  <c r="F66" i="39" s="1"/>
  <c r="B62" i="39"/>
  <c r="F62" i="39" s="1"/>
  <c r="B65" i="39"/>
  <c r="F65" i="39" s="1"/>
  <c r="B60" i="39"/>
  <c r="F60" i="39" s="1"/>
  <c r="B63" i="39"/>
  <c r="F63" i="39" s="1"/>
  <c r="B67" i="39"/>
  <c r="F67" i="39" s="1"/>
  <c r="B58" i="39"/>
  <c r="F58" i="39" s="1"/>
  <c r="B61" i="39"/>
  <c r="F61" i="39" s="1"/>
  <c r="D19" i="9"/>
  <c r="F68" i="39" l="1"/>
  <c r="B2" i="39" s="1"/>
  <c r="B4" i="39" s="1"/>
  <c r="L44" i="9"/>
  <c r="B4" i="12"/>
  <c r="B3" i="12"/>
  <c r="B5" i="12"/>
  <c r="B4" i="40"/>
  <c r="B5" i="40"/>
  <c r="B3" i="40"/>
  <c r="C19" i="9"/>
  <c r="D20" i="9"/>
  <c r="D21" i="9"/>
  <c r="C21" i="9"/>
  <c r="B5" i="39" l="1"/>
  <c r="B3" i="39"/>
  <c r="G19" i="9"/>
  <c r="A27" i="9" s="1"/>
  <c r="L43" i="9"/>
  <c r="D22" i="9"/>
  <c r="G21" i="9"/>
  <c r="C20" i="9"/>
  <c r="G20" i="9" l="1"/>
  <c r="N43" i="9"/>
  <c r="G22" i="9"/>
  <c r="C32" i="9"/>
  <c r="O43" i="9" s="1"/>
  <c r="C35" i="9" l="1"/>
  <c r="F42" i="9" s="1"/>
  <c r="C34" i="9"/>
  <c r="M38" i="9" s="1"/>
  <c r="K27" i="9" s="1"/>
  <c r="C33" i="9"/>
  <c r="N38" i="9" s="1"/>
  <c r="K28" i="9" s="1"/>
  <c r="C42" i="9"/>
  <c r="N68" i="9" s="1"/>
  <c r="O38" i="9"/>
  <c r="K26" i="9" s="1"/>
  <c r="E42" i="9"/>
  <c r="P5" i="54" s="1"/>
  <c r="B46" i="63" s="1"/>
  <c r="D42" i="9"/>
  <c r="Q5" i="54" s="1"/>
  <c r="B47" i="63" s="1"/>
  <c r="K25" i="9" l="1"/>
  <c r="R5" i="54"/>
  <c r="B48" i="63" s="1"/>
  <c r="C44" i="9"/>
  <c r="O39" i="9" s="1"/>
  <c r="D63" i="9"/>
  <c r="D70" i="9" s="1"/>
  <c r="D14" i="66"/>
  <c r="B5" i="66" s="1"/>
  <c r="C111" i="9" l="1"/>
  <c r="C104" i="9" s="1"/>
  <c r="G14" i="66"/>
  <c r="B6" i="66" s="1"/>
  <c r="D6" i="66" s="1"/>
  <c r="N69" i="9"/>
  <c r="M83" i="9" s="1"/>
  <c r="N83" i="9" s="1"/>
  <c r="D44" i="9"/>
  <c r="C82" i="9"/>
  <c r="C81" i="9" s="1"/>
  <c r="C85" i="9" s="1"/>
  <c r="C86" i="9" s="1"/>
  <c r="D72" i="9" s="1"/>
  <c r="F44" i="9"/>
  <c r="E44" i="9"/>
  <c r="C96" i="9"/>
  <c r="C91" i="9" s="1"/>
  <c r="D73" i="9"/>
  <c r="N73" i="9" s="1"/>
  <c r="C90" i="9"/>
  <c r="D71" i="9"/>
  <c r="D66" i="9" s="1"/>
  <c r="N72" i="9" s="1"/>
  <c r="C103" i="9"/>
  <c r="E14" i="66"/>
  <c r="F14" i="66"/>
  <c r="R6" i="54"/>
  <c r="B50" i="63" s="1"/>
  <c r="K29" i="9"/>
  <c r="K30" i="9" s="1"/>
  <c r="M88" i="9"/>
  <c r="N88" i="9" s="1"/>
  <c r="C6" i="66"/>
  <c r="D5" i="66"/>
  <c r="C5" i="66"/>
  <c r="C113" i="9" l="1"/>
  <c r="C114" i="9" s="1"/>
  <c r="E114" i="9" s="1"/>
  <c r="E115" i="9" s="1"/>
  <c r="C97" i="9"/>
  <c r="C98" i="9" s="1"/>
  <c r="E98" i="9" s="1"/>
  <c r="E99" i="9" s="1"/>
  <c r="M86" i="9"/>
  <c r="N86" i="9" s="1"/>
  <c r="M85" i="9"/>
  <c r="N85" i="9" s="1"/>
  <c r="M87" i="9"/>
  <c r="N87" i="9" s="1"/>
  <c r="M84" i="9"/>
  <c r="N84" i="9" s="1"/>
  <c r="N89" i="9" l="1"/>
  <c r="O89" i="9" s="1"/>
  <c r="C99" i="9"/>
  <c r="C115" i="9"/>
  <c r="D76" i="9" s="1"/>
  <c r="D74" i="9" s="1"/>
  <c r="N74" i="9" s="1"/>
  <c r="O77" i="9" s="1"/>
  <c r="O78" i="9" s="1"/>
  <c r="Q77" i="9" l="1"/>
  <c r="O79" i="9"/>
  <c r="O81" i="9" l="1"/>
  <c r="O80" i="9"/>
  <c r="C46" i="9"/>
  <c r="F46" i="9" s="1"/>
  <c r="K33" i="9" l="1"/>
  <c r="D46" i="9"/>
  <c r="O41" i="9"/>
  <c r="R8" i="54" s="1"/>
  <c r="B54" i="63" s="1"/>
  <c r="E46" i="9"/>
  <c r="I14" i="66"/>
  <c r="B8" i="66" s="1"/>
  <c r="D8" i="66" s="1"/>
  <c r="K34" i="9" l="1"/>
  <c r="C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45649983-2D8F-4E92-B8CE-071F80E3A47A}">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69909479-1793-4CE8-AAAB-2A114E61F30B}">
      <text>
        <r>
          <rPr>
            <sz val="11"/>
            <color indexed="81"/>
            <rFont val="宋体"/>
            <family val="3"/>
            <charset val="134"/>
          </rPr>
          <t xml:space="preserve">需注意，采用基准地价系数修正法中土地结果计算时，土地报酬率应采用该方法中报酬率（还原率）。
</t>
        </r>
      </text>
    </comment>
    <comment ref="L55" authorId="0" shapeId="0" xr:uid="{16C592DE-3D51-45E3-A555-D559B83D0373}">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F1D404F-AA29-4E19-ACCF-84E9EB80561A}">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<sst xmlns="http://schemas.openxmlformats.org/spreadsheetml/2006/main" count="7420" uniqueCount="3114">
  <si>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</si>
  <si>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</si>
  <si>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</si>
  <si>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</si>
  <si>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</si>
  <si>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</si>
  <si>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</si>
  <si>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</si>
  <si>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</si>
  <si>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</si>
  <si>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</si>
  <si>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</si>
  <si>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</si>
  <si>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</si>
  <si>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</si>
  <si>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</si>
  <si>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</si>
  <si>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</si>
  <si>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</si>
  <si>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</si>
  <si>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</si>
  <si>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</si>
  <si>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</si>
  <si>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</si>
  <si>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</si>
  <si>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</si>
  <si>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</si>
  <si>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</si>
  <si>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</si>
  <si>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</si>
  <si>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</si>
  <si>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</si>
  <si>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</si>
  <si>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</si>
  <si>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</si>
  <si>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</si>
  <si>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</si>
  <si>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</si>
  <si>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</si>
  <si>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</si>
  <si>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</si>
  <si>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</si>
  <si>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</si>
  <si>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</si>
  <si>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</si>
  <si>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</si>
  <si>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</si>
  <si>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</si>
  <si>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</si>
  <si>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</si>
  <si>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</si>
  <si>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</si>
  <si>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</si>
  <si>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</si>
  <si>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</si>
  <si>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</si>
  <si>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</si>
  <si>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</si>
  <si>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</si>
  <si>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</si>
  <si>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</si>
  <si>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</si>
  <si>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</si>
  <si>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</si>
  <si>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</si>
  <si>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</si>
  <si>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</si>
  <si>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</si>
  <si>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</si>
  <si>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</si>
  <si>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</si>
  <si>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</si>
  <si>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</si>
  <si>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</si>
  <si>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</si>
  <si>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</si>
  <si>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</si>
  <si>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</si>
  <si>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</si>
  <si>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</si>
  <si>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</si>
  <si>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</si>
  <si>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</si>
  <si>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</si>
  <si>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</si>
  <si>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</si>
  <si>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</si>
  <si>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</si>
  <si>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</si>
  <si>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</si>
  <si>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</si>
  <si>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</si>
  <si>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</si>
  <si>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</si>
  <si>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</si>
  <si>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</si>
  <si>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</si>
  <si>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</si>
  <si>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</si>
  <si>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</si>
  <si>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</si>
  <si>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</si>
  <si>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</si>
  <si>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</si>
  <si>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</si>
  <si>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</si>
  <si>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</si>
  <si>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</si>
  <si>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</si>
  <si>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</si>
  <si>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</si>
  <si>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</si>
  <si>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</si>
  <si>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</si>
  <si>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</si>
  <si>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</si>
  <si>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</si>
  <si>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</si>
  <si>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</si>
  <si>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</si>
  <si>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</si>
  <si>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</si>
  <si>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</si>
  <si>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</si>
  <si>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</si>
  <si>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</si>
  <si>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</si>
  <si>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</si>
  <si>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</si>
  <si>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</si>
  <si>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</si>
  <si>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</si>
  <si>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</si>
  <si>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</si>
  <si>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</si>
  <si>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</si>
  <si>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</si>
  <si>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</si>
  <si>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</si>
  <si>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</si>
  <si>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</si>
  <si>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</si>
  <si>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</si>
  <si>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</si>
  <si>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</si>
  <si>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</si>
  <si>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</si>
  <si>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</si>
  <si>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</si>
  <si>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</si>
  <si>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</si>
  <si>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</si>
  <si>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</si>
  <si>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</si>
  <si>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</si>
  <si>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</si>
  <si>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</si>
  <si>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</si>
  <si>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</si>
  <si>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</si>
  <si>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</si>
  <si>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</si>
  <si>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</si>
  <si>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</si>
  <si>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</si>
  <si>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</si>
  <si>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</si>
  <si>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</si>
  <si>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</si>
  <si>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</si>
  <si>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</si>
  <si>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</si>
  <si>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</si>
  <si>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</si>
  <si>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</si>
  <si>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</si>
  <si>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</si>
  <si>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</si>
  <si>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</si>
  <si>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</si>
  <si>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</si>
  <si>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</si>
  <si>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</si>
  <si>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</si>
  <si>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</si>
  <si>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</si>
  <si>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</si>
  <si>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</si>
  <si>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</si>
  <si>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</si>
  <si>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</si>
  <si>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</si>
  <si>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</si>
  <si>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</si>
  <si>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</si>
  <si>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</si>
  <si>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</si>
  <si>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</si>
  <si>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</si>
  <si>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</si>
  <si>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</si>
  <si>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</si>
  <si>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</si>
  <si>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</si>
  <si>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</si>
  <si>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</si>
  <si>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</si>
  <si>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</si>
  <si>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</si>
  <si>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</si>
  <si>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</si>
  <si>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</si>
  <si>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</si>
  <si>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</si>
  <si>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</si>
  <si>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</si>
  <si>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</si>
  <si>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</si>
  <si>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</si>
  <si>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</si>
  <si>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</si>
  <si>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</si>
  <si>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</si>
  <si>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</si>
  <si>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</si>
  <si>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</si>
  <si>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</si>
  <si>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</si>
  <si>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</si>
  <si>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</si>
  <si>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</si>
  <si>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</si>
  <si>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</si>
  <si>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</si>
  <si>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</si>
  <si>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</si>
  <si>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</si>
  <si>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</si>
  <si>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</si>
  <si>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</si>
  <si>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</si>
  <si>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</si>
  <si>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</si>
  <si>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</si>
  <si>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</si>
  <si>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</si>
  <si>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</si>
  <si>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</si>
  <si>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</si>
  <si>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</si>
  <si>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</si>
  <si>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</si>
  <si>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</si>
  <si>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</si>
  <si>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</si>
  <si>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</si>
  <si>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</si>
  <si>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</si>
  <si>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</si>
  <si>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</si>
  <si>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</si>
  <si>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</si>
  <si>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</si>
  <si>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</si>
  <si>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</si>
  <si>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</si>
  <si>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</si>
  <si>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</si>
  <si>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</si>
  <si>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</si>
  <si>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</si>
  <si>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</si>
  <si>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</si>
  <si>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</si>
  <si>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</si>
  <si>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</si>
  <si>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</si>
  <si>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</si>
  <si>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</si>
  <si>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</si>
  <si>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</si>
  <si>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</si>
  <si>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</si>
  <si>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</si>
  <si>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</si>
  <si>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</si>
  <si>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</si>
  <si>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</si>
  <si>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</si>
  <si>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</si>
  <si>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</si>
  <si>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</si>
  <si>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</si>
  <si>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</si>
  <si>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</si>
  <si>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</si>
  <si>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</si>
  <si>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</si>
  <si>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</si>
  <si>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</si>
  <si>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</si>
  <si>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</si>
  <si>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</si>
  <si>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</si>
  <si>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</si>
  <si>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</si>
  <si>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</si>
  <si>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</si>
  <si>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</si>
  <si>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</si>
  <si>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</si>
  <si>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</si>
  <si>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</si>
  <si>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</si>
  <si>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</si>
  <si>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</si>
  <si>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</si>
  <si>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</si>
  <si>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</si>
  <si>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</si>
  <si>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</si>
  <si>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</si>
  <si>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</si>
  <si>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</si>
  <si>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</si>
  <si>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</si>
  <si>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</si>
  <si>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</si>
  <si>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</si>
  <si>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</si>
  <si>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</si>
  <si>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</si>
  <si>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</si>
  <si>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</si>
  <si>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</si>
  <si>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</si>
  <si>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</si>
  <si>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</si>
  <si>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</si>
  <si>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</si>
  <si>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</si>
  <si>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</si>
  <si>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</si>
  <si>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</si>
  <si>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</si>
  <si>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</si>
  <si>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</si>
  <si>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</si>
  <si>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</si>
  <si>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</si>
  <si>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</si>
  <si>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</si>
  <si>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</si>
  <si>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</si>
  <si>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</si>
  <si>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</si>
  <si>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</si>
  <si>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</si>
  <si>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</si>
  <si>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</si>
  <si>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</si>
  <si>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</si>
  <si>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</si>
  <si>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</si>
  <si>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</si>
  <si>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</si>
  <si>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</si>
  <si>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</si>
  <si>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</si>
  <si>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</si>
  <si>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</si>
  <si>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</si>
  <si>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</si>
  <si>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</si>
  <si>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</si>
  <si>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</si>
  <si>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</si>
  <si>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</si>
  <si>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</si>
  <si>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</si>
  <si>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</si>
  <si>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</si>
  <si>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</si>
  <si>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</si>
  <si>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</si>
  <si>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</si>
  <si>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</si>
  <si>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</si>
  <si>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</si>
  <si>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</si>
  <si>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</si>
  <si>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</si>
  <si>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</si>
  <si>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</si>
  <si>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</si>
  <si>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</si>
  <si>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</si>
  <si>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</si>
  <si>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</si>
  <si>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</si>
  <si>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</si>
  <si>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</si>
  <si>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</si>
  <si>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</si>
  <si>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</si>
  <si>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</si>
  <si>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</si>
  <si>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</si>
  <si>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</si>
  <si>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</si>
  <si>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</si>
  <si>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</si>
  <si>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</si>
  <si>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</si>
  <si>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</si>
  <si>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</si>
  <si>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</si>
  <si>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</si>
  <si>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</si>
  <si>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</si>
  <si>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</si>
  <si>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</si>
  <si>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</si>
  <si>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</si>
  <si>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</si>
  <si>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</si>
  <si>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</si>
  <si>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</si>
  <si>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</si>
  <si>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</si>
  <si>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</si>
  <si>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</si>
  <si>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</si>
  <si>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</si>
  <si>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</si>
  <si>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</si>
  <si>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</si>
  <si>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</si>
  <si>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</si>
  <si>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</si>
  <si>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</si>
  <si>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</si>
  <si>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</si>
  <si>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</si>
  <si>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</si>
  <si>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</si>
  <si>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</si>
  <si>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</si>
  <si>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</si>
  <si>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</si>
  <si>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</si>
  <si>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</si>
  <si>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</si>
  <si>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</si>
  <si>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</si>
  <si>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</si>
  <si>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</si>
  <si>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</si>
  <si>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</si>
  <si>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</si>
  <si>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</si>
  <si>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</si>
  <si>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</si>
  <si>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</si>
  <si>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</si>
  <si>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</si>
  <si>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</si>
  <si>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</si>
  <si>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</si>
  <si>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</si>
  <si>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</si>
  <si>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</si>
  <si>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</si>
  <si>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</si>
  <si>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</si>
  <si>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</si>
  <si>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</si>
  <si>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</si>
  <si>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</si>
  <si>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</si>
  <si>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</si>
  <si>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</si>
  <si>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</si>
  <si>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</si>
  <si>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</si>
  <si>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</si>
  <si>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</si>
  <si>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</si>
  <si>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</si>
  <si>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</si>
  <si>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</si>
  <si>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</si>
  <si>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</si>
  <si>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</si>
  <si>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</si>
  <si>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</si>
  <si>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</si>
  <si>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</si>
  <si>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</si>
  <si>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</si>
  <si>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</si>
  <si>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</si>
  <si>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</si>
  <si>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</si>
  <si>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</si>
  <si>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</si>
  <si>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</si>
  <si>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</si>
  <si>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</si>
  <si>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</si>
  <si>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</si>
  <si>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</si>
  <si>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</si>
  <si>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</si>
  <si>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</si>
  <si>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</si>
  <si>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</si>
  <si>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</si>
  <si>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</si>
  <si>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</si>
  <si>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</si>
  <si>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</si>
  <si>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</si>
  <si>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</si>
  <si>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</si>
  <si>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</si>
  <si>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</si>
  <si>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</si>
  <si>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</si>
  <si>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</si>
  <si>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</si>
  <si>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</si>
  <si>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</si>
  <si>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</si>
  <si>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</si>
  <si>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</si>
  <si>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</si>
  <si>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</si>
  <si>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</si>
  <si>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</si>
  <si>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</si>
  <si>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</si>
  <si>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</si>
  <si>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</si>
  <si>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</si>
  <si>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</si>
  <si>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</si>
  <si>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</si>
  <si>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</si>
  <si>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</si>
  <si>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</si>
  <si>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</si>
  <si>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</si>
  <si>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</si>
  <si>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</si>
  <si>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</si>
  <si>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</si>
  <si>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</si>
  <si>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</si>
  <si>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</si>
  <si>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</si>
  <si>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</si>
  <si>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</si>
  <si>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</si>
  <si>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</si>
  <si>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</si>
  <si>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</si>
  <si>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</si>
  <si>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</si>
  <si>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</si>
  <si>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</si>
  <si>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</si>
  <si>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</si>
  <si>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</si>
  <si>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</si>
  <si>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</si>
  <si>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</si>
  <si>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</si>
  <si>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</si>
  <si>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</si>
  <si>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</si>
  <si>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</si>
  <si>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</si>
  <si>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</si>
  <si>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</si>
  <si>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</si>
  <si>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</si>
  <si>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</si>
  <si>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</si>
  <si>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</si>
  <si>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</si>
  <si>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</si>
  <si>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</si>
  <si>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</si>
  <si>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</si>
  <si>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</si>
  <si>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</si>
  <si>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</si>
  <si>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</si>
  <si>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</si>
  <si>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</si>
  <si>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</si>
  <si>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</si>
  <si>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</si>
  <si>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</si>
  <si>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</si>
  <si>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</si>
  <si>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</si>
  <si>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</si>
  <si>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</si>
  <si>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</si>
  <si>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</si>
  <si>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</si>
  <si>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</si>
  <si>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</si>
  <si>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</si>
  <si>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</si>
  <si>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</si>
  <si>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</si>
  <si>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</si>
  <si>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</si>
  <si>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</si>
  <si>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</si>
  <si>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</si>
  <si>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</si>
  <si>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</si>
  <si>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</si>
  <si>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</si>
  <si>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</si>
  <si>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</si>
  <si>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</si>
  <si>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</si>
  <si>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</si>
  <si>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</si>
  <si>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</si>
  <si>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</si>
  <si>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</si>
  <si>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</si>
  <si>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</si>
  <si>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</si>
  <si>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</si>
  <si>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</si>
  <si>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</si>
  <si>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</si>
  <si>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</si>
  <si>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</si>
  <si>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</si>
  <si>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</si>
  <si>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</si>
  <si>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</si>
  <si>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</si>
  <si>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</si>
  <si>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</si>
  <si>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</si>
  <si>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</si>
  <si>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</si>
  <si>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</si>
  <si>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</si>
  <si>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</si>
  <si>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</si>
  <si>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</si>
  <si>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</si>
  <si>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</si>
  <si>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</si>
  <si>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</si>
  <si>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</si>
  <si>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</si>
  <si>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</si>
  <si>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</si>
  <si>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</si>
  <si>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</si>
  <si>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</si>
  <si>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</si>
  <si>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</si>
  <si>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</si>
  <si>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</si>
  <si>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</si>
  <si>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</si>
  <si>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</si>
  <si>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</si>
  <si>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</si>
  <si>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</si>
  <si>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</si>
  <si>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</si>
  <si>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</si>
  <si>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</si>
  <si>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</si>
  <si>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</si>
  <si>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</si>
  <si>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</si>
  <si>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</si>
  <si>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</si>
  <si>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</si>
  <si>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</si>
  <si>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</si>
  <si>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</si>
  <si>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</si>
  <si>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</si>
  <si>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</si>
  <si>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</si>
  <si>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</si>
  <si>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</si>
  <si>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</si>
  <si>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</si>
  <si>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</si>
  <si>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</si>
  <si>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</si>
  <si>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</si>
  <si>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</si>
  <si>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</si>
  <si>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</si>
  <si>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</si>
  <si>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</si>
  <si>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</si>
  <si>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</si>
  <si>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</si>
  <si>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</si>
  <si>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</si>
  <si>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</si>
  <si>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</si>
  <si>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</si>
  <si>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</si>
  <si>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</si>
  <si>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</si>
  <si>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</si>
  <si>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</si>
  <si>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</si>
  <si>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</si>
  <si>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</si>
  <si>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</si>
  <si>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</si>
  <si>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</si>
  <si>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</si>
  <si>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</si>
  <si>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</si>
  <si>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</si>
  <si>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</si>
  <si>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</si>
  <si>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</si>
  <si>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</si>
  <si>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</si>
  <si>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</si>
  <si>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</si>
  <si>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</si>
  <si>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</si>
  <si>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</si>
  <si>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</si>
  <si>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</si>
  <si>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</si>
  <si>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</si>
  <si>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</si>
  <si>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</si>
  <si>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</si>
  <si>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</si>
  <si>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</si>
  <si>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</si>
  <si>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</si>
  <si>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</si>
  <si>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</si>
  <si>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</si>
  <si>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</si>
  <si>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</si>
  <si>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</si>
  <si>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</si>
  <si>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</si>
  <si>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</si>
  <si>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</si>
  <si>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</si>
  <si>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</si>
  <si>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</si>
  <si>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</si>
  <si>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</si>
  <si>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</si>
  <si>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</si>
  <si>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</si>
  <si>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</si>
  <si>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</si>
  <si>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</si>
  <si>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</si>
  <si>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</si>
  <si>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</si>
  <si>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</si>
  <si>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</si>
  <si>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</si>
  <si>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</si>
  <si>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</si>
  <si>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</si>
  <si>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</si>
  <si>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</si>
  <si>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</si>
  <si>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</si>
  <si>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</si>
  <si>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</si>
  <si>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</si>
  <si>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</si>
  <si>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</si>
  <si>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</si>
  <si>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</si>
  <si>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</si>
  <si>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</si>
  <si>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</si>
  <si>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</si>
  <si>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</si>
  <si>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</si>
  <si>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</si>
  <si>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</si>
  <si>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</si>
  <si>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</si>
  <si>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</si>
  <si>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</si>
  <si>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</si>
  <si>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</si>
  <si>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</si>
  <si>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</si>
  <si>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</si>
  <si>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</si>
  <si>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</si>
  <si>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</si>
  <si>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</si>
  <si>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</si>
  <si>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</si>
  <si>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</si>
  <si>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</si>
  <si>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</si>
  <si>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</si>
  <si>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</si>
  <si>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</si>
  <si>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</si>
  <si>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</si>
  <si>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</si>
  <si>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</si>
  <si>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</si>
  <si>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</si>
  <si>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</si>
  <si>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</si>
  <si>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</si>
  <si>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</si>
  <si>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</si>
  <si>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</si>
  <si>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</si>
  <si>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</si>
  <si>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</si>
  <si>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</si>
  <si>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</si>
  <si>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</si>
  <si>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</si>
  <si>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</si>
  <si>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</si>
  <si>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</si>
  <si>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</si>
  <si>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</si>
  <si>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</si>
  <si>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</si>
  <si>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</si>
  <si>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</si>
  <si>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</si>
  <si>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</si>
  <si>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</si>
  <si>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</si>
  <si>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</si>
  <si>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</si>
  <si>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</si>
  <si>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</si>
  <si>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</si>
  <si>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</si>
  <si>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</si>
  <si>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</si>
  <si>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</si>
  <si>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</si>
  <si>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</si>
  <si>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</si>
  <si>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</si>
  <si>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</si>
  <si>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</si>
  <si>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</si>
  <si>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</si>
  <si>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</si>
  <si>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</si>
  <si>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</si>
  <si>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</si>
  <si>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</si>
  <si>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</si>
  <si>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</si>
  <si>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</si>
  <si>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</si>
  <si>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</si>
  <si>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</si>
  <si>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</si>
  <si>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</si>
  <si>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</si>
  <si>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</si>
  <si>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</si>
  <si>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</si>
  <si>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</si>
  <si>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</si>
  <si>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</si>
  <si>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</si>
  <si>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</si>
  <si>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</si>
  <si>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</si>
  <si>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</si>
  <si>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</si>
  <si>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</si>
  <si>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</si>
  <si>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</si>
  <si>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</si>
  <si>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</si>
  <si>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</si>
  <si>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</si>
  <si>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</si>
  <si>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</si>
  <si>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</si>
  <si>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</si>
  <si>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</si>
  <si>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</si>
  <si>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</si>
  <si>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</si>
  <si>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</si>
  <si>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</si>
  <si>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</si>
  <si>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</si>
  <si>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</si>
  <si>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</si>
  <si>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</si>
  <si>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</si>
  <si>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</si>
  <si>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</si>
  <si>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</si>
  <si>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</si>
  <si>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</si>
  <si>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</si>
  <si>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</si>
  <si>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</si>
  <si>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</si>
  <si>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</si>
  <si>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</si>
  <si>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</si>
  <si>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</si>
  <si>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</si>
  <si>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</si>
  <si>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</si>
  <si>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</si>
  <si>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</si>
  <si>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</si>
  <si>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</si>
  <si>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</si>
  <si>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</si>
  <si>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</si>
  <si>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</si>
  <si>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</si>
  <si>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</si>
  <si>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</si>
  <si>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</si>
  <si>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</si>
  <si>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</si>
  <si>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</si>
  <si>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</si>
  <si>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</si>
  <si>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</si>
  <si>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</si>
  <si>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</si>
  <si>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</si>
  <si>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</si>
  <si>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</si>
  <si>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</si>
  <si>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</si>
  <si>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</si>
  <si>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</si>
  <si>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</si>
  <si>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</si>
  <si>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</si>
  <si>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</si>
  <si>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</si>
  <si>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</si>
  <si>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</si>
  <si>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</si>
  <si>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</si>
  <si>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</si>
  <si>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</si>
  <si>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</si>
  <si>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</si>
  <si>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</si>
  <si>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</si>
  <si>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</si>
  <si>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</si>
  <si>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</si>
  <si>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</si>
  <si>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</si>
  <si>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</si>
  <si>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</si>
  <si>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</si>
  <si>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</si>
  <si>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</si>
  <si>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</si>
  <si>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</si>
  <si>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</si>
  <si>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</si>
  <si>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</si>
  <si>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</si>
  <si>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</si>
  <si>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</si>
  <si>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</si>
  <si>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</si>
  <si>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</si>
  <si>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</si>
  <si>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</si>
  <si>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</si>
  <si>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</si>
  <si>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</si>
  <si>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</si>
  <si>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</si>
  <si>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</si>
  <si>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</si>
  <si>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</si>
  <si>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</si>
  <si>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</si>
  <si>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</si>
  <si>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</si>
  <si>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</si>
  <si>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</si>
  <si>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</si>
  <si>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</si>
  <si>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</si>
  <si>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</si>
  <si>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</si>
  <si>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</si>
  <si>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</si>
  <si>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</si>
  <si>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</si>
  <si>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</si>
  <si>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</si>
  <si>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</si>
  <si>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</si>
  <si>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</si>
  <si>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</si>
  <si>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</si>
  <si>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</si>
  <si>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</si>
  <si>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</si>
  <si>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</si>
  <si>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</si>
  <si>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</si>
  <si>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</si>
  <si>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</si>
  <si>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</si>
  <si>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</si>
  <si>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</si>
  <si>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</si>
  <si>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</si>
  <si>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</si>
  <si>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</si>
  <si>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</si>
  <si>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</si>
  <si>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</si>
  <si>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</si>
  <si>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</si>
  <si>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</si>
  <si>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</si>
  <si>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</si>
  <si>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</si>
  <si>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</si>
  <si>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</si>
  <si>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</si>
  <si>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</si>
  <si>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</si>
  <si>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</si>
  <si>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</si>
  <si>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</si>
  <si>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</si>
  <si>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</si>
  <si>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</si>
  <si>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</si>
  <si>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</si>
  <si>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</si>
  <si>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</si>
  <si>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</si>
  <si>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</si>
  <si>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</si>
  <si>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</si>
  <si>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</si>
  <si>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</si>
  <si>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</si>
  <si>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</si>
  <si>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</si>
  <si>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</si>
  <si>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</si>
  <si>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</si>
  <si>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</si>
  <si>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</si>
  <si>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</si>
  <si>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</si>
  <si>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</si>
  <si>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</si>
  <si>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</si>
  <si>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</si>
  <si>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</si>
  <si>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</si>
  <si>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</si>
  <si>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</si>
  <si>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</si>
  <si>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</si>
  <si>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</si>
  <si>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</si>
  <si>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</si>
  <si>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</si>
  <si>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</si>
  <si>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</si>
  <si>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</si>
  <si>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</si>
  <si>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</si>
  <si>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</si>
  <si>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</si>
  <si>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</si>
  <si>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</si>
  <si>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</si>
  <si>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</si>
  <si>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</si>
  <si>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</si>
  <si>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</si>
  <si>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</si>
  <si>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</si>
  <si>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</si>
  <si>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</si>
  <si>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</si>
  <si>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</si>
  <si>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</si>
  <si>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</si>
  <si>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</si>
  <si>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</si>
  <si>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</si>
  <si>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</si>
  <si>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</si>
  <si>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</si>
  <si>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</si>
  <si>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</si>
  <si>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</si>
  <si>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</si>
  <si>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</si>
  <si>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</si>
  <si>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</si>
  <si>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</si>
  <si>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</si>
  <si>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</si>
  <si>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</si>
  <si>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</si>
  <si>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</si>
  <si>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</si>
  <si>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</si>
  <si>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</si>
  <si>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</si>
  <si>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</si>
  <si>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</si>
  <si>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</si>
  <si>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</si>
  <si>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</si>
  <si>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</si>
  <si>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</si>
  <si>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</si>
  <si>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</si>
  <si>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</si>
  <si>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</si>
  <si>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</si>
  <si>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</si>
  <si>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</si>
  <si>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</si>
  <si>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</si>
  <si>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</si>
  <si>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</si>
  <si>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</si>
  <si>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</si>
  <si>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</si>
  <si>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</si>
  <si>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</si>
  <si>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</si>
  <si>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</si>
  <si>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</si>
  <si>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</si>
  <si>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</si>
  <si>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</si>
  <si>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</si>
  <si>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</si>
  <si>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</si>
  <si>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</si>
  <si>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</si>
  <si>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</si>
  <si>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</si>
  <si>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</si>
  <si>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</si>
  <si>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</si>
  <si>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</si>
  <si>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</si>
  <si>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</si>
  <si>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</si>
  <si>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</si>
  <si>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</si>
  <si>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</si>
  <si>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</si>
  <si>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</si>
  <si>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</si>
  <si>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</si>
  <si>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</si>
  <si>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</si>
  <si>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</si>
  <si>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</si>
  <si>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</si>
  <si>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</si>
  <si>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</si>
  <si>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</si>
  <si>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</si>
  <si>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</si>
  <si>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</si>
  <si>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</si>
  <si>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</si>
  <si>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</si>
  <si>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</si>
  <si>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</si>
  <si>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</si>
  <si>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</si>
  <si>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</si>
  <si>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</si>
  <si>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</si>
  <si>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</si>
  <si>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</si>
  <si>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</si>
  <si>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</si>
  <si>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</si>
  <si>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</si>
  <si>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</si>
  <si>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</si>
  <si>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</si>
  <si>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</si>
  <si>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</si>
  <si>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</si>
  <si>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</si>
  <si>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</si>
  <si>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</si>
  <si>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</si>
  <si>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</si>
  <si>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</si>
  <si>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</si>
  <si>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</si>
  <si>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</si>
  <si>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</si>
  <si>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</si>
  <si>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</si>
  <si>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</si>
  <si>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</si>
  <si>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</si>
  <si>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</si>
  <si>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</si>
  <si>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</si>
  <si>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</si>
  <si>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</si>
  <si>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</si>
  <si>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</si>
  <si>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</si>
  <si>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</si>
  <si>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</si>
  <si>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</si>
  <si>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</si>
  <si>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</si>
  <si>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</si>
  <si>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</si>
  <si>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</si>
  <si>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</si>
  <si>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</si>
  <si>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</si>
  <si>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</si>
  <si>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</si>
  <si>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</si>
  <si>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</si>
  <si>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</si>
  <si>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</si>
  <si>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</si>
  <si>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</si>
  <si>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</si>
  <si>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</si>
  <si>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</si>
  <si>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</si>
  <si>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</si>
  <si>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</si>
  <si>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</si>
  <si>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</si>
  <si>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</si>
  <si>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</si>
  <si>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</si>
  <si>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</si>
  <si>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</si>
  <si>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</si>
  <si>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</si>
  <si>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</si>
  <si>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</si>
  <si>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</si>
  <si>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</si>
  <si>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</si>
  <si>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</si>
  <si>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</si>
  <si>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</si>
  <si>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</si>
  <si>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</si>
  <si>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</si>
  <si>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</si>
  <si>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</si>
  <si>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</si>
  <si>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</si>
  <si>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</si>
  <si>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</si>
  <si>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</si>
  <si>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</si>
  <si>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</si>
  <si>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</si>
  <si>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</si>
  <si>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</si>
  <si>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</si>
  <si>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</si>
  <si>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</si>
  <si>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</si>
  <si>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</si>
  <si>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</si>
  <si>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</si>
  <si>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</si>
  <si>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</si>
  <si>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</si>
  <si>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</si>
  <si>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</si>
  <si>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</si>
  <si>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</si>
  <si>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</si>
  <si>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</si>
  <si>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</si>
  <si>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</si>
  <si>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</si>
  <si>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</si>
  <si>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</si>
  <si>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</si>
  <si>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</si>
  <si>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</si>
  <si>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</si>
  <si>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</si>
  <si>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</si>
  <si>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</si>
  <si>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</si>
  <si>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</si>
  <si>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</si>
  <si>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</si>
  <si>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</si>
  <si>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</si>
  <si>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</si>
  <si>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</si>
  <si>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</si>
  <si>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</si>
  <si>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</si>
  <si>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</si>
  <si>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</si>
  <si>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</si>
  <si>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</si>
  <si>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</si>
  <si>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</si>
  <si>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</si>
  <si>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</si>
  <si>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</si>
  <si>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</si>
  <si>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</si>
  <si>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</si>
  <si>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</si>
  <si>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</si>
  <si>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</si>
  <si>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</si>
  <si>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</si>
  <si>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</si>
  <si>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</si>
  <si>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</si>
  <si>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</si>
  <si>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</si>
  <si>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</si>
  <si>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</si>
  <si>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</si>
  <si>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</si>
  <si>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</si>
  <si>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</si>
  <si>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</si>
  <si>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</si>
  <si>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</si>
  <si>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</si>
  <si>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</si>
  <si>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</si>
  <si>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</si>
  <si>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</si>
  <si>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</si>
  <si>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</si>
  <si>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</si>
  <si>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</si>
  <si>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</si>
  <si>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</si>
  <si>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</si>
  <si>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</si>
  <si>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</si>
  <si>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</si>
  <si>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</si>
  <si>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</si>
  <si>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</si>
  <si>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</si>
  <si>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</si>
  <si>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</si>
  <si>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</si>
  <si>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</si>
  <si>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</si>
  <si>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</si>
  <si>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</si>
  <si>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</si>
  <si>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</si>
  <si>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</si>
  <si>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</si>
  <si>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</si>
  <si>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</si>
  <si>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</si>
  <si>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</si>
  <si>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</si>
  <si>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</si>
  <si>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</si>
  <si>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</si>
  <si>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</si>
  <si>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</si>
  <si>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</si>
  <si>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</si>
  <si>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</si>
  <si>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</si>
  <si>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</si>
  <si>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</si>
  <si>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</si>
  <si>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</si>
  <si>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</si>
  <si>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</si>
  <si>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</si>
  <si>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</si>
  <si>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</si>
  <si>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</si>
  <si>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</si>
  <si>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</si>
  <si>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</si>
  <si>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</si>
  <si>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</si>
  <si>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</si>
  <si>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</si>
  <si>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</si>
  <si>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</si>
  <si>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</si>
  <si>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</si>
  <si>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</si>
  <si>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</si>
  <si>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</si>
  <si>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</si>
  <si>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</si>
  <si>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</si>
  <si>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</si>
  <si>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</si>
  <si>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</si>
  <si>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</si>
  <si>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</si>
  <si>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</si>
  <si>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</si>
  <si>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</si>
  <si>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</si>
  <si>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</si>
  <si>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</si>
  <si>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</si>
  <si>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</si>
  <si>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</si>
  <si>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</si>
  <si>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</si>
  <si>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</si>
  <si>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</si>
  <si>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</si>
  <si>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</si>
  <si>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</si>
  <si>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</si>
  <si>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</si>
  <si>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</si>
  <si>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</si>
  <si>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</si>
  <si>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</si>
  <si>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</si>
  <si>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</si>
  <si>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</si>
  <si>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</si>
  <si>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</si>
  <si>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</si>
  <si>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</si>
  <si>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</si>
  <si>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</si>
  <si>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</si>
  <si>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</si>
  <si>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</si>
  <si>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</si>
  <si>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</si>
  <si>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</si>
  <si>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</si>
  <si>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</si>
  <si>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</si>
  <si>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</si>
  <si>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</si>
  <si>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</si>
  <si>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</si>
  <si>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</si>
  <si>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</si>
  <si>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</si>
  <si>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</si>
  <si>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</si>
  <si>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</si>
  <si>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</si>
  <si>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</si>
  <si>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</si>
  <si>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</si>
  <si>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</si>
  <si>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</si>
  <si>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</si>
  <si>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</si>
  <si>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</si>
  <si>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</si>
  <si>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</si>
  <si>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</si>
  <si>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</si>
  <si>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</si>
  <si>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</si>
  <si>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</si>
  <si>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</si>
  <si>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</si>
  <si>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</si>
  <si>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</si>
  <si>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</si>
  <si>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</si>
  <si>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</si>
  <si>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</si>
  <si>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</si>
  <si>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</si>
  <si>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</si>
  <si>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</si>
  <si>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</si>
  <si>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</si>
  <si>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</si>
  <si>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</si>
  <si>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</si>
  <si>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</si>
  <si>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</si>
  <si>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</si>
  <si>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</si>
  <si>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</si>
  <si>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</si>
  <si>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</si>
  <si>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</si>
  <si>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</si>
  <si>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</si>
  <si>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</si>
  <si>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</si>
  <si>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</si>
  <si>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</si>
  <si>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</si>
  <si>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</si>
  <si>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</si>
  <si>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</si>
  <si>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</si>
  <si>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</si>
  <si>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</si>
  <si>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</si>
  <si>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</si>
  <si>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</si>
  <si>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</si>
  <si>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</si>
  <si>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</si>
  <si>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</si>
  <si>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</si>
  <si>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</si>
  <si>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</si>
  <si>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</si>
  <si>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</si>
  <si>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</si>
  <si>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</si>
  <si>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</si>
  <si>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</si>
  <si>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</si>
  <si>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</si>
  <si>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</si>
  <si>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</si>
  <si>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</si>
  <si>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</si>
  <si>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</si>
  <si>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</si>
  <si>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</si>
  <si>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</si>
  <si>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</si>
  <si>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</si>
  <si>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</si>
  <si>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</si>
  <si>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</si>
  <si>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</si>
  <si>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</si>
  <si>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</si>
  <si>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</si>
  <si>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</si>
  <si>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</si>
  <si>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</si>
  <si>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</si>
  <si>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</si>
  <si>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</si>
  <si>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</si>
  <si>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</si>
  <si>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</si>
  <si>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</si>
  <si>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</si>
  <si>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</si>
  <si>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</si>
  <si>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</si>
  <si>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</si>
  <si>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</si>
  <si>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</si>
  <si>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</si>
  <si>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</si>
  <si>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</si>
  <si>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</si>
  <si>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</si>
  <si>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</si>
  <si>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</si>
  <si>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</si>
  <si>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</si>
  <si>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</si>
  <si>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</si>
  <si>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</si>
  <si>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</si>
  <si>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</si>
  <si>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</si>
  <si>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</si>
  <si>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</si>
  <si>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</si>
  <si>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</si>
  <si>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</si>
  <si>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</si>
  <si>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</si>
  <si>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</si>
  <si>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</si>
  <si>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</si>
  <si>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</si>
  <si>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</si>
  <si>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</si>
  <si>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</si>
  <si>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</si>
  <si>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</si>
  <si>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</si>
  <si>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</si>
  <si>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</si>
  <si>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</si>
  <si>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</si>
  <si>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</si>
  <si>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</si>
  <si>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</si>
  <si>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</si>
  <si>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</si>
  <si>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</si>
  <si>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</si>
  <si>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</si>
  <si>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</si>
  <si>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</si>
  <si>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</si>
  <si>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</si>
  <si>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</si>
  <si>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</si>
  <si>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</si>
  <si>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</si>
  <si>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</si>
  <si>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</si>
  <si>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</si>
  <si>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</si>
  <si>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</si>
  <si>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</si>
  <si>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</si>
  <si>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</si>
  <si>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</si>
  <si>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</si>
  <si>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</si>
  <si>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</si>
  <si>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</si>
  <si>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</si>
  <si>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</si>
  <si>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</si>
  <si>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</si>
  <si>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</si>
  <si>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</si>
  <si>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</si>
  <si>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</si>
  <si>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</si>
  <si>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</si>
  <si>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</si>
  <si>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</si>
  <si>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</si>
  <si>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</si>
  <si>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</si>
  <si>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</si>
  <si>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</si>
  <si>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</si>
  <si>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</si>
  <si>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</si>
  <si>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</si>
  <si>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</si>
  <si>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</si>
  <si>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</si>
  <si>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</si>
  <si>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</si>
  <si>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</si>
  <si>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</si>
  <si>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</si>
  <si>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</si>
  <si>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</si>
  <si>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</si>
  <si>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</si>
  <si>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</si>
  <si>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</si>
  <si>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</si>
  <si>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</si>
  <si>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</si>
  <si>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</si>
  <si>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</si>
  <si>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</si>
  <si>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</si>
  <si>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</si>
  <si>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</si>
  <si>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</si>
  <si>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</si>
  <si>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</si>
  <si>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</si>
  <si>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</si>
  <si>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</si>
  <si>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</si>
  <si>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</si>
  <si>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</si>
  <si>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</si>
  <si>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</si>
  <si>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</si>
  <si>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</si>
  <si>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</si>
  <si>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</si>
  <si>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</si>
  <si>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</si>
  <si>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</si>
  <si>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</si>
  <si>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</si>
  <si>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</si>
  <si>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</si>
  <si>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</si>
  <si>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</si>
  <si>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</si>
  <si>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</si>
  <si>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</si>
  <si>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</si>
  <si>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</si>
  <si>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</si>
  <si>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</si>
  <si>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</si>
  <si>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</si>
  <si>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</si>
  <si>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</si>
  <si>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</si>
  <si>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</si>
  <si>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</si>
  <si>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</si>
  <si>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</si>
  <si>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</si>
  <si>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</si>
  <si>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</si>
  <si>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</si>
  <si>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</si>
  <si>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</si>
  <si>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</si>
  <si>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</si>
  <si>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</si>
  <si>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</si>
  <si>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</si>
  <si>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</si>
  <si>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</si>
  <si>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</si>
  <si>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</si>
  <si>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</si>
  <si>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</si>
  <si>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</si>
  <si>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</si>
  <si>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</si>
  <si>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</si>
  <si>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</si>
  <si>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</si>
  <si>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</si>
  <si>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</si>
  <si>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</si>
  <si>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</si>
  <si>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</si>
  <si>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</si>
  <si>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</si>
  <si>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</si>
  <si>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</si>
  <si>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</si>
  <si>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</si>
  <si>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</si>
  <si>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</si>
  <si>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</si>
  <si>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</si>
  <si>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</si>
  <si>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</si>
  <si>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</si>
  <si>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</si>
  <si>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</si>
  <si>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</si>
  <si>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</si>
  <si>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</si>
  <si>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</si>
  <si>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</si>
  <si>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</si>
  <si>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</si>
  <si>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</si>
  <si>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</si>
  <si>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</si>
  <si>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</si>
  <si>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</si>
  <si>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</si>
  <si>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</si>
  <si>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</si>
  <si>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</si>
  <si>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</si>
  <si>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</si>
  <si>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</si>
  <si>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</si>
  <si>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</si>
  <si>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</si>
  <si>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</si>
  <si>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</si>
  <si>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</si>
  <si>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</si>
  <si>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</si>
  <si>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</si>
  <si>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</si>
  <si>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</si>
  <si>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</si>
  <si>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</si>
  <si>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</si>
  <si>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</si>
  <si>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</si>
  <si>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</si>
  <si>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</si>
  <si>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</si>
  <si>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</si>
  <si>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</si>
  <si>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</si>
  <si>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</si>
  <si>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</si>
  <si>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</si>
  <si>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</si>
  <si>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</si>
  <si>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</si>
  <si>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</si>
  <si>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</si>
  <si>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</si>
  <si>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</si>
  <si>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</si>
  <si>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</si>
  <si>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</si>
  <si>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</si>
  <si>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</si>
  <si>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</si>
  <si>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</si>
  <si>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</si>
  <si>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</si>
  <si>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</si>
  <si>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</si>
  <si>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</si>
  <si>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</si>
  <si>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</si>
  <si>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</si>
  <si>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</si>
  <si>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</si>
  <si>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</si>
  <si>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</si>
  <si>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</si>
  <si>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</si>
  <si>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</si>
  <si>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</si>
  <si>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</si>
  <si>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</si>
  <si>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</si>
  <si>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</si>
  <si>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</si>
  <si>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</si>
  <si>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</si>
  <si>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</si>
  <si>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</si>
  <si>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</si>
  <si>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</si>
  <si>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</si>
  <si>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</si>
  <si>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</si>
  <si>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</si>
  <si>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</si>
  <si>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</si>
  <si>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</si>
  <si>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</si>
  <si>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</si>
  <si>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</si>
  <si>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</si>
  <si>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</si>
  <si>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</si>
  <si>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</si>
  <si>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</si>
  <si>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</si>
  <si>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</si>
  <si>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</si>
  <si>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</si>
  <si>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</si>
  <si>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</si>
  <si>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</si>
  <si>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</si>
  <si>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</si>
  <si>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</si>
  <si>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</si>
  <si>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</si>
  <si>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</si>
  <si>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</si>
  <si>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</si>
  <si>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</si>
  <si>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</si>
  <si>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</si>
  <si>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</si>
  <si>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</si>
  <si>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</si>
  <si>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</si>
  <si>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</si>
  <si>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</si>
  <si>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</si>
  <si>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</si>
  <si>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</si>
  <si>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</si>
  <si>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</si>
  <si>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</si>
  <si>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</si>
  <si>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</si>
  <si>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</si>
  <si>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</si>
  <si>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</si>
  <si>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</si>
  <si>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</si>
  <si>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</si>
  <si>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</si>
  <si>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</si>
  <si>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</si>
  <si>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</si>
  <si>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</si>
  <si>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</si>
  <si>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</si>
  <si>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</si>
  <si>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</si>
  <si>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</si>
  <si>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</si>
  <si>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</si>
  <si>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</si>
  <si>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</si>
  <si>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</si>
  <si>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</si>
  <si>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</si>
  <si>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</si>
  <si>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</si>
  <si>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</si>
  <si>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</si>
  <si>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</si>
  <si>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</si>
  <si>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</si>
  <si>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</si>
  <si>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</si>
  <si>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</si>
  <si>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</si>
  <si>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</si>
  <si>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</si>
  <si>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</si>
  <si>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</si>
  <si>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</si>
  <si>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</si>
  <si>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</si>
  <si>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</si>
  <si>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</si>
  <si>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</si>
  <si>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</si>
  <si>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</si>
  <si>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</si>
  <si>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</si>
  <si>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</si>
  <si>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</si>
  <si>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</si>
  <si>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</si>
  <si>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</si>
  <si>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</si>
  <si>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</si>
  <si>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</si>
  <si>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</si>
  <si>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</si>
  <si>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</si>
  <si>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</si>
  <si>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</si>
  <si>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</si>
  <si>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</si>
  <si>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</si>
  <si>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</si>
  <si>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</si>
  <si>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</si>
  <si>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</si>
  <si>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</si>
  <si>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</si>
  <si>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</si>
  <si>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</si>
  <si>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</si>
  <si>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</si>
  <si>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</si>
  <si>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</si>
  <si>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</si>
  <si>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</si>
  <si>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</si>
  <si>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</si>
  <si>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</si>
  <si>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</si>
  <si>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</si>
  <si>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</si>
  <si>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</si>
  <si>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</si>
  <si>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</si>
  <si>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</si>
  <si>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</si>
  <si>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</si>
  <si>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</si>
  <si>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</si>
  <si>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</si>
  <si>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</si>
  <si>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</si>
  <si>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</si>
  <si>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</si>
  <si>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</si>
  <si>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</si>
  <si>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</si>
  <si>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</si>
  <si>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</si>
  <si>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</si>
  <si>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</si>
  <si>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</si>
  <si>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</si>
  <si>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</si>
  <si>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</si>
  <si>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</si>
  <si>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</si>
  <si>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</si>
  <si>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</si>
  <si>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</si>
  <si>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</si>
  <si>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</si>
  <si>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</si>
  <si>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</si>
  <si>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</si>
  <si>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</si>
  <si>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</si>
  <si>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</si>
  <si>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</si>
  <si>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</si>
  <si>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</si>
  <si>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</si>
  <si>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</si>
  <si>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</si>
  <si>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</si>
  <si>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</si>
  <si>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</si>
  <si>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</si>
  <si>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</si>
  <si>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</si>
  <si>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</si>
  <si>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</si>
  <si>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</si>
  <si>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</si>
  <si>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</si>
  <si>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</si>
  <si>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</si>
  <si>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</si>
  <si>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</si>
  <si>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</si>
  <si>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</si>
  <si>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</si>
  <si>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</si>
  <si>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</si>
  <si>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</si>
  <si>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</si>
  <si>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</si>
  <si>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</si>
  <si>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</si>
  <si>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</si>
  <si>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</si>
  <si>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</si>
  <si>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</si>
  <si>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</si>
  <si>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</si>
  <si>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</si>
  <si>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</si>
  <si>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</si>
  <si>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</si>
  <si>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</si>
  <si>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</si>
  <si>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</si>
  <si>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</si>
  <si>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</si>
  <si>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</si>
  <si>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</si>
  <si>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</si>
  <si>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</si>
  <si>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</si>
  <si>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</si>
  <si>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</si>
  <si>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</si>
  <si>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</si>
  <si>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</si>
  <si>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</si>
  <si>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</si>
  <si>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</si>
  <si>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</si>
  <si>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</si>
  <si>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</si>
  <si>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</si>
  <si>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</si>
  <si>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</si>
  <si>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</si>
  <si>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</si>
  <si>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</si>
  <si>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</si>
  <si>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</si>
  <si>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</si>
  <si>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</si>
  <si>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</si>
  <si>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</si>
  <si>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</si>
  <si>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</si>
  <si>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</si>
  <si>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</si>
  <si>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</si>
  <si>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</si>
  <si>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</si>
  <si>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</si>
  <si>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</si>
  <si>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</si>
  <si>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</si>
  <si>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</si>
  <si>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</si>
  <si>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</si>
  <si>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</si>
  <si>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</si>
  <si>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</si>
  <si>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</si>
  <si>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</si>
  <si>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</si>
  <si>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</si>
  <si>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</si>
  <si>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</si>
  <si>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</si>
  <si>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</si>
  <si>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</si>
  <si>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</si>
  <si>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</si>
  <si>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</si>
  <si>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</si>
  <si>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</si>
  <si>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</si>
  <si>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</si>
  <si>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</si>
  <si>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</si>
  <si>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</si>
  <si>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</si>
  <si>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</si>
  <si>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</si>
  <si>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</si>
  <si>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</si>
  <si>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</si>
  <si>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</si>
  <si>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</si>
  <si>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</si>
  <si>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</si>
  <si>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</si>
  <si>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</si>
  <si>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</si>
  <si>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</si>
  <si>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</si>
  <si>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</si>
  <si>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</si>
  <si>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</si>
  <si>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</si>
  <si>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</si>
  <si>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</si>
  <si>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</si>
  <si>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</si>
  <si>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</si>
  <si>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</si>
  <si>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</si>
  <si>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</si>
  <si>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</si>
  <si>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</si>
  <si>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</si>
  <si>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</si>
  <si>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</si>
  <si>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</si>
  <si>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</si>
  <si>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</si>
  <si>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</si>
  <si>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</si>
  <si>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</si>
  <si>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</si>
  <si>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</si>
  <si>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</si>
  <si>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</si>
  <si>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</si>
  <si>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</si>
  <si>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</si>
  <si>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</si>
  <si>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</si>
  <si>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</si>
  <si>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</si>
  <si>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</si>
  <si>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</si>
  <si>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</si>
  <si>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</si>
  <si>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</si>
  <si>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</si>
  <si>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</si>
  <si>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</si>
  <si>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</si>
  <si>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</si>
  <si>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</si>
  <si>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</si>
  <si>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</si>
  <si>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</si>
  <si>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</si>
  <si>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</si>
  <si>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</si>
  <si>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</si>
  <si>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</si>
  <si>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</si>
  <si>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</si>
  <si>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</si>
  <si>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</si>
  <si>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</si>
  <si>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</si>
  <si>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</si>
  <si>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</si>
  <si>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</si>
  <si>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</si>
  <si>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</si>
  <si>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</si>
  <si>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</si>
  <si>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</si>
  <si>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</si>
  <si>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</si>
  <si>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</si>
  <si>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</si>
  <si>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</si>
  <si>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</si>
  <si>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</si>
  <si>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</si>
  <si>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</si>
  <si>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</si>
  <si>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</si>
  <si>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</si>
  <si>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</si>
  <si>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</si>
  <si>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</si>
  <si>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</si>
  <si>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</si>
  <si>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</si>
  <si>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</si>
  <si>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</si>
  <si>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</si>
  <si>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</si>
  <si>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</si>
  <si>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</si>
  <si>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</si>
  <si>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</si>
  <si>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</si>
  <si>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</si>
  <si>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</si>
  <si>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</si>
  <si>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</si>
  <si>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</si>
  <si>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</si>
  <si>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</si>
  <si>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</si>
  <si>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</si>
  <si>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</si>
  <si>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</si>
  <si>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</si>
  <si>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</si>
  <si>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</si>
  <si>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</si>
  <si>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</si>
  <si>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</si>
  <si>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</si>
  <si>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</si>
  <si>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</si>
  <si>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</si>
  <si>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</si>
  <si>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</si>
  <si>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</si>
  <si>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</si>
  <si>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</si>
  <si>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</si>
  <si>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</si>
  <si>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</si>
  <si>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</si>
  <si>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</si>
  <si>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</si>
  <si>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</si>
  <si>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</si>
  <si>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</si>
  <si>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</si>
  <si>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</si>
  <si>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</si>
  <si>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</si>
  <si>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</si>
  <si>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</si>
  <si>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</si>
  <si>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</si>
  <si>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</si>
  <si>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</si>
  <si>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</si>
  <si>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</si>
  <si>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</si>
  <si>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</si>
  <si>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</si>
  <si>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</si>
  <si>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</si>
  <si>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</si>
  <si>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</si>
  <si>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</si>
  <si>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</si>
  <si>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</si>
  <si>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</si>
  <si>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</si>
  <si>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</si>
  <si>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</si>
  <si>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</si>
  <si>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</si>
  <si>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</si>
  <si>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</si>
  <si>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</si>
  <si>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</si>
  <si>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</si>
  <si>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</si>
  <si>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</si>
  <si>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</si>
  <si>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</si>
  <si>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</si>
  <si>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</si>
  <si>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</si>
  <si>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</si>
  <si>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</si>
  <si>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</si>
  <si>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</si>
  <si>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</si>
  <si>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</si>
  <si>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</si>
  <si>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</si>
  <si>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</si>
  <si>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</si>
  <si>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</si>
  <si>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</si>
  <si>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</si>
  <si>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</si>
  <si>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</si>
  <si>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</si>
  <si>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</si>
  <si>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</si>
  <si>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</si>
  <si>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</si>
  <si>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</si>
  <si>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</si>
  <si>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</si>
  <si>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</si>
  <si>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</si>
  <si>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</si>
  <si>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</si>
  <si>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</si>
  <si>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</si>
  <si>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</si>
  <si>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</si>
  <si>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</si>
  <si>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</si>
  <si>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</si>
  <si>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</si>
  <si>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</si>
  <si>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</si>
  <si>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</si>
  <si>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</si>
  <si>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</si>
  <si>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</si>
  <si>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</si>
  <si>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</si>
  <si>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</si>
  <si>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</si>
  <si>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</si>
  <si>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</si>
  <si>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</si>
  <si>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</si>
  <si>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</si>
  <si>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</si>
  <si>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</si>
  <si>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</si>
  <si>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</si>
  <si>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</si>
  <si>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</si>
  <si>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</si>
  <si>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</si>
  <si>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</si>
  <si>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</si>
  <si>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</si>
  <si>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</si>
  <si>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</si>
  <si>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</si>
  <si>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</si>
  <si>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</si>
  <si>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</si>
  <si>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</si>
  <si>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</si>
  <si>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</si>
  <si>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</si>
  <si>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</si>
  <si>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</si>
  <si>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</si>
  <si>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</si>
  <si>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</si>
  <si>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</si>
  <si>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</si>
  <si>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</si>
  <si>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</si>
  <si>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</si>
  <si>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</si>
  <si>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</si>
  <si>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</si>
  <si>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</si>
  <si>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</si>
  <si>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</si>
  <si>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</si>
  <si>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</si>
  <si>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</si>
  <si>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</si>
  <si>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</si>
  <si>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</si>
  <si>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</si>
  <si>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</si>
  <si>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</si>
  <si>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</si>
  <si>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</si>
  <si>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</si>
  <si>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</si>
  <si>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</si>
  <si>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</si>
  <si>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</si>
  <si>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</si>
  <si>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</si>
  <si>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</si>
  <si>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</si>
  <si>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</si>
  <si>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</si>
  <si>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</si>
  <si>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</si>
  <si>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</si>
  <si>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</si>
  <si>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</si>
  <si>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</si>
  <si>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</si>
  <si>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</si>
  <si>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</si>
  <si>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</si>
  <si>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</si>
  <si>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</si>
  <si>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</si>
  <si>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</si>
  <si>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</si>
  <si>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</si>
  <si>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</si>
  <si>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</si>
  <si>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</si>
  <si>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</si>
  <si>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</si>
  <si>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</si>
  <si>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</si>
  <si>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</si>
  <si>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</si>
  <si>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</si>
  <si>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</si>
  <si>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</si>
  <si>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</si>
  <si>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</si>
  <si>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</si>
  <si>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</si>
  <si>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</si>
  <si>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</si>
  <si>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</si>
  <si>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</si>
  <si>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</si>
  <si>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</si>
  <si>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</si>
  <si>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</si>
  <si>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</si>
  <si>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</si>
  <si>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</si>
  <si>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</si>
  <si>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</si>
  <si>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</si>
  <si>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</si>
  <si>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</si>
  <si>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</si>
  <si>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</si>
  <si>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</si>
  <si>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</si>
  <si>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</si>
  <si>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</si>
  <si>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</si>
  <si>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</si>
  <si>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</si>
  <si>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</si>
  <si>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</si>
  <si>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</si>
  <si>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</si>
  <si>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</si>
  <si>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</si>
  <si>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</si>
  <si>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</si>
  <si>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</si>
  <si>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</si>
  <si>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</si>
  <si>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</si>
  <si>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</si>
  <si>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</si>
  <si>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</si>
  <si>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</si>
  <si>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</si>
  <si>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</si>
  <si>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</si>
  <si>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</si>
  <si>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</si>
  <si>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</si>
  <si>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</si>
  <si>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</si>
  <si>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</si>
  <si>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</si>
  <si>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</si>
  <si>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</si>
  <si>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</si>
  <si>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</si>
  <si>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</si>
  <si>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</si>
  <si>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</si>
  <si>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</si>
  <si>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</si>
  <si>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</si>
  <si>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</si>
  <si>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</si>
  <si>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</si>
  <si>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</si>
  <si>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</si>
  <si>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</si>
  <si>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</si>
  <si>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</si>
  <si>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</si>
  <si>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</si>
  <si>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</si>
  <si>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</si>
  <si>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</si>
  <si>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</si>
  <si>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</si>
  <si>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</si>
  <si>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</si>
  <si>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</si>
  <si>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</si>
  <si>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</si>
  <si>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</si>
  <si>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</si>
  <si>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</si>
  <si>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</si>
  <si>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</si>
  <si>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</si>
  <si>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</si>
  <si>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</si>
  <si>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</si>
  <si>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</si>
  <si>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</si>
  <si>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</si>
  <si>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</si>
  <si>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</si>
  <si>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</si>
  <si>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</si>
  <si>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</si>
  <si>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</si>
  <si>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</si>
  <si>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</si>
  <si>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</si>
  <si>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</si>
  <si>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</si>
  <si>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</si>
  <si>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</si>
  <si>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</si>
  <si>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</si>
  <si>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</si>
  <si>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</si>
  <si>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</si>
  <si>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</si>
  <si>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</si>
  <si>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</si>
  <si>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</si>
  <si>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</si>
  <si>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</si>
  <si>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</si>
  <si>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</si>
  <si>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</si>
  <si>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</si>
  <si>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</si>
  <si>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</si>
  <si>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</si>
  <si>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</si>
  <si>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</si>
  <si>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</si>
  <si>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</si>
  <si>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</si>
  <si>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</si>
  <si>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</si>
  <si>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</si>
  <si>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</si>
  <si>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</si>
  <si>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</si>
  <si>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</si>
  <si>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</si>
  <si>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</si>
  <si>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</si>
  <si>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</si>
  <si>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</si>
  <si>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</si>
  <si>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</si>
  <si>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</si>
  <si>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</si>
  <si>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</si>
  <si>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</si>
  <si>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</si>
  <si>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</si>
  <si>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</si>
  <si>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</si>
  <si>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</si>
  <si>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</si>
  <si>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</si>
  <si>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</si>
  <si>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</si>
  <si>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</si>
  <si>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</si>
  <si>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</si>
  <si>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</si>
  <si>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</si>
  <si>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</si>
  <si>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</si>
  <si>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</si>
  <si>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</si>
  <si>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</si>
  <si>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</si>
  <si>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</si>
  <si>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</si>
  <si>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</si>
  <si>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</si>
  <si>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</si>
  <si>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</si>
  <si>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</si>
  <si>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</si>
  <si>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</si>
  <si>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</si>
  <si>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</si>
  <si>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</si>
  <si>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</si>
  <si>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</si>
  <si>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</si>
  <si>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</si>
  <si>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</si>
  <si>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</si>
  <si>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</si>
  <si>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</si>
  <si>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</si>
  <si>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</si>
  <si>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</si>
  <si>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</si>
  <si>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</si>
  <si>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</si>
  <si>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</si>
  <si>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</si>
  <si>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</si>
  <si>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</si>
  <si>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</si>
  <si>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</si>
  <si>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</si>
  <si>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</si>
  <si>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</si>
  <si>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</si>
  <si>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</si>
  <si>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</si>
  <si>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</si>
  <si>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</si>
  <si>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</si>
  <si>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</si>
  <si>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</si>
  <si>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</si>
  <si>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</si>
  <si>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</si>
  <si>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</si>
  <si>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</si>
  <si>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</si>
  <si>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</si>
  <si>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</si>
  <si>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</si>
  <si>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</si>
  <si>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</si>
  <si>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</si>
  <si>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</si>
  <si>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</si>
  <si>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</si>
  <si>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</si>
  <si>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</si>
  <si>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</si>
  <si>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</si>
  <si>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</si>
  <si>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</si>
  <si>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</si>
  <si>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</si>
  <si>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</si>
  <si>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</si>
  <si>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</si>
  <si>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</si>
  <si>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</si>
  <si>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</si>
  <si>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</si>
  <si>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</si>
  <si>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</si>
  <si>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</si>
  <si>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</si>
  <si>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</si>
  <si>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</si>
  <si>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</si>
  <si>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</si>
  <si>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</si>
  <si>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</si>
  <si>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</si>
  <si>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</si>
  <si>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</si>
  <si>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</si>
  <si>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</si>
  <si>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</si>
  <si>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</si>
  <si>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</si>
  <si>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</si>
  <si>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</si>
  <si>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</si>
  <si>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</si>
  <si>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</si>
  <si>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</si>
  <si>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</si>
  <si>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</si>
  <si>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</si>
  <si>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</si>
  <si>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</si>
  <si>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</si>
  <si>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</si>
  <si>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</si>
  <si>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</si>
  <si>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</si>
  <si>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</si>
  <si>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</si>
  <si>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</si>
  <si>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</si>
  <si>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</si>
  <si>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</si>
  <si>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</si>
  <si>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</si>
  <si>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</si>
  <si>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</si>
  <si>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</si>
  <si>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</si>
  <si>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</si>
  <si>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</si>
  <si>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</si>
  <si>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</si>
  <si>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</si>
  <si>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</si>
  <si>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</si>
  <si>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</si>
  <si>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</si>
  <si>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</si>
  <si>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</si>
  <si>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</si>
  <si>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</si>
  <si>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</si>
  <si>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</si>
  <si>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</si>
  <si>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</si>
  <si>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</si>
  <si>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</si>
  <si>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</si>
  <si>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</si>
  <si>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</si>
  <si>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</si>
  <si>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</si>
  <si>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</si>
  <si>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</si>
  <si>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</si>
  <si>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</si>
  <si>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</si>
  <si>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</si>
  <si>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</si>
  <si>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</si>
  <si>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</si>
  <si>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</si>
  <si>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</si>
  <si>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</si>
  <si>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</si>
  <si>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</si>
  <si>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</si>
  <si>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</si>
  <si>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</si>
  <si>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</si>
  <si>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</si>
  <si>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</si>
  <si>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</si>
  <si>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</si>
  <si>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</si>
  <si>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</si>
  <si>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</si>
  <si>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</si>
  <si>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</si>
  <si>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</si>
  <si>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</si>
  <si>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</si>
  <si>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</si>
  <si>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</si>
  <si>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</si>
  <si>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</si>
  <si>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</si>
  <si>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</si>
  <si>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</si>
  <si>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</si>
  <si>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</si>
  <si>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</si>
  <si>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</si>
  <si>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</si>
  <si>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</si>
  <si>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</si>
  <si>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</si>
  <si>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</si>
  <si>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</si>
  <si>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</si>
  <si>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</si>
  <si>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</si>
  <si>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</si>
  <si>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</si>
  <si>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</si>
  <si>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</si>
  <si>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</si>
  <si>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</si>
  <si>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</si>
  <si>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</si>
  <si>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</si>
  <si>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</si>
  <si>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</si>
  <si>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</si>
  <si>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</si>
  <si>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</si>
  <si>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</si>
  <si>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</si>
  <si>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</si>
  <si>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</si>
  <si>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</si>
  <si>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</si>
  <si>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</si>
  <si>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</si>
  <si>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</si>
  <si>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</si>
  <si>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</si>
  <si>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</si>
  <si>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</si>
  <si>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</si>
  <si>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</si>
  <si>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</si>
  <si>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</si>
  <si>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</si>
  <si>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</si>
  <si>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</si>
  <si>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</si>
  <si>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</si>
  <si>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</si>
  <si>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</si>
  <si>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</si>
  <si>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</si>
  <si>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</si>
  <si>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</si>
  <si>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</si>
  <si>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</si>
  <si>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</si>
  <si>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</si>
  <si>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</si>
  <si>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</si>
  <si>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</si>
  <si>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</si>
  <si>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</si>
  <si>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</si>
  <si>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</si>
  <si>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</si>
  <si>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</si>
  <si>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</si>
  <si>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</si>
  <si>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</si>
  <si>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</si>
  <si>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</si>
  <si>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</si>
  <si>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</si>
  <si>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</si>
  <si>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</si>
  <si>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</si>
  <si>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</si>
  <si>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</si>
  <si>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</si>
  <si>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</si>
  <si>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</si>
  <si>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</si>
  <si>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</si>
  <si>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</si>
  <si>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</si>
  <si>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</si>
  <si>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</si>
  <si>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</si>
  <si>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</si>
  <si>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</si>
  <si>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</si>
  <si>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</si>
  <si>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</si>
  <si>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</si>
  <si>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</si>
  <si>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</si>
  <si>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</si>
  <si>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</si>
  <si>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</si>
  <si>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</si>
  <si>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</si>
  <si>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</si>
  <si>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</si>
  <si>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</si>
  <si>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</si>
  <si>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</si>
  <si>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</si>
  <si>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2020-3</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</si>
  <si>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</si>
  <si>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</si>
  <si>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</si>
  <si>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</si>
  <si>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</si>
  <si>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</si>
  <si>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</si>
  <si>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</si>
  <si>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</si>
  <si>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</si>
  <si>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</si>
  <si>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</si>
  <si>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</si>
  <si>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</si>
  <si>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</si>
  <si>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</si>
  <si>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</si>
  <si>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</si>
  <si>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</si>
  <si>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</si>
  <si>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</si>
  <si>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</si>
  <si>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</si>
  <si>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</si>
  <si>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</si>
  <si>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</si>
  <si>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</si>
  <si>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</si>
  <si>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</si>
  <si>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</si>
  <si>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</si>
  <si>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</si>
  <si>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</si>
  <si>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</si>
  <si>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</si>
  <si>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</si>
  <si>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</si>
  <si>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出让合同</t>
    <phoneticPr fontId="228" type="noConversion"/>
  </si>
  <si>
    <t>地上</t>
  </si>
  <si>
    <t>地下</t>
  </si>
  <si>
    <t>容积率</t>
    <phoneticPr fontId="228" type="noConversion"/>
  </si>
  <si>
    <t>叠拼</t>
  </si>
  <si>
    <t>底商</t>
  </si>
  <si>
    <t>王鹏</t>
  </si>
  <si>
    <t>郑燚</t>
  </si>
  <si>
    <t>抵押价格</t>
  </si>
  <si>
    <t>其他：</t>
  </si>
  <si>
    <t>企业</t>
  </si>
  <si>
    <t>一致</t>
  </si>
  <si>
    <t>西安荣盛健康旅游发展有限公司</t>
  </si>
  <si>
    <t>商业</t>
  </si>
  <si>
    <t>车库</t>
  </si>
  <si>
    <t>否</t>
  </si>
  <si>
    <t>住宅</t>
    <phoneticPr fontId="7" type="noConversion"/>
  </si>
  <si>
    <t>商业</t>
    <phoneticPr fontId="7" type="noConversion"/>
  </si>
  <si>
    <t>地下车库</t>
    <phoneticPr fontId="7" type="noConversion"/>
  </si>
  <si>
    <t>地下设备</t>
    <phoneticPr fontId="3" type="noConversion"/>
  </si>
  <si>
    <t>较好</t>
    <phoneticPr fontId="21" type="noConversion"/>
  </si>
  <si>
    <t>七通</t>
    <phoneticPr fontId="21" type="noConversion"/>
  </si>
  <si>
    <t>比较法-住宅、综合</t>
  </si>
  <si>
    <t>剩余法-待开发</t>
  </si>
  <si>
    <t>情况3</t>
  </si>
  <si>
    <t>正常</t>
  </si>
  <si>
    <t>自行开发建设</t>
  </si>
  <si>
    <t>出让金+开发费</t>
  </si>
  <si>
    <t>地块名称</t>
  </si>
  <si>
    <t>城市</t>
  </si>
  <si>
    <t>用地性质</t>
  </si>
  <si>
    <t>建设用地面积(㎡)</t>
  </si>
  <si>
    <t>规划建筑面积(㎡)</t>
  </si>
  <si>
    <t>出让方式</t>
  </si>
  <si>
    <t>详细规划</t>
  </si>
  <si>
    <t>截止日期</t>
  </si>
  <si>
    <t>成交日期</t>
  </si>
  <si>
    <t>起始价(万元)</t>
  </si>
  <si>
    <t>成交价(万元)</t>
  </si>
  <si>
    <t>溢价率</t>
  </si>
  <si>
    <t>受让单位</t>
  </si>
  <si>
    <t>土地星级</t>
  </si>
  <si>
    <t>西安市</t>
  </si>
  <si>
    <t>挂牌</t>
  </si>
  <si>
    <t>3星</t>
  </si>
  <si>
    <t>拍卖</t>
  </si>
  <si>
    <t>2019-11-28</t>
  </si>
  <si>
    <t>4星</t>
  </si>
  <si>
    <t>2017-12-01</t>
  </si>
  <si>
    <t>二类住宅</t>
    <phoneticPr fontId="26" type="noConversion"/>
  </si>
  <si>
    <t>否</t>
    <phoneticPr fontId="26" type="noConversion"/>
  </si>
  <si>
    <t>是</t>
    <phoneticPr fontId="26" type="noConversion"/>
  </si>
  <si>
    <t>规则</t>
    <phoneticPr fontId="26" type="noConversion"/>
  </si>
  <si>
    <t>较规则</t>
    <phoneticPr fontId="26" type="noConversion"/>
  </si>
  <si>
    <t>较不规则</t>
    <phoneticPr fontId="26" type="noConversion"/>
  </si>
  <si>
    <t>不规则</t>
    <phoneticPr fontId="26" type="noConversion"/>
  </si>
  <si>
    <t>三通</t>
    <phoneticPr fontId="26" type="noConversion"/>
  </si>
  <si>
    <t>较好</t>
  </si>
  <si>
    <t>较好</t>
    <phoneticPr fontId="26" type="noConversion"/>
  </si>
  <si>
    <t>一般</t>
  </si>
  <si>
    <t>一般</t>
    <phoneticPr fontId="21" type="noConversion"/>
  </si>
  <si>
    <t>楼面地价</t>
  </si>
  <si>
    <t>不动产收益法</t>
  </si>
  <si>
    <t>土地（套用方法）</t>
  </si>
  <si>
    <t>押一</t>
  </si>
  <si>
    <t>按租金收入计税</t>
  </si>
  <si>
    <t>钢混</t>
  </si>
  <si>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</si>
  <si>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非个人房产</t>
  </si>
  <si>
    <t>60-70（含）</t>
  </si>
  <si>
    <t>住宅</t>
    <phoneticPr fontId="21" type="noConversion"/>
  </si>
  <si>
    <t>七通</t>
  </si>
  <si>
    <t>洋房</t>
  </si>
  <si>
    <t>洋房</t>
    <phoneticPr fontId="21" type="noConversion"/>
  </si>
  <si>
    <t>小高层</t>
  </si>
  <si>
    <t>小高层</t>
    <phoneticPr fontId="21" type="noConversion"/>
  </si>
  <si>
    <t>高层</t>
    <phoneticPr fontId="21" type="noConversion"/>
  </si>
  <si>
    <t>高</t>
  </si>
  <si>
    <t>高</t>
    <phoneticPr fontId="21" type="noConversion"/>
  </si>
  <si>
    <t>中</t>
  </si>
  <si>
    <t>中</t>
    <phoneticPr fontId="21" type="noConversion"/>
  </si>
  <si>
    <t>低</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</si>
  <si>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</si>
  <si>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</si>
  <si>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</si>
  <si>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</si>
  <si>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</si>
  <si>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</si>
  <si>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中海阅骊山·贤庭</t>
    <phoneticPr fontId="3" type="noConversion"/>
  </si>
  <si>
    <t>高新·骊山下的院子</t>
    <phoneticPr fontId="3" type="noConversion"/>
  </si>
  <si>
    <t>融创·桃源府</t>
    <phoneticPr fontId="3" type="noConversion"/>
  </si>
  <si>
    <t>售价</t>
  </si>
  <si>
    <t>成交价</t>
    <phoneticPr fontId="228" type="noConversion"/>
  </si>
  <si>
    <r>
      <t>1</t>
    </r>
    <r>
      <rPr>
        <sz val="11"/>
        <color theme="1"/>
        <rFont val="宋体"/>
        <family val="3"/>
        <charset val="134"/>
        <scheme val="minor"/>
      </rPr>
      <t>-1.2</t>
    </r>
    <phoneticPr fontId="228" type="noConversion"/>
  </si>
  <si>
    <t>不动产权证书</t>
    <phoneticPr fontId="228" type="noConversion"/>
  </si>
  <si>
    <t>陕（2018）临潼区不动产权第0000016号</t>
    <phoneticPr fontId="228" type="noConversion"/>
  </si>
  <si>
    <t>临潼区秦陵街道办事处王硷村道路以东</t>
    <phoneticPr fontId="228" type="noConversion"/>
  </si>
  <si>
    <t>其他商服用地</t>
  </si>
  <si>
    <t>其他商服用地</t>
    <phoneticPr fontId="228" type="noConversion"/>
  </si>
  <si>
    <t>土地终止日期</t>
    <phoneticPr fontId="228" type="noConversion"/>
  </si>
  <si>
    <t>成交楼面价(元/㎡)</t>
  </si>
  <si>
    <t>临潼区现代物流区210国道以东,西安宝湾国际物流中心西侧</t>
  </si>
  <si>
    <t>商业/办公用地</t>
  </si>
  <si>
    <t>≤1.94</t>
  </si>
  <si>
    <t>零售商业用地</t>
  </si>
  <si>
    <t>陕西六和通物流有限公司</t>
  </si>
  <si>
    <t>临潼区秦陵街办王硷村道路以东</t>
  </si>
  <si>
    <t>≥1且≤1.2</t>
  </si>
  <si>
    <t>骊山大道以北、芷阳五路以西</t>
  </si>
  <si>
    <t>≥1且≤1.4</t>
  </si>
  <si>
    <t>2017-10-19</t>
  </si>
  <si>
    <t>西安天楠文化旅游开发有限公司</t>
  </si>
  <si>
    <t>曲江临潼新区凤凰大道以北、芷阳五路以东</t>
  </si>
  <si>
    <t>≥1且≤1.5</t>
  </si>
  <si>
    <t>商服用地</t>
  </si>
  <si>
    <t>2017-08-29</t>
  </si>
  <si>
    <t>西安悦昌置业有限责任公司</t>
  </si>
  <si>
    <t>≥3且≤3.5</t>
  </si>
  <si>
    <r>
      <rPr>
        <sz val="11"/>
        <rFont val="仿宋_GB2312"/>
        <family val="3"/>
        <charset val="134"/>
      </rPr>
      <t>估价对象名称</t>
    </r>
    <phoneticPr fontId="3" type="noConversion"/>
  </si>
  <si>
    <r>
      <rPr>
        <sz val="11"/>
        <rFont val="仿宋_GB2312"/>
        <family val="3"/>
        <charset val="134"/>
      </rPr>
      <t>项目位置</t>
    </r>
    <phoneticPr fontId="3" type="noConversion"/>
  </si>
  <si>
    <t>2017-3</t>
    <phoneticPr fontId="26" type="noConversion"/>
  </si>
  <si>
    <t>楼层</t>
    <phoneticPr fontId="3" type="noConversion"/>
  </si>
  <si>
    <t>租金单价</t>
    <phoneticPr fontId="3" type="noConversion"/>
  </si>
  <si>
    <t>楼层系数</t>
    <phoneticPr fontId="3" type="noConversion"/>
  </si>
  <si>
    <t>商业</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</si>
</sst>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9" tint="-0.249977111117893"/>
      <name val="宋体"/>
      <family val="3"/>
      <charset val="134"/>
    </font>
    <font>
      <sz val="11"/>
      <color theme="1"/>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0" fontId="76" fillId="13" borderId="0" xfId="0" applyNumberFormat="1" applyFont="1" applyFill="1" applyAlignment="1" applyProtection="1">
      <alignment horizontal="center" vertical="center"/>
      <protection locked="0"/>
    </xf>
    <xf numFmtId="178" fontId="71" fillId="13" borderId="0" xfId="0" applyNumberFormat="1" applyFont="1" applyFill="1" applyAlignment="1" applyProtection="1">
      <alignment vertical="center"/>
      <protection locked="0"/>
    </xf>
    <xf numFmtId="0" fontId="81" fillId="13" borderId="0" xfId="0" applyFont="1" applyFill="1" applyAlignment="1" applyProtection="1">
      <alignment vertical="center"/>
      <protection locked="0"/>
    </xf>
    <xf numFmtId="49" fontId="280" fillId="0" borderId="7" xfId="0" applyNumberFormat="1" applyFont="1" applyFill="1" applyBorder="1" applyAlignment="1" applyProtection="1">
      <alignment horizontal="left" vertical="center" wrapText="1"/>
      <protection locked="0"/>
    </xf>
    <xf numFmtId="49" fontId="280" fillId="0" borderId="12" xfId="0" applyNumberFormat="1" applyFont="1" applyFill="1" applyBorder="1" applyAlignment="1" applyProtection="1">
      <alignment horizontal="left" vertical="center" wrapText="1"/>
      <protection locked="0"/>
    </xf>
    <xf numFmtId="0" fontId="280" fillId="0" borderId="12" xfId="0" applyFont="1" applyBorder="1" applyAlignment="1" applyProtection="1">
      <alignment horizontal="left" vertical="center" wrapText="1"/>
      <protection locked="0"/>
    </xf>
    <xf numFmtId="0" fontId="164" fillId="0" borderId="0" xfId="0" applyFont="1" applyAlignment="1">
      <alignment horizontal="center" vertical="center" wrapText="1"/>
    </xf>
    <xf numFmtId="0" fontId="164" fillId="9" borderId="0" xfId="0" applyFont="1" applyFill="1" applyAlignment="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81" fillId="0" borderId="2" xfId="0" applyFont="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4" fontId="0" fillId="0" borderId="0" xfId="0" applyNumberFormat="1">
      <alignment vertical="center"/>
    </xf>
    <xf numFmtId="177" fontId="0" fillId="0" borderId="0" xfId="0" applyNumberFormat="1">
      <alignment vertical="center"/>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0" fontId="76" fillId="13" borderId="0" xfId="0" applyFont="1" applyFill="1" applyProtection="1">
      <alignment vertical="center"/>
      <protection locked="0"/>
    </xf>
    <xf numFmtId="0" fontId="82" fillId="13" borderId="0" xfId="0" applyFont="1" applyFill="1" applyProtection="1">
      <alignment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3">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1"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8</xdr:col>
      <xdr:colOff>355131</xdr:colOff>
      <xdr:row>59</xdr:row>
      <xdr:rowOff>0</xdr:rowOff>
    </xdr:to>
    <xdr:pic>
      <xdr:nvPicPr>
        <xdr:cNvPr id="3" name="图片 2">
          <a:extLst>
            <a:ext uri="{FF2B5EF4-FFF2-40B4-BE49-F238E27FC236}">
              <a16:creationId xmlns:a16="http://schemas.microsoft.com/office/drawing/2014/main" id="{FA4961A2-4A00-4FC9-B91C-7E861CAF41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286000"/>
          <a:ext cx="8927631" cy="7772400"/>
        </a:xfrm>
        <a:prstGeom prst="rect">
          <a:avLst/>
        </a:prstGeom>
      </xdr:spPr>
    </xdr:pic>
    <xdr:clientData/>
  </xdr:twoCellAnchor>
  <xdr:twoCellAnchor editAs="oneCell">
    <xdr:from>
      <xdr:col>0</xdr:col>
      <xdr:colOff>0</xdr:colOff>
      <xdr:row>60</xdr:row>
      <xdr:rowOff>0</xdr:rowOff>
    </xdr:from>
    <xdr:to>
      <xdr:col>8</xdr:col>
      <xdr:colOff>561691</xdr:colOff>
      <xdr:row>111</xdr:row>
      <xdr:rowOff>0</xdr:rowOff>
    </xdr:to>
    <xdr:pic>
      <xdr:nvPicPr>
        <xdr:cNvPr id="5" name="图片 4">
          <a:extLst>
            <a:ext uri="{FF2B5EF4-FFF2-40B4-BE49-F238E27FC236}">
              <a16:creationId xmlns:a16="http://schemas.microsoft.com/office/drawing/2014/main" id="{2ACCC0E6-CBC5-4F1F-BA99-81C1C9783C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210800"/>
          <a:ext cx="9134191" cy="7772400"/>
        </a:xfrm>
        <a:prstGeom prst="rect">
          <a:avLst/>
        </a:prstGeom>
      </xdr:spPr>
    </xdr:pic>
    <xdr:clientData/>
  </xdr:twoCellAnchor>
  <xdr:twoCellAnchor editAs="oneCell">
    <xdr:from>
      <xdr:col>0</xdr:col>
      <xdr:colOff>0</xdr:colOff>
      <xdr:row>112</xdr:row>
      <xdr:rowOff>0</xdr:rowOff>
    </xdr:from>
    <xdr:to>
      <xdr:col>8</xdr:col>
      <xdr:colOff>171450</xdr:colOff>
      <xdr:row>162</xdr:row>
      <xdr:rowOff>0</xdr:rowOff>
    </xdr:to>
    <xdr:pic>
      <xdr:nvPicPr>
        <xdr:cNvPr id="7" name="图片 6">
          <a:extLst>
            <a:ext uri="{FF2B5EF4-FFF2-40B4-BE49-F238E27FC236}">
              <a16:creationId xmlns:a16="http://schemas.microsoft.com/office/drawing/2014/main" id="{C67790C2-701D-44AE-9D0D-10FB2FE3958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8135600"/>
          <a:ext cx="8743950" cy="7620000"/>
        </a:xfrm>
        <a:prstGeom prst="rect">
          <a:avLst/>
        </a:prstGeom>
      </xdr:spPr>
    </xdr:pic>
    <xdr:clientData/>
  </xdr:twoCellAnchor>
  <xdr:twoCellAnchor editAs="oneCell">
    <xdr:from>
      <xdr:col>9</xdr:col>
      <xdr:colOff>0</xdr:colOff>
      <xdr:row>8</xdr:row>
      <xdr:rowOff>1</xdr:rowOff>
    </xdr:from>
    <xdr:to>
      <xdr:col>16</xdr:col>
      <xdr:colOff>31781</xdr:colOff>
      <xdr:row>29</xdr:row>
      <xdr:rowOff>133351</xdr:rowOff>
    </xdr:to>
    <xdr:pic>
      <xdr:nvPicPr>
        <xdr:cNvPr id="9" name="图片 8">
          <a:extLst>
            <a:ext uri="{FF2B5EF4-FFF2-40B4-BE49-F238E27FC236}">
              <a16:creationId xmlns:a16="http://schemas.microsoft.com/office/drawing/2014/main" id="{69D2F918-ECA2-4A21-B5FE-14720902B60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429750" y="2286001"/>
          <a:ext cx="6461156" cy="3333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133350</xdr:rowOff>
    </xdr:from>
    <xdr:to>
      <xdr:col>13</xdr:col>
      <xdr:colOff>161925</xdr:colOff>
      <xdr:row>32</xdr:row>
      <xdr:rowOff>161925</xdr:rowOff>
    </xdr:to>
    <xdr:pic>
      <xdr:nvPicPr>
        <xdr:cNvPr id="3" name="图片 2">
          <a:extLst>
            <a:ext uri="{FF2B5EF4-FFF2-40B4-BE49-F238E27FC236}">
              <a16:creationId xmlns:a16="http://schemas.microsoft.com/office/drawing/2014/main" id="{355D633C-7065-4AB1-9771-F71FB76964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04800"/>
          <a:ext cx="9077325" cy="53435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出让国有建设用地使用权抵押价格预评估</v>
      </c>
      <c r="AX2" s="2614"/>
      <c r="AZ2" s="2614"/>
      <c r="BA2" s="2615"/>
      <c r="BC2" s="2615"/>
    </row>
    <row r="3" spans="1:55" s="2616" customFormat="1">
      <c r="A3" s="2595" t="s">
        <v>2641</v>
      </c>
      <c r="B3" s="2598">
        <f>'预评函-封皮'!B40</f>
        <v>0</v>
      </c>
    </row>
    <row r="4" spans="1:55" s="2597" customFormat="1">
      <c r="A4" s="2595" t="s">
        <v>2642</v>
      </c>
      <c r="B4" s="2596" t="str">
        <f>'预评函-封皮'!B46</f>
        <v>王鹏、郑燚</v>
      </c>
      <c r="N4" s="2597" t="str">
        <f>'预评函-1'!A28</f>
        <v>本次估价的“抵押净值”是指估价对象“抵押价格”减去估价对象在估价期日以“土地销售收入”为基数计算的预计抵押权实现进行处置时需缴纳的各项费用、税金等相关费用后的价格。</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受贵公司委托，我公司对出让国有建设用地使用权抵押价格进行了预评估。</v>
      </c>
      <c r="AM6" s="2620"/>
    </row>
    <row r="7" spans="1:55" s="2594" customFormat="1">
      <c r="A7" s="2595" t="s">
        <v>2637</v>
      </c>
      <c r="B7" s="2596" t="str">
        <f>'预评函-1'!A6</f>
        <v>估价对象为使用的、位于出让国有建设用地使用权。根据，估价对象（分摊）出让国有建设用地使用权面积为74233.12平方米。根据，估价对象规划建筑面积为74233.12平方米。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2639</v>
      </c>
      <c r="B10" s="2596" t="str">
        <f>'预评函-1'!A11</f>
        <v>2020年8月27日（评估专业人员勘察现场之日）</v>
      </c>
    </row>
    <row r="11" spans="1:55" s="2594" customFormat="1">
      <c r="A11" s="2595" t="s">
        <v>2645</v>
      </c>
      <c r="B11" s="2596" t="str">
        <f>'预评函-1'!A14</f>
        <v>根据，本次评估估价对象证载（地类）用途为。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2648</v>
      </c>
      <c r="B14" s="2596" t="str">
        <f>'预评函-1'!A18</f>
        <v>。本次评估设定土地开发程度为红线外市政基础设施达“七通”、宗地红线内场地平整。</v>
      </c>
    </row>
    <row r="15" spans="1:55" s="2594" customFormat="1">
      <c r="A15" s="2595" t="s">
        <v>2644</v>
      </c>
      <c r="B15" s="2596" t="str">
        <f>'预评函-1'!A20</f>
        <v>根据，估价对象（分摊）出让国有建设用地使用权面积为74233.12平方米。根据，估价对象规划建筑面积为74233.12平方米。</v>
      </c>
    </row>
    <row r="16" spans="1:55" s="2594" customFormat="1">
      <c r="A16" s="2595" t="s">
        <v>2649</v>
      </c>
      <c r="B16" s="2596" t="str">
        <f>'预评函-1'!A22</f>
        <v>本次估价对象为出让国有建设用地使用权，证载土地终止日期为住宅2087年12月13日、商业2057年12月13日地下车库2067年12月13日。截至估价期日，出让国有建设用地使用权剩余土地使用年限为。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2020年8月27日，在规划利用条件下、设定土地开发程度为红线外“七通”、宗地内场地，设定用途为，剩余土地使用年限为的出让国有建设用地使用权价格。</v>
      </c>
    </row>
    <row r="19" spans="1:48" s="2594" customFormat="1">
      <c r="A19" s="2595" t="s">
        <v>2652</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2653</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2654</v>
      </c>
      <c r="B21" s="26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6" t="s">
        <v>2655</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估价期日：2020年8月27日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红线外七通、宗地红线内</v>
      </c>
    </row>
    <row r="39" spans="1:2">
      <c r="A39" s="2595" t="s">
        <v>2699</v>
      </c>
      <c r="B39" s="2596" t="str">
        <f>'预评函-2'!L5</f>
        <v>红线外七通、宗地红线内场地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74233.119999999995</v>
      </c>
    </row>
    <row r="44" spans="1:2">
      <c r="A44" s="2595" t="s">
        <v>2720</v>
      </c>
      <c r="B44" s="2596" t="str">
        <f>'预评函-2'!O3</f>
        <v>规划建筑面积/㎡</v>
      </c>
    </row>
    <row r="45" spans="1:2">
      <c r="A45" s="2595" t="s">
        <v>2702</v>
      </c>
      <c r="B45" s="2596">
        <f>'预评函-2'!O5</f>
        <v>74233.119999999995</v>
      </c>
    </row>
    <row r="46" spans="1:2">
      <c r="A46" s="2595" t="s">
        <v>2703</v>
      </c>
      <c r="B46" s="2596">
        <f ca="1">'预评函-2'!P5</f>
        <v>1596</v>
      </c>
    </row>
    <row r="47" spans="1:2">
      <c r="A47" s="2595" t="s">
        <v>2704</v>
      </c>
      <c r="B47" s="2596">
        <f ca="1">'预评函-2'!Q5</f>
        <v>1596</v>
      </c>
    </row>
    <row r="48" spans="1:2">
      <c r="A48" s="2595" t="s">
        <v>2705</v>
      </c>
      <c r="B48" s="2596">
        <f ca="1">'预评函-2'!R5</f>
        <v>11845</v>
      </c>
    </row>
    <row r="49" spans="1:2">
      <c r="A49" s="2595" t="s">
        <v>2721</v>
      </c>
      <c r="B49" s="2596" t="str">
        <f>'预评函-2'!A6</f>
        <v>抵押价格</v>
      </c>
    </row>
    <row r="50" spans="1:2">
      <c r="A50" s="2595" t="s">
        <v>2706</v>
      </c>
      <c r="B50" s="2596">
        <f ca="1">'预评函-2'!R6</f>
        <v>11845</v>
      </c>
    </row>
    <row r="51" spans="1:2">
      <c r="A51" s="2595" t="s">
        <v>2722</v>
      </c>
      <c r="B51" s="2596" t="str">
        <f>'预评函-2'!A7</f>
        <v>——</v>
      </c>
    </row>
    <row r="52" spans="1:2">
      <c r="A52" s="2595" t="s">
        <v>2707</v>
      </c>
      <c r="B52" s="2596" t="str">
        <f>'预评函-2'!R7</f>
        <v>——</v>
      </c>
    </row>
    <row r="53" spans="1:2">
      <c r="A53" s="2595" t="s">
        <v>2723</v>
      </c>
      <c r="B53" s="2596" t="str">
        <f>'预评函-2'!A8</f>
        <v>抵押净值</v>
      </c>
    </row>
    <row r="54" spans="1:2" s="2610" customFormat="1" ht="15" thickBot="1">
      <c r="A54" s="2617" t="s">
        <v>2708</v>
      </c>
      <c r="B54" s="2618">
        <f ca="1">'预评函-2'!R8</f>
        <v>10788</v>
      </c>
    </row>
    <row r="55" spans="1:2" ht="15" thickTop="1">
      <c r="A55" s="2606" t="s">
        <v>2658</v>
      </c>
      <c r="B55" s="2607" t="str">
        <f>'预评函-3'!A2</f>
        <v>1.权利限制：根据估价对象《不动产权证书》原件、《国有土地使用权》复印件，截至估价期日，估价对象抵押权未见登记。未设定租赁等其他他项权利。</v>
      </c>
    </row>
    <row r="56" spans="1:2">
      <c r="A56" s="2595" t="s">
        <v>2659</v>
      </c>
      <c r="B56" s="2596" t="str">
        <f>'预评函-3'!A3</f>
        <v>2.基础设施条件：估价对象实际开发程度为红线外七通、宗地红线内；本次评估设定开发程度为红线外七通、宗地红线内场地。</v>
      </c>
    </row>
    <row r="57" spans="1:2">
      <c r="A57" s="2595" t="s">
        <v>2660</v>
      </c>
      <c r="B57" s="2596" t="str">
        <f>'预评函-3'!A4</f>
        <v>3.估价规划限制条件：详见。</v>
      </c>
    </row>
    <row r="58" spans="1:2" s="2610" customFormat="1" ht="15" thickBot="1">
      <c r="A58" s="2617" t="s">
        <v>2709</v>
      </c>
      <c r="B58" s="2618" t="str">
        <f>'预评函-3'!A5</f>
        <v>4.影响价格的其他限定条件：无。</v>
      </c>
    </row>
    <row r="59" spans="1:2" ht="15" thickTop="1">
      <c r="A59" s="2606" t="s">
        <v>2661</v>
      </c>
      <c r="B59" s="2607" t="str">
        <f>'预评函-3'!A8</f>
        <v>2.本《评估意见函》仅供金融机构进行内部审核使用，不做其他目的之用。</v>
      </c>
    </row>
    <row r="60" spans="1:2">
      <c r="A60" s="2595" t="s">
        <v>2662</v>
      </c>
      <c r="B60" s="2596" t="str">
        <f>'预评函-3'!A9</f>
        <v>3.抵押双方在办理抵押登记手续时，应使用本公司出具的正式《土地估价报告》，特提请报告使用者注意。</v>
      </c>
    </row>
    <row r="61" spans="1:2">
      <c r="A61" s="2595" t="s">
        <v>2664</v>
      </c>
      <c r="B61" s="2596" t="str">
        <f>'预评函-3'!A10</f>
        <v>4.估价师所知悉的法定优先受偿款情况为：</v>
      </c>
    </row>
    <row r="62" spans="1:2">
      <c r="A62" s="2595" t="s">
        <v>2663</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综上，本次评估不存在估价师知悉的法定优先受偿款</v>
      </c>
    </row>
    <row r="66" spans="1:2">
      <c r="A66" s="2595" t="s">
        <v>2668</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王鹏</v>
      </c>
    </row>
    <row r="70" spans="1:2">
      <c r="A70" s="2595" t="s">
        <v>2670</v>
      </c>
      <c r="B70" s="2602">
        <f ca="1">'预评函-3'!B20</f>
        <v>2002110030</v>
      </c>
    </row>
    <row r="71" spans="1:2">
      <c r="A71" s="2595" t="s">
        <v>2671</v>
      </c>
      <c r="B71" s="2596" t="str">
        <f>'预评函-3'!A21</f>
        <v>郑燚</v>
      </c>
    </row>
    <row r="72" spans="1:2" s="2610" customFormat="1" ht="15" thickBot="1">
      <c r="A72" s="2617" t="s">
        <v>2671</v>
      </c>
      <c r="B72" s="2623">
        <f ca="1">'预评函-3'!B21</f>
        <v>2014110011</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Normal="100" zoomScaleSheetLayoutView="100" workbookViewId="0">
      <selection activeCell="D17" sqref="D17"/>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1926</v>
      </c>
      <c r="B1" s="3343" t="str">
        <f>IF(B10="北京市","北京市",C10)&amp;F10&amp;B16&amp;"国有建设用地使用权"&amp;B9&amp;"预评估"</f>
        <v>出让国有建设用地使用权抵押价格预评估</v>
      </c>
      <c r="C1" s="3344"/>
      <c r="D1" s="3344"/>
      <c r="E1" s="3344"/>
      <c r="F1" s="3344"/>
      <c r="G1" s="3344"/>
      <c r="H1" s="3344"/>
      <c r="I1" s="3345"/>
      <c r="J1" s="3074"/>
      <c r="K1" s="2310" t="str">
        <f>IF(B10="北京市","北京市",C10)&amp;F10&amp;B16&amp;"国有建设用地使用权"&amp;B9</f>
        <v>出让国有建设用地使用权抵押价格</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出让国有建设用地使用权</v>
      </c>
      <c r="L2" s="3053"/>
      <c r="M2" s="3053"/>
      <c r="N2" s="3054"/>
      <c r="O2" s="3055"/>
      <c r="P2" s="3054"/>
      <c r="Q2" s="3054"/>
      <c r="R2" s="3054"/>
      <c r="S2" s="3054"/>
      <c r="T2" s="3054"/>
      <c r="U2" s="3054"/>
    </row>
    <row r="3" spans="1:21">
      <c r="A3" s="1588" t="s">
        <v>1928</v>
      </c>
      <c r="B3" s="1589">
        <v>44070</v>
      </c>
      <c r="C3" s="2997" t="s">
        <v>1984</v>
      </c>
      <c r="D3" s="1589">
        <f>B3</f>
        <v>44070</v>
      </c>
      <c r="E3" s="3074"/>
      <c r="F3" s="3074"/>
      <c r="G3" s="3074"/>
      <c r="H3" s="3075"/>
      <c r="I3" s="3076"/>
      <c r="J3" s="3074"/>
      <c r="K3" s="3057"/>
      <c r="L3" s="3053"/>
      <c r="M3" s="3053"/>
      <c r="N3" s="3054"/>
      <c r="O3" s="3055"/>
      <c r="P3" s="3054"/>
      <c r="Q3" s="3054"/>
      <c r="R3" s="3054"/>
      <c r="S3" s="3054"/>
      <c r="T3" s="3054"/>
      <c r="U3" s="3054"/>
    </row>
    <row r="4" spans="1:21" ht="15" thickBot="1">
      <c r="A4" s="1591" t="s">
        <v>1929</v>
      </c>
      <c r="B4" s="1756" t="s">
        <v>2995</v>
      </c>
      <c r="C4" s="1759">
        <f ca="1">SUMIF(土地估价师,B4,估价师及机构信息!E3:E16)</f>
        <v>2002110030</v>
      </c>
      <c r="D4" s="1756" t="s">
        <v>2996</v>
      </c>
      <c r="E4" s="1759">
        <f ca="1">SUMIF(土地估价师,D4,估价师及机构信息!E3:E16)</f>
        <v>2014110011</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王鹏、郑燚</v>
      </c>
      <c r="L4" s="3053"/>
      <c r="M4" s="3053"/>
      <c r="N4" s="3054"/>
      <c r="O4" s="3055"/>
      <c r="P4" s="3054"/>
      <c r="Q4" s="3054"/>
      <c r="R4" s="3054"/>
      <c r="S4" s="3054"/>
      <c r="T4" s="3054"/>
      <c r="U4" s="3054"/>
    </row>
    <row r="5" spans="1:21" ht="15" thickTop="1">
      <c r="A5" s="1592" t="s">
        <v>1930</v>
      </c>
      <c r="B5" s="1703"/>
      <c r="C5" s="1593"/>
      <c r="D5" s="1594"/>
      <c r="E5" s="3074"/>
      <c r="F5" s="3074"/>
      <c r="G5" s="3074"/>
      <c r="H5" s="3075"/>
      <c r="I5" s="3076"/>
      <c r="J5" s="3074"/>
      <c r="K5" s="3057"/>
      <c r="L5" s="3053"/>
      <c r="M5" s="3053"/>
      <c r="N5" s="3054"/>
      <c r="O5" s="3055"/>
      <c r="P5" s="3054"/>
      <c r="Q5" s="3054"/>
      <c r="R5" s="3054"/>
      <c r="S5" s="3054"/>
      <c r="T5" s="3054"/>
      <c r="U5" s="3054"/>
    </row>
    <row r="6" spans="1:21" ht="26.25">
      <c r="A6" s="1590" t="s">
        <v>2686</v>
      </c>
      <c r="B6" s="1703"/>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2687</v>
      </c>
      <c r="B7" s="1703"/>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2943</v>
      </c>
      <c r="C8" s="1598"/>
      <c r="D8" s="3349" t="s">
        <v>1933</v>
      </c>
      <c r="E8" s="1757" t="s">
        <v>2997</v>
      </c>
      <c r="F8" s="1599"/>
      <c r="G8" s="3075"/>
      <c r="H8" s="3075"/>
      <c r="I8" s="3078"/>
      <c r="J8" s="3074"/>
      <c r="K8" s="3057"/>
      <c r="L8" s="3053"/>
      <c r="M8" s="3053"/>
      <c r="N8" s="3054"/>
      <c r="O8" s="3055"/>
      <c r="P8" s="3054"/>
      <c r="Q8" s="3054"/>
      <c r="R8" s="3054"/>
      <c r="S8" s="3054"/>
      <c r="T8" s="3054"/>
      <c r="U8" s="3054"/>
    </row>
    <row r="9" spans="1:21" ht="15" thickBot="1">
      <c r="A9" s="2999" t="s">
        <v>1932</v>
      </c>
      <c r="B9" s="1600" t="s">
        <v>2997</v>
      </c>
      <c r="C9" s="1601"/>
      <c r="D9" s="3350"/>
      <c r="E9" s="1600" t="s">
        <v>2833</v>
      </c>
      <c r="F9" s="1664"/>
      <c r="G9" s="3079"/>
      <c r="H9" s="3079"/>
      <c r="I9" s="3080"/>
      <c r="J9" s="3074"/>
      <c r="K9" s="3057"/>
      <c r="L9" s="3053"/>
      <c r="M9" s="3053"/>
      <c r="N9" s="3054"/>
      <c r="O9" s="3055"/>
      <c r="P9" s="3054"/>
      <c r="Q9" s="3054"/>
      <c r="R9" s="3054"/>
      <c r="S9" s="3054"/>
      <c r="T9" s="3054"/>
      <c r="U9" s="3054"/>
    </row>
    <row r="10" spans="1:21" ht="15" thickTop="1">
      <c r="A10" s="3000" t="s">
        <v>1987</v>
      </c>
      <c r="B10" s="1640" t="s">
        <v>2998</v>
      </c>
      <c r="C10" s="1602"/>
      <c r="D10" s="1594"/>
      <c r="E10" s="1603" t="s">
        <v>1935</v>
      </c>
      <c r="F10" s="1604"/>
      <c r="G10" s="1662"/>
      <c r="H10" s="1663"/>
      <c r="I10" s="1594"/>
      <c r="J10" s="3074"/>
      <c r="K10" s="3057"/>
      <c r="L10" s="3053"/>
      <c r="M10" s="3053"/>
      <c r="N10" s="3054"/>
      <c r="O10" s="3055"/>
      <c r="P10" s="3054"/>
      <c r="Q10" s="3054"/>
      <c r="R10" s="3054"/>
      <c r="S10" s="3054"/>
      <c r="T10" s="3054"/>
      <c r="U10" s="3054"/>
    </row>
    <row r="11" spans="1:21">
      <c r="A11" s="3001" t="s">
        <v>1988</v>
      </c>
      <c r="B11" s="1619" t="s">
        <v>2999</v>
      </c>
      <c r="C11" s="1605"/>
      <c r="D11" s="1679"/>
      <c r="E11" s="3073"/>
      <c r="F11" s="3073"/>
      <c r="G11" s="3073"/>
      <c r="H11" s="3073"/>
      <c r="I11" s="3073"/>
      <c r="J11" s="3074"/>
      <c r="K11" s="3057"/>
      <c r="L11" s="3053"/>
      <c r="M11" s="3053"/>
      <c r="N11" s="3054"/>
      <c r="O11" s="3055"/>
      <c r="P11" s="3054"/>
      <c r="Q11" s="3054"/>
      <c r="R11" s="3054"/>
      <c r="S11" s="3054"/>
      <c r="T11" s="3054"/>
      <c r="U11" s="3054"/>
    </row>
    <row r="12" spans="1:21">
      <c r="A12" s="1699" t="s">
        <v>2046</v>
      </c>
      <c r="B12" s="3346"/>
      <c r="C12" s="3347"/>
      <c r="D12" s="3348"/>
      <c r="E12" s="1620" t="s">
        <v>2049</v>
      </c>
      <c r="F12" s="3364"/>
      <c r="G12" s="3365"/>
      <c r="H12" s="3365"/>
      <c r="I12" s="3366"/>
      <c r="J12" s="3074"/>
      <c r="K12" s="3057"/>
      <c r="L12" s="3053"/>
      <c r="M12" s="3053"/>
      <c r="N12" s="3054"/>
      <c r="O12" s="3055"/>
      <c r="P12" s="3054"/>
      <c r="Q12" s="3054"/>
      <c r="R12" s="3054"/>
      <c r="S12" s="3054"/>
      <c r="T12" s="3054"/>
      <c r="U12" s="3054"/>
    </row>
    <row r="13" spans="1:21">
      <c r="A13" s="1611" t="s">
        <v>2047</v>
      </c>
      <c r="B13" s="3346"/>
      <c r="C13" s="3347"/>
      <c r="D13" s="3348"/>
      <c r="E13" s="1620" t="s">
        <v>2049</v>
      </c>
      <c r="F13" s="3364"/>
      <c r="G13" s="3365"/>
      <c r="H13" s="3365"/>
      <c r="I13" s="3366"/>
      <c r="J13" s="3074"/>
      <c r="K13" s="3057"/>
      <c r="L13" s="3053"/>
      <c r="M13" s="3053"/>
      <c r="N13" s="3054"/>
      <c r="O13" s="3055"/>
      <c r="P13" s="3054"/>
      <c r="Q13" s="3054"/>
      <c r="R13" s="3054"/>
      <c r="S13" s="3054"/>
      <c r="T13" s="3054"/>
      <c r="U13" s="3054"/>
    </row>
    <row r="14" spans="1:21">
      <c r="A14" s="1588" t="s">
        <v>2050</v>
      </c>
      <c r="B14" s="1620"/>
      <c r="C14" s="1758" t="s">
        <v>3000</v>
      </c>
      <c r="D14" s="1654" t="str">
        <f>IF(C14="不一致","是否符合证载地类范围","")</f>
        <v/>
      </c>
      <c r="E14" s="1620"/>
      <c r="F14" s="1704"/>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ht="42.75">
      <c r="A16" s="3002" t="s">
        <v>1936</v>
      </c>
      <c r="B16" s="1606" t="s">
        <v>2938</v>
      </c>
      <c r="C16" s="1620" t="s">
        <v>1937</v>
      </c>
      <c r="D16" s="2488" t="s">
        <v>1938</v>
      </c>
      <c r="E16" s="1643" t="s">
        <v>3002</v>
      </c>
      <c r="F16" s="1643"/>
      <c r="G16" s="1643" t="s">
        <v>35</v>
      </c>
      <c r="H16" s="1643"/>
      <c r="I16" s="1610" t="s">
        <v>1943</v>
      </c>
      <c r="J16" s="3074"/>
      <c r="K16" s="2311" t="str">
        <f>IF(D17="","",D16&amp;TEXT(D17,"yyyy年m月d日;;"))</f>
        <v>住宅2087年12月13日</v>
      </c>
      <c r="L16" s="1620" t="str">
        <f>IF(OR(K16="",M16=""),"","、")</f>
        <v>、</v>
      </c>
      <c r="M16" s="2311" t="str">
        <f>IF(E17="","",E16&amp;TEXT(E17,"yyyy年m月d日;;"))</f>
        <v>商业2057年12月13日</v>
      </c>
      <c r="N16" s="1620" t="str">
        <f>IF(OR(M16="",O16=""),"","、")</f>
        <v/>
      </c>
      <c r="O16" s="2311" t="str">
        <f>IF(F17="","",F16&amp;TEXT(F17,"yyyy年m月d日;;"))</f>
        <v/>
      </c>
      <c r="P16" s="1620" t="str">
        <f>IF(OR(O16="",Q16=""),"","、")</f>
        <v/>
      </c>
      <c r="Q16" s="2311" t="str">
        <f>IF(G17="","",G16&amp;TEXT(G17,"yyyy年m月d日;;"))</f>
        <v>地下车库2067年12月13日</v>
      </c>
      <c r="R16" s="1620" t="str">
        <f>IF(OR(Q16="",S16=""),"","、")</f>
        <v/>
      </c>
      <c r="S16" s="2311" t="str">
        <f>IF(H17="","",H16&amp;TEXT(H17,"yyyy年m月d日;;"))</f>
        <v/>
      </c>
      <c r="T16" s="1620" t="str">
        <f>IF(OR(S16="",U16=""),"","、")</f>
        <v/>
      </c>
      <c r="U16" s="2311" t="str">
        <f>IF(I17="","",I16&amp;TEXT(I17,"yyyy年m月d日;;"))</f>
        <v/>
      </c>
    </row>
    <row r="17" spans="1:21">
      <c r="A17" s="1680"/>
      <c r="B17" s="1607"/>
      <c r="C17" s="3003" t="s">
        <v>1944</v>
      </c>
      <c r="D17" s="1621">
        <v>68649</v>
      </c>
      <c r="E17" s="1621">
        <v>57692</v>
      </c>
      <c r="F17" s="1621"/>
      <c r="G17" s="1621">
        <v>61344</v>
      </c>
      <c r="H17" s="1621"/>
      <c r="I17" s="1621"/>
      <c r="J17" s="3074"/>
      <c r="K17" s="3052" t="str">
        <f>CONCATENATE(K16,L16,M16,N16,O16,P16,Q16,R16,S16,T16,,U16)</f>
        <v>住宅2087年12月13日、商业2057年12月13日地下车库2067年12月13日</v>
      </c>
      <c r="L17" s="3053"/>
      <c r="M17" s="3053"/>
      <c r="N17" s="3054"/>
      <c r="O17" s="3055"/>
      <c r="P17" s="3054"/>
      <c r="Q17" s="3054"/>
      <c r="R17" s="3054"/>
      <c r="S17" s="3054"/>
      <c r="T17" s="3054"/>
      <c r="U17" s="3054"/>
    </row>
    <row r="18" spans="1:21">
      <c r="A18" s="1680"/>
      <c r="B18" s="1607"/>
      <c r="C18" s="3003" t="s">
        <v>1945</v>
      </c>
      <c r="D18" s="1608">
        <v>70</v>
      </c>
      <c r="E18" s="1608">
        <v>40</v>
      </c>
      <c r="F18" s="1608"/>
      <c r="G18" s="1608">
        <v>50</v>
      </c>
      <c r="H18" s="1608"/>
      <c r="I18" s="1608"/>
      <c r="J18" s="3074"/>
      <c r="K18" s="3057"/>
      <c r="L18" s="3053"/>
      <c r="M18" s="3053"/>
      <c r="N18" s="3054"/>
      <c r="O18" s="3055"/>
      <c r="P18" s="3054"/>
      <c r="Q18" s="3054"/>
      <c r="R18" s="3054"/>
      <c r="S18" s="3054"/>
      <c r="T18" s="3054"/>
      <c r="U18" s="3054"/>
    </row>
    <row r="19" spans="1:21">
      <c r="A19" s="1680"/>
      <c r="B19" s="1607"/>
      <c r="C19" s="1587" t="s">
        <v>1946</v>
      </c>
      <c r="D19" s="1675">
        <f>IF(B16="出让",IF(D17="","",ROUNDDOWN(MIN((D17-$D$3)/365,D18),2)),D18)</f>
        <v>67.33</v>
      </c>
      <c r="E19" s="1609">
        <f>IF(B16="出让",IF(E17="","",ROUNDDOWN(MIN((E17-$D$3)/365,E18),2)),E18)</f>
        <v>37.32</v>
      </c>
      <c r="F19" s="1609" t="str">
        <f>IF(B16="出让",IF(F17="","",ROUNDDOWN(MIN((F17-$D$3)/365,F18),2)),F18)</f>
        <v/>
      </c>
      <c r="G19" s="1609">
        <f>IF(B16="出让",IF(G17="","",ROUNDDOWN(MIN((G17-$D$3)/365,G18),2)),G18)</f>
        <v>47.32</v>
      </c>
      <c r="H19" s="1609" t="str">
        <f>IF(B16="出让",IF(H17="","",ROUNDDOWN(MIN((H17-$D$3)/365,H18),2)),H18)</f>
        <v/>
      </c>
      <c r="I19" s="1609" t="str">
        <f>IF(B16="出让",IF(I17="","",ROUNDDOWN(MIN((I17-$D$3)/365,I18),2)),I18)</f>
        <v/>
      </c>
      <c r="J19" s="3074"/>
      <c r="K19" s="3057"/>
      <c r="L19" s="3053"/>
      <c r="M19" s="3053"/>
      <c r="N19" s="3054"/>
      <c r="O19" s="3055"/>
      <c r="P19" s="3054"/>
      <c r="Q19" s="3054"/>
      <c r="R19" s="3054"/>
      <c r="S19" s="3054"/>
      <c r="T19" s="3054"/>
      <c r="U19" s="3054"/>
    </row>
    <row r="20" spans="1:21">
      <c r="A20" s="1700"/>
      <c r="B20" s="1701"/>
      <c r="C20" s="1702" t="s">
        <v>2048</v>
      </c>
      <c r="D20" s="3361"/>
      <c r="E20" s="3362"/>
      <c r="F20" s="3362"/>
      <c r="G20" s="3362"/>
      <c r="H20" s="3362"/>
      <c r="I20" s="3363"/>
      <c r="J20" s="3074"/>
      <c r="K20" s="3057"/>
      <c r="L20" s="3053"/>
      <c r="M20" s="3053"/>
      <c r="N20" s="3054"/>
      <c r="O20" s="3055"/>
      <c r="P20" s="3054"/>
      <c r="Q20" s="3054"/>
      <c r="R20" s="3054"/>
      <c r="S20" s="3054"/>
      <c r="T20" s="3054"/>
      <c r="U20" s="3054"/>
    </row>
    <row r="21" spans="1:21">
      <c r="A21" s="1680" t="s">
        <v>1947</v>
      </c>
      <c r="B21" s="1681" t="s">
        <v>1948</v>
      </c>
      <c r="C21" s="1676">
        <f>'数据-汇总表'!E3</f>
        <v>74233.119999999995</v>
      </c>
      <c r="D21" s="1677" t="s">
        <v>1949</v>
      </c>
      <c r="E21" s="3351"/>
      <c r="F21" s="3352"/>
      <c r="G21" s="3352"/>
      <c r="H21" s="3352"/>
      <c r="I21" s="3353"/>
      <c r="J21" s="3074"/>
      <c r="K21" s="3057"/>
      <c r="L21" s="3053"/>
      <c r="M21" s="3053"/>
      <c r="N21" s="3054"/>
      <c r="O21" s="3055"/>
      <c r="P21" s="3054"/>
      <c r="Q21" s="3054"/>
      <c r="R21" s="3054"/>
      <c r="S21" s="3054"/>
      <c r="T21" s="3054"/>
      <c r="U21" s="3054"/>
    </row>
    <row r="22" spans="1:21">
      <c r="A22" s="2802" t="s">
        <v>943</v>
      </c>
      <c r="B22" s="1588" t="s">
        <v>1950</v>
      </c>
      <c r="C22" s="1610">
        <f>'数据-汇总表'!D3</f>
        <v>74233.119999999995</v>
      </c>
      <c r="D22" s="1611" t="s">
        <v>1949</v>
      </c>
      <c r="E22" s="3351"/>
      <c r="F22" s="3352"/>
      <c r="G22" s="3352"/>
      <c r="H22" s="3352"/>
      <c r="I22" s="3353"/>
      <c r="J22" s="3074"/>
      <c r="K22" s="3057"/>
      <c r="L22" s="3053"/>
      <c r="M22" s="3053"/>
      <c r="N22" s="3054"/>
      <c r="O22" s="3055"/>
      <c r="P22" s="3054"/>
      <c r="Q22" s="3054"/>
      <c r="R22" s="3054"/>
      <c r="S22" s="3054"/>
      <c r="T22" s="3054"/>
      <c r="U22" s="3054"/>
    </row>
    <row r="23" spans="1:21" ht="43.5" thickBot="1">
      <c r="A23" s="1682" t="s">
        <v>1951</v>
      </c>
      <c r="B23" s="1622" t="s">
        <v>1952</v>
      </c>
      <c r="C23" s="1623"/>
      <c r="D23" s="1624" t="s">
        <v>1953</v>
      </c>
      <c r="E23" s="1625"/>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354" t="s">
        <v>1955</v>
      </c>
      <c r="C24" s="3355"/>
      <c r="D24" s="3356" t="s">
        <v>1956</v>
      </c>
      <c r="E24" s="3357"/>
      <c r="F24" s="1629" t="s">
        <v>1957</v>
      </c>
      <c r="G24" s="3074"/>
      <c r="H24" s="3074"/>
      <c r="I24" s="3078"/>
      <c r="J24" s="3074"/>
      <c r="K24" s="3342"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4"/>
      <c r="O24" s="3055"/>
      <c r="P24" s="3054"/>
      <c r="Q24" s="3054"/>
      <c r="R24" s="3054"/>
      <c r="S24" s="3054"/>
      <c r="T24" s="3054"/>
      <c r="U24" s="3054"/>
    </row>
    <row r="25" spans="1:21" ht="28.5">
      <c r="A25" s="1668"/>
      <c r="B25" s="1665" t="s">
        <v>2312</v>
      </c>
      <c r="C25" s="1630" t="s">
        <v>1959</v>
      </c>
      <c r="D25" s="1631"/>
      <c r="E25" s="1632" t="s">
        <v>943</v>
      </c>
      <c r="F25" s="1633"/>
      <c r="G25" s="3074"/>
      <c r="H25" s="3074"/>
      <c r="I25" s="3078"/>
      <c r="J25" s="3074"/>
      <c r="K25" s="3342"/>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4"/>
      <c r="O25" s="3055"/>
      <c r="P25" s="3054"/>
      <c r="Q25" s="3054"/>
      <c r="R25" s="3054"/>
      <c r="S25" s="3054"/>
      <c r="T25" s="3054"/>
      <c r="U25" s="3054"/>
    </row>
    <row r="26" spans="1:21" ht="29.25" thickBot="1">
      <c r="A26" s="1669"/>
      <c r="B26" s="1666" t="s">
        <v>1960</v>
      </c>
      <c r="C26" s="1630" t="s">
        <v>2313</v>
      </c>
      <c r="D26" s="3075"/>
      <c r="E26" s="3075"/>
      <c r="F26" s="3081"/>
      <c r="G26" s="3074"/>
      <c r="H26" s="3074"/>
      <c r="I26" s="3078"/>
      <c r="J26" s="3074"/>
      <c r="K26" s="3342"/>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1961</v>
      </c>
      <c r="B27" s="1670" t="s">
        <v>1962</v>
      </c>
      <c r="C27" s="1634"/>
      <c r="D27" s="2493" t="s">
        <v>1962</v>
      </c>
      <c r="E27" s="1635"/>
      <c r="F27" s="3081"/>
      <c r="G27" s="3074"/>
      <c r="H27" s="3074"/>
      <c r="I27" s="3078"/>
      <c r="J27" s="3074"/>
      <c r="K27" s="3057"/>
      <c r="L27" s="3053"/>
      <c r="M27" s="3053"/>
      <c r="N27" s="3054"/>
      <c r="O27" s="3055"/>
      <c r="P27" s="3054"/>
      <c r="Q27" s="3054"/>
      <c r="R27" s="3054"/>
      <c r="S27" s="3054"/>
      <c r="T27" s="3054"/>
      <c r="U27" s="3054"/>
    </row>
    <row r="28" spans="1:21">
      <c r="A28" s="1673"/>
      <c r="B28" s="1670" t="s">
        <v>1963</v>
      </c>
      <c r="C28" s="1636"/>
      <c r="D28" s="2494" t="s">
        <v>1963</v>
      </c>
      <c r="E28" s="1637"/>
      <c r="F28" s="3081"/>
      <c r="G28" s="3074"/>
      <c r="H28" s="3074"/>
      <c r="I28" s="3078"/>
      <c r="J28" s="3074"/>
      <c r="K28" s="3057"/>
      <c r="L28" s="3053"/>
      <c r="M28" s="3053"/>
      <c r="N28" s="3054"/>
      <c r="O28" s="3055"/>
      <c r="P28" s="3054"/>
      <c r="Q28" s="3054"/>
      <c r="R28" s="3054"/>
      <c r="S28" s="3054"/>
      <c r="T28" s="3054"/>
      <c r="U28" s="3054"/>
    </row>
    <row r="29" spans="1:21">
      <c r="A29" s="1673"/>
      <c r="B29" s="1670" t="s">
        <v>1964</v>
      </c>
      <c r="C29" s="1636"/>
      <c r="D29" s="2494" t="s">
        <v>1964</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1965</v>
      </c>
      <c r="C30" s="1638"/>
      <c r="D30" s="2495" t="s">
        <v>1965</v>
      </c>
      <c r="E30" s="1639"/>
      <c r="F30" s="3082"/>
      <c r="G30" s="3079"/>
      <c r="H30" s="3079"/>
      <c r="I30" s="3080"/>
      <c r="J30" s="3074"/>
      <c r="K30" s="3057"/>
      <c r="L30" s="3053"/>
      <c r="M30" s="3053"/>
      <c r="N30" s="3054"/>
      <c r="O30" s="3055"/>
      <c r="P30" s="3054"/>
      <c r="Q30" s="3054"/>
      <c r="R30" s="3054"/>
      <c r="S30" s="3054"/>
      <c r="T30" s="3054"/>
      <c r="U30" s="3054"/>
    </row>
    <row r="31" spans="1:21" ht="15" thickTop="1">
      <c r="A31" s="3328" t="s">
        <v>1989</v>
      </c>
      <c r="B31" s="1681" t="s">
        <v>1990</v>
      </c>
      <c r="C31" s="3367"/>
      <c r="D31" s="3368"/>
      <c r="E31" s="3074"/>
      <c r="F31" s="3074"/>
      <c r="G31" s="3074"/>
      <c r="H31" s="3074"/>
      <c r="I31" s="3078"/>
      <c r="J31" s="3074"/>
      <c r="K31" s="3060"/>
      <c r="L31" s="3054"/>
      <c r="M31" s="3054"/>
      <c r="N31" s="3054"/>
      <c r="O31" s="3054"/>
      <c r="P31" s="3054"/>
      <c r="Q31" s="3054"/>
      <c r="R31" s="3054"/>
      <c r="S31" s="3054"/>
      <c r="T31" s="3054"/>
      <c r="U31" s="3054"/>
    </row>
    <row r="32" spans="1:21">
      <c r="A32" s="3328"/>
      <c r="B32" s="1588" t="s">
        <v>1991</v>
      </c>
      <c r="C32" s="1640"/>
      <c r="D32" s="1641"/>
      <c r="E32" s="3074"/>
      <c r="F32" s="3074"/>
      <c r="G32" s="3074"/>
      <c r="H32" s="3074"/>
      <c r="I32" s="3078"/>
      <c r="J32" s="3074"/>
      <c r="K32" s="3060"/>
      <c r="L32" s="3054"/>
      <c r="M32" s="3054"/>
      <c r="N32" s="3054"/>
      <c r="O32" s="3054"/>
      <c r="P32" s="3054"/>
      <c r="Q32" s="3054"/>
      <c r="R32" s="3054"/>
      <c r="S32" s="3054"/>
      <c r="T32" s="3054"/>
      <c r="U32" s="3054"/>
    </row>
    <row r="33" spans="1:28">
      <c r="A33" s="3328"/>
      <c r="B33" s="1588" t="s">
        <v>1992</v>
      </c>
      <c r="C33" s="1642"/>
      <c r="D33" s="1752"/>
      <c r="E33" s="3074"/>
      <c r="F33" s="3074"/>
      <c r="G33" s="3074"/>
      <c r="H33" s="3074"/>
      <c r="I33" s="3078"/>
      <c r="J33" s="3074"/>
      <c r="K33" s="3060"/>
      <c r="L33" s="3054"/>
      <c r="M33" s="3054"/>
      <c r="N33" s="3054"/>
      <c r="O33" s="3054"/>
      <c r="P33" s="3054"/>
      <c r="Q33" s="3054"/>
      <c r="R33" s="3054"/>
      <c r="S33" s="3054"/>
      <c r="T33" s="3054"/>
      <c r="U33" s="3054"/>
    </row>
    <row r="34" spans="1:28">
      <c r="A34" s="3329"/>
      <c r="B34" s="1588" t="s">
        <v>1993</v>
      </c>
      <c r="C34" s="3330"/>
      <c r="D34" s="3331"/>
      <c r="E34" s="3074"/>
      <c r="F34" s="3074"/>
      <c r="G34" s="3074"/>
      <c r="H34" s="3074"/>
      <c r="I34" s="3078"/>
      <c r="J34" s="3074"/>
      <c r="K34" s="3060"/>
      <c r="L34" s="3054"/>
      <c r="M34" s="3054"/>
      <c r="N34" s="3054"/>
      <c r="O34" s="3054"/>
      <c r="P34" s="3054"/>
      <c r="Q34" s="3054"/>
      <c r="R34" s="3054"/>
      <c r="S34" s="3054"/>
      <c r="T34" s="3054"/>
      <c r="U34" s="3054"/>
    </row>
    <row r="35" spans="1:28">
      <c r="A35" s="3332" t="s">
        <v>839</v>
      </c>
      <c r="B35" s="1643"/>
      <c r="C35" s="1690" t="str">
        <f>IF(B35="场地平整","——","具体情况：")</f>
        <v>具体情况：</v>
      </c>
      <c r="D35" s="3334"/>
      <c r="E35" s="3335"/>
      <c r="F35" s="3335"/>
      <c r="G35" s="3335"/>
      <c r="H35" s="3335"/>
      <c r="I35" s="3336"/>
      <c r="J35" s="3074"/>
      <c r="K35" s="3061"/>
      <c r="L35" s="3053"/>
      <c r="M35" s="3053"/>
      <c r="N35" s="3054"/>
      <c r="O35" s="3055"/>
      <c r="P35" s="3054"/>
      <c r="Q35" s="3054"/>
      <c r="R35" s="3054"/>
      <c r="S35" s="3054"/>
      <c r="T35" s="3054"/>
      <c r="U35" s="3054"/>
    </row>
    <row r="36" spans="1:28">
      <c r="A36" s="3328"/>
      <c r="B36" s="3337" t="s">
        <v>2042</v>
      </c>
      <c r="C36" s="3338"/>
      <c r="D36" s="1706"/>
      <c r="E36" s="3339"/>
      <c r="F36" s="3339"/>
      <c r="G36" s="1611" t="str">
        <f>IF(B35="场地未平整","估价结果处理","")</f>
        <v/>
      </c>
      <c r="H36" s="3340"/>
      <c r="I36" s="3340"/>
      <c r="J36" s="3074"/>
      <c r="K36" s="3061"/>
      <c r="L36" s="3053"/>
      <c r="M36" s="3053"/>
      <c r="N36" s="3054"/>
      <c r="O36" s="3055"/>
      <c r="P36" s="3054"/>
      <c r="Q36" s="3054"/>
      <c r="R36" s="3054"/>
      <c r="S36" s="3054"/>
      <c r="T36" s="3054"/>
      <c r="U36" s="3054"/>
    </row>
    <row r="37" spans="1:28" ht="28.5">
      <c r="A37" s="3328"/>
      <c r="B37" s="3358"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328"/>
      <c r="B38" s="3359"/>
      <c r="C38" s="1596" t="s">
        <v>842</v>
      </c>
      <c r="D38" s="1705">
        <f>ROUNDDOWN(MIN(('数据-取费表'!$B$2-D37)/365,D34),1)</f>
        <v>120.7</v>
      </c>
      <c r="E38" s="1648" t="s">
        <v>843</v>
      </c>
      <c r="F38" s="3074"/>
      <c r="G38" s="3074"/>
      <c r="H38" s="3074"/>
      <c r="I38" s="3078"/>
      <c r="J38" s="3074"/>
      <c r="K38" s="3061"/>
      <c r="L38" s="3054"/>
      <c r="M38" s="3054"/>
      <c r="N38" s="3054"/>
      <c r="O38" s="3054"/>
      <c r="P38" s="3054"/>
      <c r="Q38" s="3054"/>
      <c r="R38" s="3054"/>
      <c r="S38" s="3054"/>
      <c r="T38" s="3054"/>
      <c r="U38" s="3054"/>
    </row>
    <row r="39" spans="1:28">
      <c r="A39" s="3329"/>
      <c r="B39" s="3360"/>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1966</v>
      </c>
      <c r="B40" s="1612"/>
      <c r="C40" s="1612"/>
      <c r="D40" s="1612"/>
      <c r="E40" s="1612"/>
      <c r="F40" s="1612"/>
      <c r="G40" s="1612"/>
      <c r="H40" s="1612"/>
      <c r="I40" s="3078"/>
      <c r="J40" s="3074"/>
      <c r="K40" s="3022">
        <f>COUNTIF(B40:H40,"——")</f>
        <v>0</v>
      </c>
      <c r="L40" s="1620" t="s">
        <v>1967</v>
      </c>
      <c r="M40" s="1617" t="s">
        <v>1968</v>
      </c>
      <c r="N40" s="1617" t="s">
        <v>1969</v>
      </c>
      <c r="O40" s="1617" t="s">
        <v>1970</v>
      </c>
      <c r="P40" s="1617" t="s">
        <v>1971</v>
      </c>
      <c r="Q40" s="1617" t="s">
        <v>1972</v>
      </c>
      <c r="R40" s="1617" t="s">
        <v>1973</v>
      </c>
      <c r="S40" s="3341" t="s">
        <v>1974</v>
      </c>
      <c r="T40" s="1652" t="str">
        <f>NUMBERSTRING(7-K40,1)&amp;"通"</f>
        <v>七通</v>
      </c>
      <c r="U40" s="3054"/>
    </row>
    <row r="41" spans="1:28">
      <c r="A41" s="1590"/>
      <c r="B41" s="3333" t="s">
        <v>1712</v>
      </c>
      <c r="C41" s="3333"/>
      <c r="D41" s="3333"/>
      <c r="E41" s="3333"/>
      <c r="F41" s="1653">
        <f>C10</f>
        <v>0</v>
      </c>
      <c r="G41" s="3074"/>
      <c r="H41" s="3074"/>
      <c r="I41" s="3078"/>
      <c r="J41" s="3074"/>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41"/>
      <c r="T41" s="1654" t="str">
        <f>IF(T40="一通",L41,IF(T40="二通",M41,IF(T40="三通",N41,IF(T40="四通",O41,IF(T40="五通",P41,IF(T40="六通",Q41,R41))))))</f>
        <v>、、、、、、</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c r="C43" s="1658"/>
      <c r="D43" s="1658"/>
      <c r="E43" s="1658"/>
      <c r="F43" s="1659"/>
      <c r="G43" s="3074"/>
      <c r="H43" s="3074"/>
      <c r="I43" s="3078"/>
      <c r="J43" s="3074"/>
      <c r="K43" s="3057"/>
      <c r="L43" s="3053"/>
      <c r="M43" s="3053"/>
      <c r="N43" s="3054"/>
      <c r="O43" s="3055"/>
      <c r="P43" s="3054"/>
      <c r="Q43" s="3054"/>
      <c r="R43" s="3054"/>
      <c r="S43" s="3054"/>
      <c r="T43" s="3054"/>
      <c r="U43" s="3054"/>
    </row>
    <row r="44" spans="1:28">
      <c r="A44" s="3025" t="s">
        <v>1698</v>
      </c>
      <c r="B44" s="1658"/>
      <c r="C44" s="1658"/>
      <c r="D44" s="1658"/>
      <c r="E44" s="1706"/>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2867</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1994</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1995</v>
      </c>
      <c r="B48" s="1610" t="s">
        <v>1996</v>
      </c>
      <c r="C48" s="1610" t="s">
        <v>1997</v>
      </c>
      <c r="D48" s="1610" t="s">
        <v>1998</v>
      </c>
      <c r="E48" s="1610" t="s">
        <v>1999</v>
      </c>
      <c r="F48" s="1610" t="s">
        <v>2000</v>
      </c>
      <c r="G48" s="1610" t="s">
        <v>2001</v>
      </c>
      <c r="H48" s="1610" t="s">
        <v>2002</v>
      </c>
      <c r="I48" s="1610" t="s">
        <v>2003</v>
      </c>
      <c r="J48" s="1689" t="s">
        <v>2004</v>
      </c>
      <c r="K48" s="3067" t="s">
        <v>2005</v>
      </c>
      <c r="L48" s="3067" t="s">
        <v>2006</v>
      </c>
      <c r="M48" s="3067" t="s">
        <v>2007</v>
      </c>
      <c r="N48" s="3068" t="s">
        <v>2008</v>
      </c>
      <c r="O48" s="3068" t="s">
        <v>2009</v>
      </c>
      <c r="P48" s="3068" t="s">
        <v>2010</v>
      </c>
      <c r="Q48" s="3059" t="s">
        <v>2011</v>
      </c>
      <c r="R48" s="3059" t="s">
        <v>2012</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S23" sqref="AS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2320</v>
      </c>
      <c r="BA2" s="2220" t="s">
        <v>2319</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信息!B12</f>
        <v>74233.119999999995</v>
      </c>
      <c r="B3" s="22">
        <f>IF(C3="否",G5-AT5,G5)</f>
        <v>74233.119999999995</v>
      </c>
      <c r="C3" s="23" t="s">
        <v>3004</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74233.119999999995</v>
      </c>
      <c r="H5" s="27">
        <f t="shared" ref="H5:AT5" si="0">SUM(H13:H641)</f>
        <v>74233.119999999995</v>
      </c>
      <c r="I5" s="27">
        <f t="shared" si="0"/>
        <v>0</v>
      </c>
      <c r="J5" s="27">
        <f t="shared" si="0"/>
        <v>0</v>
      </c>
      <c r="K5" s="27">
        <f t="shared" si="0"/>
        <v>74233.119999999995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74233.119999999995</v>
      </c>
      <c r="BA5" s="29">
        <f t="shared" si="1"/>
        <v>74233.119999999995</v>
      </c>
      <c r="BB5" s="29">
        <f t="shared" si="1"/>
        <v>0</v>
      </c>
      <c r="BC5" s="29">
        <f t="shared" si="1"/>
        <v>74233.119999999995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74233.119999999995</v>
      </c>
      <c r="F6" s="27" t="s">
        <v>1</v>
      </c>
      <c r="G6" s="27" t="s">
        <v>2</v>
      </c>
      <c r="H6" s="33">
        <f>SUMIF(I$12:AB$12,"总值",I6:AB6)</f>
        <v>74233.119999999995</v>
      </c>
      <c r="I6" s="27">
        <f t="shared" ref="I6:AB6" si="2">ROUND($A$3*I5/$B$3,2)</f>
        <v>0</v>
      </c>
      <c r="J6" s="27">
        <f t="shared" si="2"/>
        <v>0</v>
      </c>
      <c r="K6" s="27">
        <f t="shared" si="2"/>
        <v>74233.119999999995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74233.119999999995</v>
      </c>
      <c r="AZ6" s="27" t="s">
        <v>3</v>
      </c>
      <c r="BA6" s="27">
        <f>ROUND($AY$6*BA5/$AZ$5,2)</f>
        <v>74233.119999999995</v>
      </c>
      <c r="BB6" s="27">
        <f>ROUND($AY$6*BB5/$AZ$5,2)</f>
        <v>0</v>
      </c>
      <c r="BC6" s="27">
        <f t="shared" ref="BC6:BH6" si="4">ROUND($AY$6*BC5/$AZ$5,2)</f>
        <v>74233.119999999995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2990</v>
      </c>
      <c r="J9" s="51"/>
      <c r="K9" s="2732" t="s">
        <v>2990</v>
      </c>
      <c r="L9" s="51"/>
      <c r="M9" s="2732" t="s">
        <v>2991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914</v>
      </c>
      <c r="J10" s="51"/>
      <c r="K10" s="2734" t="s">
        <v>3002</v>
      </c>
      <c r="L10" s="51"/>
      <c r="M10" s="2734" t="s">
        <v>3003</v>
      </c>
      <c r="N10" s="51"/>
      <c r="O10" s="66"/>
      <c r="P10" s="51"/>
      <c r="Q10" s="66"/>
      <c r="R10" s="51"/>
      <c r="S10" s="66"/>
      <c r="T10" s="51"/>
      <c r="U10" s="66"/>
      <c r="V10" s="51"/>
      <c r="W10" s="66"/>
      <c r="X10" s="51"/>
      <c r="Y10" s="66"/>
      <c r="Z10" s="51"/>
      <c r="AA10" s="66"/>
      <c r="AB10" s="51"/>
      <c r="AC10" s="55"/>
      <c r="AD10" s="2194" t="s">
        <v>2304</v>
      </c>
      <c r="AE10" s="2216"/>
      <c r="AF10" s="2194" t="s">
        <v>2304</v>
      </c>
      <c r="AG10" s="2216"/>
      <c r="AH10" s="2194" t="s">
        <v>2305</v>
      </c>
      <c r="AI10" s="2216"/>
      <c r="AJ10" s="26" t="s">
        <v>2318</v>
      </c>
      <c r="AK10" s="2213"/>
      <c r="AL10" s="2194" t="s">
        <v>2306</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t="s">
        <v>2993</v>
      </c>
      <c r="J11" s="71"/>
      <c r="K11" s="2733" t="s">
        <v>2994</v>
      </c>
      <c r="L11" s="71"/>
      <c r="M11" s="70" t="s">
        <v>3003</v>
      </c>
      <c r="N11" s="71"/>
      <c r="O11" s="70"/>
      <c r="P11" s="71"/>
      <c r="Q11" s="70"/>
      <c r="R11" s="71"/>
      <c r="S11" s="70"/>
      <c r="T11" s="71"/>
      <c r="U11" s="70"/>
      <c r="V11" s="71"/>
      <c r="W11" s="70"/>
      <c r="X11" s="71"/>
      <c r="Y11" s="70"/>
      <c r="Z11" s="71"/>
      <c r="AA11" s="70"/>
      <c r="AB11" s="71"/>
      <c r="AC11" s="55"/>
      <c r="AD11" s="2214" t="s">
        <v>2317</v>
      </c>
      <c r="AE11" s="990"/>
      <c r="AF11" s="2214" t="s">
        <v>2317</v>
      </c>
      <c r="AG11" s="990"/>
      <c r="AH11" s="2214" t="s">
        <v>2316</v>
      </c>
      <c r="AI11" s="2215"/>
      <c r="AJ11" s="2214" t="s">
        <v>2316</v>
      </c>
      <c r="AK11" s="2213"/>
      <c r="AL11" s="988"/>
      <c r="AM11" s="990"/>
      <c r="AN11" s="988"/>
      <c r="AO11" s="990"/>
      <c r="AP11" s="1171"/>
      <c r="AQ11" s="1173"/>
      <c r="AR11" s="1171"/>
      <c r="AS11" s="1173"/>
      <c r="AT11" s="991"/>
      <c r="AU11" s="45"/>
      <c r="AV11" s="55"/>
      <c r="AW11" s="991"/>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叠拼</v>
      </c>
      <c r="BC12" s="79" t="str">
        <f>K11</f>
        <v>底商</v>
      </c>
      <c r="BD12" s="79" t="str">
        <f>M11</f>
        <v>车库</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7"/>
      <c r="B13" s="2727"/>
      <c r="C13" s="2727"/>
      <c r="D13" s="2728" t="s">
        <v>1669</v>
      </c>
      <c r="E13" s="27">
        <f t="shared" ref="E13:E20" si="6">IF($C$3="是",ROUND($A$3*G13/$B$3,2),ROUND($A$3*(G13-AT13)/$B$3,2))</f>
        <v>74233.119999999995</v>
      </c>
      <c r="F13" s="81"/>
      <c r="G13" s="82">
        <f t="shared" ref="G13:G20" si="7">H13+AC13+AT13</f>
        <v>74233.119999999995</v>
      </c>
      <c r="H13" s="33">
        <f t="shared" ref="H13:H20" si="8">SUMIF(I$12:AB$12,"总值",I13:AB13)</f>
        <v>74233.119999999995</v>
      </c>
      <c r="I13" s="2731"/>
      <c r="J13" s="2731"/>
      <c r="K13" s="2731">
        <f>信息!B12</f>
        <v>74233.119999999995</v>
      </c>
      <c r="L13" s="2731"/>
      <c r="M13" s="2731"/>
      <c r="N13" s="83"/>
      <c r="O13" s="83"/>
      <c r="P13" s="83"/>
      <c r="Q13" s="83"/>
      <c r="R13" s="83"/>
      <c r="S13" s="83"/>
      <c r="T13" s="83"/>
      <c r="U13" s="83"/>
      <c r="V13" s="83"/>
      <c r="W13" s="83"/>
      <c r="X13" s="83"/>
      <c r="Y13" s="83"/>
      <c r="Z13" s="83"/>
      <c r="AA13" s="83"/>
      <c r="AB13" s="83"/>
      <c r="AC13" s="27">
        <f t="shared" ref="AC13:AC20" si="9">SUMIF(AD$12:AS$12,"总值",AD13:AS13)</f>
        <v>0</v>
      </c>
      <c r="AD13" s="2735"/>
      <c r="AE13" s="2735"/>
      <c r="AF13" s="2735"/>
      <c r="AG13" s="2735"/>
      <c r="AH13" s="2735"/>
      <c r="AI13" s="2735"/>
      <c r="AJ13" s="2735"/>
      <c r="AK13" s="2735"/>
      <c r="AL13" s="2735"/>
      <c r="AM13" s="2735"/>
      <c r="AN13" s="2735"/>
      <c r="AO13" s="2735"/>
      <c r="AP13" s="2735"/>
      <c r="AQ13" s="2735"/>
      <c r="AR13" s="2735"/>
      <c r="AS13" s="2735"/>
      <c r="AT13" s="2736"/>
      <c r="AU13" s="2737"/>
      <c r="AV13" s="17">
        <f t="shared" ref="AV13:AX20" si="10">A13</f>
        <v>0</v>
      </c>
      <c r="AW13" s="17">
        <f t="shared" si="10"/>
        <v>0</v>
      </c>
      <c r="AX13" s="17">
        <f t="shared" si="10"/>
        <v>0</v>
      </c>
      <c r="AY13" s="984">
        <f t="shared" ref="AY13:AY20" si="11">ROUND($AY$6*AZ13/$AZ$5,2)</f>
        <v>74233.119999999995</v>
      </c>
      <c r="AZ13" s="27">
        <f t="shared" ref="AZ13:AZ20" si="12">BA13+BL13</f>
        <v>74233.119999999995</v>
      </c>
      <c r="BA13" s="27">
        <f t="shared" ref="BA13:BA20" si="13">SUM(BB13:BK13)</f>
        <v>74233.119999999995</v>
      </c>
      <c r="BB13" s="27">
        <f t="shared" ref="BB13:BB20" si="14">IF($D13="是",I13-J13,0)</f>
        <v>0</v>
      </c>
      <c r="BC13" s="27">
        <f t="shared" ref="BC13:BC20" si="15">IF($D13="是",K13-L13,0)</f>
        <v>74233.119999999995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7"/>
      <c r="B14" s="2727"/>
      <c r="C14" s="2729"/>
      <c r="D14" s="2728"/>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9" t="s">
        <v>0</v>
      </c>
      <c r="B1" s="3369" t="s">
        <v>4</v>
      </c>
      <c r="C1" s="3369" t="s">
        <v>5</v>
      </c>
      <c r="D1" s="3370" t="s">
        <v>40</v>
      </c>
      <c r="E1" s="3370" t="s">
        <v>41</v>
      </c>
      <c r="F1" s="3370"/>
      <c r="G1" s="3370"/>
      <c r="H1" s="3370"/>
      <c r="I1" s="3370"/>
      <c r="J1" s="3370"/>
      <c r="K1" s="3370"/>
      <c r="L1" s="3370"/>
      <c r="M1" s="3370"/>
    </row>
    <row r="2" spans="1:13" ht="27" customHeight="1">
      <c r="A2" s="3369"/>
      <c r="B2" s="3369"/>
      <c r="C2" s="3369"/>
      <c r="D2" s="3370"/>
      <c r="E2" s="3370" t="s">
        <v>24</v>
      </c>
      <c r="F2" s="3370" t="s">
        <v>25</v>
      </c>
      <c r="G2" s="3370"/>
      <c r="H2" s="3370"/>
      <c r="I2" s="3370"/>
      <c r="J2" s="3370" t="s">
        <v>26</v>
      </c>
      <c r="K2" s="3370"/>
      <c r="L2" s="3370"/>
      <c r="M2" s="3370"/>
    </row>
    <row r="3" spans="1:13" ht="28.5">
      <c r="A3" s="3369"/>
      <c r="B3" s="3369"/>
      <c r="C3" s="3369"/>
      <c r="D3" s="3370"/>
      <c r="E3" s="33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0" t="s">
        <v>42</v>
      </c>
      <c r="B9" s="3370"/>
      <c r="C9" s="33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Normal="70" zoomScaleSheetLayoutView="100" workbookViewId="0">
      <selection activeCell="F23" sqref="F23"/>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80" t="s">
        <v>203</v>
      </c>
      <c r="B2" s="3380"/>
      <c r="C2" s="3380"/>
      <c r="D2" s="1889" t="s">
        <v>204</v>
      </c>
      <c r="E2" s="106" t="s">
        <v>205</v>
      </c>
      <c r="F2" s="3083"/>
      <c r="G2" s="1181"/>
      <c r="H2" s="1182"/>
      <c r="I2" s="1183" t="s">
        <v>849</v>
      </c>
      <c r="J2" s="3083"/>
      <c r="K2" s="3083"/>
      <c r="L2" s="3083"/>
      <c r="M2" s="3083"/>
      <c r="N2" s="3083"/>
      <c r="O2" s="3083"/>
      <c r="P2" s="3083"/>
    </row>
    <row r="3" spans="1:16" ht="15.75" thickBot="1">
      <c r="A3" s="3381" t="s">
        <v>206</v>
      </c>
      <c r="B3" s="3381"/>
      <c r="C3" s="3381"/>
      <c r="D3" s="107">
        <f>'数据-基础表'!AY6</f>
        <v>74233.119999999995</v>
      </c>
      <c r="E3" s="107">
        <f>'数据-基础表'!AZ5</f>
        <v>74233.119999999995</v>
      </c>
      <c r="F3" s="3083"/>
      <c r="G3" s="278" t="s">
        <v>850</v>
      </c>
      <c r="H3" s="273" t="s">
        <v>851</v>
      </c>
      <c r="I3" s="1890">
        <f>ROUND('数据-基础表'!B3/'数据-基础表'!A3,2)</f>
        <v>1</v>
      </c>
      <c r="J3" s="3083"/>
      <c r="K3" s="3083"/>
      <c r="L3" s="3083"/>
      <c r="M3" s="3083"/>
      <c r="N3" s="3083"/>
      <c r="O3" s="3083"/>
      <c r="P3" s="3083"/>
    </row>
    <row r="4" spans="1:16" ht="15">
      <c r="A4" s="3382"/>
      <c r="B4" s="3383"/>
      <c r="C4" s="3384"/>
      <c r="D4" s="108" t="s">
        <v>204</v>
      </c>
      <c r="E4" s="109" t="s">
        <v>205</v>
      </c>
      <c r="F4" s="3083"/>
      <c r="G4" s="1184"/>
      <c r="H4" s="273" t="s">
        <v>852</v>
      </c>
      <c r="I4" s="1890">
        <f>ROUND(SUMIF('数据-基础表'!I9:AS9,"地上",'数据-基础表'!I5:AS5)/'数据-基础表'!A3,2)</f>
        <v>1</v>
      </c>
      <c r="J4" s="3083"/>
      <c r="K4" s="3083"/>
      <c r="L4" s="3083"/>
      <c r="M4" s="3083"/>
      <c r="N4" s="3083"/>
      <c r="O4" s="3083"/>
      <c r="P4" s="3083"/>
    </row>
    <row r="5" spans="1:16">
      <c r="A5" s="110" t="s">
        <v>207</v>
      </c>
      <c r="B5" s="3385" t="s">
        <v>230</v>
      </c>
      <c r="C5" s="3385"/>
      <c r="D5" s="111">
        <f>ROUND($D$3*E5/$E$3,2)</f>
        <v>0</v>
      </c>
      <c r="E5" s="112">
        <f>SUMIF('数据-基础表'!$11:$11,"住宅",'数据-基础表'!$5:$5)</f>
        <v>0</v>
      </c>
      <c r="F5" s="3083"/>
      <c r="G5" s="278" t="s">
        <v>853</v>
      </c>
      <c r="H5" s="273" t="s">
        <v>851</v>
      </c>
      <c r="I5" s="1890">
        <f>ROUND(E31/D31,2)</f>
        <v>1</v>
      </c>
      <c r="J5" s="3083"/>
      <c r="K5" s="3083"/>
      <c r="L5" s="3083"/>
      <c r="M5" s="3083"/>
      <c r="N5" s="3083"/>
      <c r="O5" s="3083"/>
      <c r="P5" s="3083"/>
    </row>
    <row r="6" spans="1:16" ht="15" thickBot="1">
      <c r="A6" s="113"/>
      <c r="B6" s="3385" t="s">
        <v>208</v>
      </c>
      <c r="C6" s="3385"/>
      <c r="D6" s="111">
        <f>ROUND($D$3*E6/$E$3,2)</f>
        <v>74233.119999999995</v>
      </c>
      <c r="E6" s="112">
        <f>E3-E5</f>
        <v>74233.119999999995</v>
      </c>
      <c r="F6" s="3083"/>
      <c r="G6" s="1184"/>
      <c r="H6" s="273" t="s">
        <v>852</v>
      </c>
      <c r="I6" s="1890">
        <f>ROUND(F31/D31,2)</f>
        <v>1</v>
      </c>
      <c r="J6" s="3083"/>
      <c r="K6" s="3083"/>
      <c r="L6" s="3083"/>
      <c r="M6" s="3083"/>
      <c r="N6" s="3083"/>
      <c r="O6" s="3083"/>
      <c r="P6" s="3083"/>
    </row>
    <row r="7" spans="1:16" ht="15">
      <c r="A7" s="3377"/>
      <c r="B7" s="3378"/>
      <c r="C7" s="3379"/>
      <c r="D7" s="108" t="s">
        <v>204</v>
      </c>
      <c r="E7" s="114" t="s">
        <v>231</v>
      </c>
      <c r="F7" s="3083"/>
      <c r="G7" s="1139" t="s">
        <v>1636</v>
      </c>
      <c r="H7" s="1140"/>
      <c r="I7" s="1760">
        <v>4</v>
      </c>
      <c r="J7" s="3083"/>
      <c r="K7" s="3083"/>
      <c r="L7" s="3083"/>
      <c r="M7" s="3083"/>
      <c r="N7" s="3083"/>
      <c r="O7" s="3083"/>
      <c r="P7" s="3083"/>
    </row>
    <row r="8" spans="1:16">
      <c r="A8" s="110" t="s">
        <v>209</v>
      </c>
      <c r="B8" s="115" t="s">
        <v>210</v>
      </c>
      <c r="C8" s="111" t="s">
        <v>211</v>
      </c>
      <c r="D8" s="111">
        <f t="shared" ref="D8:D15" si="0">ROUND($D$3*E8/$E$3,2)</f>
        <v>74233.119999999995</v>
      </c>
      <c r="E8" s="116">
        <f>SUMIF('数据-基础表'!BB10:BK10,"地上",'数据-基础表'!BB5:BK5)</f>
        <v>74233.119999999995</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0</v>
      </c>
      <c r="E10" s="116">
        <f>SUMPRODUCT(('数据-基础表'!BB10:BK10="地下")*('数据-基础表'!BB11:BK11="商业")*('数据-基础表'!BB5:BK5))</f>
        <v>0</v>
      </c>
      <c r="F10" s="3083"/>
      <c r="G10" s="3084"/>
      <c r="H10" s="3084"/>
      <c r="I10" s="3083"/>
      <c r="J10" s="3083"/>
      <c r="K10" s="3083"/>
      <c r="L10" s="3083"/>
      <c r="M10" s="3083"/>
      <c r="N10" s="3083"/>
      <c r="O10" s="3083"/>
      <c r="P10" s="3083"/>
    </row>
    <row r="11" spans="1:16">
      <c r="A11" s="117"/>
      <c r="B11" s="118"/>
      <c r="C11" s="2211" t="s">
        <v>2314</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2321</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0</v>
      </c>
      <c r="E15" s="116">
        <f>SUMPRODUCT(('数据-基础表'!BB10:BK10="地下")*('数据-基础表'!BB11:BK11="车库—办公")*('数据-基础表'!BB5:BK5))</f>
        <v>0</v>
      </c>
      <c r="F15" s="3083"/>
      <c r="G15" s="3084"/>
      <c r="H15" s="3084"/>
      <c r="I15" s="3083"/>
      <c r="J15" s="3083"/>
      <c r="K15" s="3083"/>
      <c r="L15" s="3083"/>
      <c r="M15" s="3083"/>
      <c r="N15" s="3083"/>
      <c r="O15" s="3083"/>
      <c r="P15" s="3083"/>
    </row>
    <row r="16" spans="1:16" ht="15.75" thickBot="1">
      <c r="A16" s="113"/>
      <c r="B16" s="118"/>
      <c r="C16" s="115" t="s">
        <v>215</v>
      </c>
      <c r="D16" s="115">
        <f>SUM(D8:D15)</f>
        <v>74233.119999999995</v>
      </c>
      <c r="E16" s="120">
        <f>SUM(E8:E15)</f>
        <v>74233.119999999995</v>
      </c>
      <c r="F16" s="3083"/>
      <c r="G16" s="3084"/>
      <c r="H16" s="956" t="s">
        <v>219</v>
      </c>
      <c r="I16" s="957"/>
      <c r="J16" s="1898"/>
      <c r="K16" s="3371" t="s">
        <v>2547</v>
      </c>
      <c r="L16" s="3372"/>
      <c r="M16" s="3372"/>
      <c r="N16" s="3372"/>
      <c r="O16" s="3372"/>
      <c r="P16" s="3373"/>
    </row>
    <row r="17" spans="1:19" ht="15">
      <c r="A17" s="121" t="s">
        <v>216</v>
      </c>
      <c r="B17" s="122" t="s">
        <v>217</v>
      </c>
      <c r="C17" s="2178" t="s">
        <v>2300</v>
      </c>
      <c r="D17" s="108" t="s">
        <v>204</v>
      </c>
      <c r="E17" s="124" t="s">
        <v>205</v>
      </c>
      <c r="F17" s="125"/>
      <c r="G17" s="1319"/>
      <c r="H17" s="958" t="s">
        <v>218</v>
      </c>
      <c r="I17" s="959" t="s">
        <v>2299</v>
      </c>
      <c r="J17" s="1898"/>
      <c r="K17" s="3374" t="s">
        <v>2548</v>
      </c>
      <c r="L17" s="3375"/>
      <c r="M17" s="3376"/>
      <c r="N17" s="3374" t="s">
        <v>2549</v>
      </c>
      <c r="O17" s="3375"/>
      <c r="P17" s="3376"/>
      <c r="R17" s="2179" t="s">
        <v>2298</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2296</v>
      </c>
      <c r="S18" s="2180" t="s">
        <v>2297</v>
      </c>
    </row>
    <row r="19" spans="1:19">
      <c r="A19" s="133"/>
      <c r="B19" s="115" t="s">
        <v>225</v>
      </c>
      <c r="C19" s="2738" t="s">
        <v>3005</v>
      </c>
      <c r="D19" s="111">
        <f t="shared" ref="D19:D26" si="1">ROUND($D$3*E19/$E$3,2)</f>
        <v>0</v>
      </c>
      <c r="E19" s="134">
        <f t="shared" ref="E19:E26" si="2">SUM(F19:G19)</f>
        <v>0</v>
      </c>
      <c r="F19" s="3085">
        <f>'数据-基础表'!I13</f>
        <v>0</v>
      </c>
      <c r="G19" s="3086"/>
      <c r="H19" s="962" t="e">
        <f>ROUND($D$3*I19/$E$3,2)</f>
        <v>#DIV/0!</v>
      </c>
      <c r="I19" s="116" t="e">
        <f>IF($I$17="自定义",P19,M19)</f>
        <v>#DIV/0!</v>
      </c>
      <c r="J19" s="1898"/>
      <c r="K19" s="2452">
        <f t="shared" ref="K19:K26" si="3">ROUND(E$28*E19/E$27,2)</f>
        <v>0</v>
      </c>
      <c r="L19" s="273" t="e">
        <f t="shared" ref="L19:L26" si="4">ROUND(IF(COUNTIF(C19,"*住宅*")&gt;0,E$29*E19/E$32,0),2)</f>
        <v>#DIV/0!</v>
      </c>
      <c r="M19" s="2453" t="e">
        <f>K19+L19</f>
        <v>#DIV/0!</v>
      </c>
      <c r="N19" s="2454"/>
      <c r="O19" s="2455"/>
      <c r="P19" s="2456">
        <f>N19+O19</f>
        <v>0</v>
      </c>
      <c r="R19" s="273" t="e">
        <f t="shared" ref="R19:S26" si="5">D19+H19</f>
        <v>#DIV/0!</v>
      </c>
      <c r="S19" s="2181" t="e">
        <f t="shared" si="5"/>
        <v>#DIV/0!</v>
      </c>
    </row>
    <row r="20" spans="1:19">
      <c r="A20" s="137"/>
      <c r="B20" s="115" t="s">
        <v>226</v>
      </c>
      <c r="C20" s="2738" t="s">
        <v>3006</v>
      </c>
      <c r="D20" s="111">
        <f t="shared" si="1"/>
        <v>74233.119999999995</v>
      </c>
      <c r="E20" s="134">
        <f t="shared" si="2"/>
        <v>74233.119999999995</v>
      </c>
      <c r="F20" s="3085">
        <f>'数据-基础表'!K13</f>
        <v>74233.119999999995</v>
      </c>
      <c r="G20" s="3086"/>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74233.119999999995</v>
      </c>
      <c r="S20" s="2181">
        <f t="shared" si="5"/>
        <v>74233.119999999995</v>
      </c>
    </row>
    <row r="21" spans="1:19">
      <c r="A21" s="137"/>
      <c r="B21" s="115" t="s">
        <v>226</v>
      </c>
      <c r="C21" s="2738" t="s">
        <v>3007</v>
      </c>
      <c r="D21" s="111">
        <f t="shared" si="1"/>
        <v>0</v>
      </c>
      <c r="E21" s="134">
        <f t="shared" si="2"/>
        <v>0</v>
      </c>
      <c r="F21" s="3085"/>
      <c r="G21" s="3086">
        <f>'数据-基础表'!M13</f>
        <v>0</v>
      </c>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29.25" thickBot="1">
      <c r="A27" s="137"/>
      <c r="B27" s="111"/>
      <c r="C27" s="127" t="s">
        <v>215</v>
      </c>
      <c r="D27" s="134">
        <f>SUM(D19:D26)</f>
        <v>74233.119999999995</v>
      </c>
      <c r="E27" s="141">
        <f>IF(SUM(E19:E26)='数据-基础表'!BA5,SUM(E19:E26),IF(F27="地上面积有误","面积有误","地下面积有误"))</f>
        <v>74233.119999999995</v>
      </c>
      <c r="F27" s="134">
        <f>IF(SUM(F19:F26)=E8,SUM(F19:F26),"地上面积有误")</f>
        <v>74233.119999999995</v>
      </c>
      <c r="G27" s="112">
        <f>SUM(G19:G26)</f>
        <v>0</v>
      </c>
      <c r="H27" s="963" t="e">
        <f>SUM(H19:H26)</f>
        <v>#DIV/0!</v>
      </c>
      <c r="I27" s="964" t="e">
        <f>SUM(I19:I26)</f>
        <v>#DIV/0!</v>
      </c>
      <c r="J27" s="1898"/>
      <c r="K27" s="2461">
        <f>SUM(K19:K26)</f>
        <v>0</v>
      </c>
      <c r="L27" s="2462" t="e">
        <f>SUM(L19:L26)</f>
        <v>#DIV/0!</v>
      </c>
      <c r="M27" s="2463" t="e">
        <f>SUM(M19:M26)</f>
        <v>#DIV/0!</v>
      </c>
      <c r="N27" s="2461">
        <f t="shared" ref="N27:O27" si="10">SUM(N19:N26)</f>
        <v>0</v>
      </c>
      <c r="O27" s="2462">
        <f t="shared" si="10"/>
        <v>0</v>
      </c>
      <c r="P27" s="2464">
        <f>SUM(P19:P26)</f>
        <v>0</v>
      </c>
      <c r="R27" s="2185" t="e">
        <f>IF(SUM(R19:R26)=$D$3,SUM(R19:R26),SUM(R19:R26)&amp;"误差"&amp;ROUND(SUM(R19:R26)-$D$3,2))</f>
        <v>#DIV/0!</v>
      </c>
      <c r="S27" s="273" t="e">
        <f>IF(SUM(S19:S26)=$E$3,SUM(S19:S26),SUM(S19:S26)&amp;"误差"&amp;ROUND(SUM(S19:S26)-E3,2))</f>
        <v>#DIV/0!</v>
      </c>
    </row>
    <row r="28" spans="1:19">
      <c r="A28" s="137"/>
      <c r="B28" s="115" t="s">
        <v>227</v>
      </c>
      <c r="C28" s="135" t="s">
        <v>228</v>
      </c>
      <c r="D28" s="111">
        <f>ROUND($D$3*E28/$E$3,2)</f>
        <v>0</v>
      </c>
      <c r="E28" s="134">
        <f>SUM(F28:G28)</f>
        <v>0</v>
      </c>
      <c r="F28" s="142">
        <f>'数据-基础表'!BQ5+'数据-基础表'!BS5</f>
        <v>0</v>
      </c>
      <c r="G28" s="143">
        <f>'数据-基础表'!BR5+'数据-基础表'!BT5</f>
        <v>0</v>
      </c>
      <c r="H28" s="3083"/>
      <c r="I28" s="3083"/>
      <c r="J28" s="3083"/>
      <c r="K28" s="3083"/>
      <c r="L28" s="3083"/>
      <c r="M28" s="3083"/>
      <c r="N28" s="3083"/>
      <c r="O28" s="3083"/>
      <c r="P28" s="3083"/>
    </row>
    <row r="29" spans="1:19">
      <c r="A29" s="137"/>
      <c r="B29" s="115" t="s">
        <v>227</v>
      </c>
      <c r="C29" s="2193" t="s">
        <v>2307</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c r="A30" s="137"/>
      <c r="B30" s="111"/>
      <c r="C30" s="145" t="s">
        <v>215</v>
      </c>
      <c r="D30" s="134">
        <f>SUM(D28:D29)</f>
        <v>0</v>
      </c>
      <c r="E30" s="134">
        <f>SUM(E28:E29)</f>
        <v>0</v>
      </c>
      <c r="F30" s="134">
        <f>SUM(F28:F29)</f>
        <v>0</v>
      </c>
      <c r="G30" s="112">
        <f>SUM(G28:G29)</f>
        <v>0</v>
      </c>
      <c r="H30" s="3083"/>
      <c r="I30" s="3083"/>
      <c r="J30" s="3083"/>
      <c r="K30" s="3083"/>
      <c r="L30" s="3083"/>
      <c r="M30" s="3083"/>
      <c r="N30" s="3083"/>
      <c r="O30" s="3083"/>
      <c r="P30" s="3083"/>
    </row>
    <row r="31" spans="1:19" ht="32.25" customHeight="1" thickBot="1">
      <c r="A31" s="1321"/>
      <c r="B31" s="1322" t="s">
        <v>229</v>
      </c>
      <c r="C31" s="2210" t="s">
        <v>2309</v>
      </c>
      <c r="D31" s="1323">
        <f>D27+D30</f>
        <v>74233.119999999995</v>
      </c>
      <c r="E31" s="1323">
        <f>E27+E30</f>
        <v>74233.119999999995</v>
      </c>
      <c r="F31" s="1324">
        <f>F27+F30</f>
        <v>74233.119999999995</v>
      </c>
      <c r="G31" s="1325">
        <f>G27+G30</f>
        <v>0</v>
      </c>
      <c r="H31" s="3083"/>
      <c r="I31" s="3083"/>
      <c r="J31" s="3083"/>
      <c r="K31" s="3083"/>
      <c r="L31" s="3083"/>
      <c r="M31" s="3083"/>
      <c r="N31" s="3083"/>
      <c r="O31" s="3083"/>
      <c r="P31" s="3083"/>
    </row>
    <row r="32" spans="1:19">
      <c r="A32" s="1898"/>
      <c r="B32" s="2222" t="s">
        <v>2308</v>
      </c>
      <c r="C32" s="2489"/>
      <c r="D32" s="1184"/>
      <c r="E32" s="1184">
        <f>SUMIF(C19:C26,"*住宅*",E19:E26)</f>
        <v>0</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O6" activePane="bottomRight" state="frozen"/>
      <selection pane="topRight" activeCell="D1" sqref="D1"/>
      <selection pane="bottomLeft" activeCell="A4" sqref="A4"/>
      <selection pane="bottomRight" activeCell="W36" sqref="W36"/>
    </sheetView>
  </sheetViews>
  <sheetFormatPr defaultColWidth="13.75" defaultRowHeight="12.75"/>
  <cols>
    <col min="1" max="1" width="20.875" style="1199" customWidth="1"/>
    <col min="2" max="3" width="12" style="1186" customWidth="1"/>
    <col min="4" max="4" width="9.125" style="1200" customWidth="1"/>
    <col min="5" max="5" width="20.625" style="1186"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44070</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2310</v>
      </c>
      <c r="AI5" s="169" t="s">
        <v>2279</v>
      </c>
      <c r="AJ5" s="169" t="s">
        <v>258</v>
      </c>
      <c r="AK5" s="157" t="s">
        <v>259</v>
      </c>
      <c r="AL5" s="157" t="s">
        <v>260</v>
      </c>
      <c r="AM5" s="170" t="s">
        <v>261</v>
      </c>
      <c r="AN5" s="2246" t="s">
        <v>2357</v>
      </c>
      <c r="AO5" s="3104"/>
      <c r="AP5" s="3089" t="s">
        <v>2963</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住宅</v>
      </c>
      <c r="B6" s="2217" t="str">
        <f>IF(A6=0,"","经营性")</f>
        <v>经营性</v>
      </c>
      <c r="C6" s="171"/>
      <c r="D6" s="2188">
        <f>SUMIF(项目基本情况!D$15:I$15,C6,项目基本情况!D$18:I$18)</f>
        <v>0</v>
      </c>
      <c r="E6" s="2189">
        <f>IF(B6="","",SUMIF(项目基本情况!D$15:I$15,C6,项目基本情况!D$17:I$17))</f>
        <v>0</v>
      </c>
      <c r="F6" s="172">
        <f>SUMIF(项目基本情况!D$15:I$15,C6,项目基本情况!D$19:I$19)</f>
        <v>0</v>
      </c>
      <c r="G6" s="173">
        <f>IF(ISERROR(ROUND(POWER(1+H6,D6-F6)*(POWER(1+H6,F6)-1)/(POWER(1+H6,D6)-1),3)),0,ROUND(POWER(1+H6,D6-F6)*(POWER(1+H6,F6)-1)/(POWER(1+H6,D6)-1),3))</f>
        <v>0</v>
      </c>
      <c r="H6" s="2739"/>
      <c r="I6" s="2739"/>
      <c r="J6" s="174"/>
      <c r="K6" s="177">
        <f>SUMIF('数据-汇总表'!C$19:C$33,'数据-取费表'!A6,'数据-汇总表'!E$19:E$33)</f>
        <v>0</v>
      </c>
      <c r="L6" s="2740"/>
      <c r="M6" s="175">
        <f t="shared" ref="M6:M14" si="0">ROUND(K6*L6/10000,0)</f>
        <v>0</v>
      </c>
      <c r="N6" s="2741"/>
      <c r="O6" s="175">
        <f>IF($N$5="成新度","——",ROUND(M6*N6,0))</f>
        <v>0</v>
      </c>
      <c r="P6" s="176">
        <f>IF($N$5="成新度","——",M6-O6)</f>
        <v>0</v>
      </c>
      <c r="Q6" s="2742"/>
      <c r="R6" s="177" t="e">
        <f>SUMIF('数据-汇总表'!C$19:C$33,A6,'数据-汇总表'!R$19:R$33)</f>
        <v>#DIV/0!</v>
      </c>
      <c r="S6" s="132">
        <f>IF('数据-汇总表'!$I$17="按面积比例",SUMIF('数据-汇总表'!C$19:C$33,A6,'数据-汇总表'!K$19:K$33),SUMIF('数据-汇总表'!C$19:C$33,A6,'数据-汇总表'!N$19:N$33))</f>
        <v>0</v>
      </c>
      <c r="T6" s="2114" t="str">
        <f>IF($T$4="按面积比例",IF(ISERROR(ROUND($M$14*S6/S$16,0)),"0",ROUND($M$14*S6/S$16,0)),"需自行计算录入")</f>
        <v>0</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3"/>
      <c r="AN6" s="2247"/>
      <c r="AO6" s="3093"/>
      <c r="AP6" s="1187">
        <f>ROUND(1-1/(1+H6)^F6,3)</f>
        <v>0</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t="str">
        <f>'数据-汇总表'!C20</f>
        <v>商业</v>
      </c>
      <c r="B7" s="2217" t="str">
        <f t="shared" ref="B7:B13" si="1">IF(A7=0,"","经营性")</f>
        <v>经营性</v>
      </c>
      <c r="C7" s="171" t="s">
        <v>3002</v>
      </c>
      <c r="D7" s="2188">
        <f>SUMIF(项目基本情况!D$15:I$15,C7,项目基本情况!D$18:I$18)</f>
        <v>40</v>
      </c>
      <c r="E7" s="2189">
        <f>IF(B7="","",SUMIF(项目基本情况!D$15:I$15,C7,项目基本情况!D$17:I$17))</f>
        <v>57692</v>
      </c>
      <c r="F7" s="172">
        <f>SUMIF(项目基本情况!D$15:I$15,C7,项目基本情况!D$19:I$19)</f>
        <v>37.32</v>
      </c>
      <c r="G7" s="173">
        <f t="shared" ref="G7:G11" si="2">IF(ISERROR(ROUND(POWER(1+H7,D7-F7)*(POWER(1+H7,F7)-1)/(POWER(1+H7,D7)-1),3)),0,ROUND(POWER(1+H7,D7-F7)*(POWER(1+H7,F7)-1)/(POWER(1+H7,D7)-1),3))</f>
        <v>0.97699999999999998</v>
      </c>
      <c r="H7" s="2739">
        <v>0.05</v>
      </c>
      <c r="I7" s="2739">
        <v>5.5E-2</v>
      </c>
      <c r="J7" s="174">
        <v>8.5000000000000006E-2</v>
      </c>
      <c r="K7" s="177">
        <f>SUMIF('数据-汇总表'!C$19:C$33,'数据-取费表'!A7,'数据-汇总表'!E$19:E$33)</f>
        <v>74233.119999999995</v>
      </c>
      <c r="L7" s="2740">
        <v>3700</v>
      </c>
      <c r="M7" s="175">
        <f t="shared" si="0"/>
        <v>27466</v>
      </c>
      <c r="N7" s="2741">
        <v>0</v>
      </c>
      <c r="O7" s="175">
        <f t="shared" ref="O7:O14" si="3">IF($N$5="成新度","——",ROUND(M7*N7,0))</f>
        <v>0</v>
      </c>
      <c r="P7" s="176">
        <f t="shared" ref="P7:P14" si="4">IF($N$5="成新度","——",M7-O7)</f>
        <v>27466</v>
      </c>
      <c r="Q7" s="2742">
        <v>0.25</v>
      </c>
      <c r="R7" s="177">
        <f>SUMIF('数据-汇总表'!C$19:C$33,A7,'数据-汇总表'!R$19:R$33)</f>
        <v>74233.119999999995</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v>2.5</v>
      </c>
      <c r="V7" s="179">
        <v>0.02</v>
      </c>
      <c r="W7" s="179">
        <v>0.2</v>
      </c>
      <c r="X7" s="2201"/>
      <c r="Y7" s="180">
        <v>1</v>
      </c>
      <c r="Z7" s="181"/>
      <c r="AA7" s="174"/>
      <c r="AB7" s="174"/>
      <c r="AC7" s="2204"/>
      <c r="AD7" s="182"/>
      <c r="AE7" s="960">
        <f t="shared" ref="AE7:AE13" ca="1" si="6">IF(AN7="",0,SUMIF(INDIRECT("'"&amp;AN7&amp;"'"&amp;"!E:E"),$AE$5,INDIRECT("'"&amp;AN7&amp;"'"&amp;"!F:F")))</f>
        <v>35.32</v>
      </c>
      <c r="AF7" s="139"/>
      <c r="AG7" s="1196">
        <f t="shared" ref="AG7:AG13" si="7">IF(AF7="",0,AE7-AF7)</f>
        <v>0</v>
      </c>
      <c r="AH7" s="139"/>
      <c r="AI7" s="185">
        <v>365</v>
      </c>
      <c r="AJ7" s="186"/>
      <c r="AK7" s="187">
        <v>0.02</v>
      </c>
      <c r="AL7" s="188">
        <v>2E-3</v>
      </c>
      <c r="AM7" s="2245">
        <v>0.02</v>
      </c>
      <c r="AN7" s="2247" t="s">
        <v>3051</v>
      </c>
      <c r="AO7" s="3093"/>
      <c r="AP7" s="1187">
        <f t="shared" ref="AP7:AP13" si="8">ROUND(1-1/(1+H7)^F7,3)</f>
        <v>0.83799999999999997</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t="str">
        <f>'数据-汇总表'!C21</f>
        <v>地下车库</v>
      </c>
      <c r="B8" s="2217" t="str">
        <f t="shared" si="1"/>
        <v>经营性</v>
      </c>
      <c r="C8" s="171"/>
      <c r="D8" s="2188">
        <f>SUMIF(项目基本情况!D$15:I$15,C8,项目基本情况!D$18:I$18)</f>
        <v>0</v>
      </c>
      <c r="E8" s="2189">
        <f>IF(B8="","",SUMIF(项目基本情况!D$15:I$15,C8,项目基本情况!D$17:I$17))</f>
        <v>0</v>
      </c>
      <c r="F8" s="172">
        <f>SUMIF(项目基本情况!D$15:I$15,C8,项目基本情况!D$19:I$19)</f>
        <v>0</v>
      </c>
      <c r="G8" s="173">
        <f t="shared" si="2"/>
        <v>0</v>
      </c>
      <c r="H8" s="2739"/>
      <c r="I8" s="2739"/>
      <c r="J8" s="174"/>
      <c r="K8" s="177">
        <f>SUMIF('数据-汇总表'!C$19:C$33,'数据-取费表'!A8,'数据-汇总表'!E$19:E$33)</f>
        <v>0</v>
      </c>
      <c r="L8" s="2740"/>
      <c r="M8" s="175">
        <f>ROUND(K8*L8/10000,0)</f>
        <v>0</v>
      </c>
      <c r="N8" s="2741"/>
      <c r="O8" s="175">
        <f t="shared" si="3"/>
        <v>0</v>
      </c>
      <c r="P8" s="176">
        <f t="shared" si="4"/>
        <v>0</v>
      </c>
      <c r="Q8" s="2742"/>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3"/>
      <c r="AP8" s="1187">
        <f t="shared" si="8"/>
        <v>0</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2301</v>
      </c>
      <c r="B14" s="2186" t="s">
        <v>1670</v>
      </c>
      <c r="C14" s="2187" t="s">
        <v>2301</v>
      </c>
      <c r="D14" s="2188"/>
      <c r="E14" s="2189"/>
      <c r="F14" s="172"/>
      <c r="G14" s="173"/>
      <c r="H14" s="2190"/>
      <c r="I14" s="2190"/>
      <c r="J14" s="2190"/>
      <c r="K14" s="177">
        <f>SUMIF('数据-汇总表'!C$19:C$33,'数据-取费表'!A14,'数据-汇总表'!E$19:E$33)</f>
        <v>0</v>
      </c>
      <c r="L14" s="191">
        <f>L8</f>
        <v>0</v>
      </c>
      <c r="M14" s="175">
        <f t="shared" si="0"/>
        <v>0</v>
      </c>
      <c r="N14" s="192">
        <v>0</v>
      </c>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2303</v>
      </c>
      <c r="B15" s="2186" t="s">
        <v>1670</v>
      </c>
      <c r="C15" s="2187" t="s">
        <v>2302</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0.97699999999999998</v>
      </c>
      <c r="H16" s="201">
        <f>ROUND(SUMPRODUCT(H6:H13,K6:K13)/SUMPRODUCT((H6:H13&gt;0)*(K6:K13)),3)</f>
        <v>0.05</v>
      </c>
      <c r="I16" s="202"/>
      <c r="J16" s="202"/>
      <c r="K16" s="203">
        <f>SUM(K6:K15)</f>
        <v>74233.119999999995</v>
      </c>
      <c r="L16" s="204">
        <f>ROUND(M16*10000/SUM(K6:K14),0)</f>
        <v>3700</v>
      </c>
      <c r="M16" s="204">
        <f>SUM(M6:M14)</f>
        <v>27466</v>
      </c>
      <c r="N16" s="205">
        <f>ROUND(SUMPRODUCT(M6:M14,N6:N14)/M16,3)</f>
        <v>0</v>
      </c>
      <c r="O16" s="204">
        <f>SUM(O6:O14)</f>
        <v>0</v>
      </c>
      <c r="P16" s="204">
        <f>SUM(P6:P14)</f>
        <v>27466</v>
      </c>
      <c r="Q16" s="206">
        <f>ROUND(SUMPRODUCT(Q6:Q13,K6:K13)/SUMPRODUCT((Q6:Q13&gt;0)*(K6:K13)),2)</f>
        <v>0.25</v>
      </c>
      <c r="R16" s="2191" t="e">
        <f>SUM(R6:R13)</f>
        <v>#DIV/0!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0.83799999999999997</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0</v>
      </c>
      <c r="C19" s="3105" t="s">
        <v>2976</v>
      </c>
      <c r="D19" s="3094"/>
      <c r="E19" s="3093"/>
      <c r="F19" s="3093"/>
      <c r="G19" s="3093"/>
      <c r="H19" s="3093"/>
      <c r="I19" s="3093"/>
      <c r="J19" s="3093"/>
      <c r="K19" s="3092"/>
      <c r="L19" s="3092"/>
      <c r="M19" s="3090"/>
      <c r="N19" s="3090"/>
      <c r="O19" s="3090"/>
      <c r="P19" s="3090"/>
      <c r="Q19" s="3090"/>
      <c r="R19" s="3090"/>
      <c r="S19" s="3090"/>
      <c r="T19" s="3090"/>
      <c r="U19" s="3090"/>
      <c r="V19" s="3090"/>
      <c r="W19" s="3090"/>
      <c r="X19" s="3090"/>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218">
        <v>2</v>
      </c>
      <c r="C20" s="3105" t="s">
        <v>2322</v>
      </c>
      <c r="D20" s="3094"/>
      <c r="E20" s="3093"/>
      <c r="F20" s="3093"/>
      <c r="G20" s="3093"/>
      <c r="H20" s="3093"/>
      <c r="I20" s="3093"/>
      <c r="J20" s="3283"/>
      <c r="K20" s="3282"/>
      <c r="L20" s="3092"/>
      <c r="M20" s="3090"/>
      <c r="N20" s="3090"/>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0</v>
      </c>
      <c r="C21" s="3093"/>
      <c r="D21" s="3094"/>
      <c r="E21" s="3093"/>
      <c r="F21" s="3093"/>
      <c r="G21" s="3093"/>
      <c r="H21" s="3093"/>
      <c r="I21" s="3093"/>
      <c r="J21" s="3283" t="str">
        <f>A7</f>
        <v>商业</v>
      </c>
      <c r="K21" s="3282">
        <f>K7</f>
        <v>74233.119999999995</v>
      </c>
      <c r="L21" s="3092">
        <v>3000</v>
      </c>
      <c r="M21" s="3090">
        <f>K21*L21/10000</f>
        <v>22269.936000000002</v>
      </c>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2</v>
      </c>
      <c r="C22" s="3093"/>
      <c r="D22" s="3094"/>
      <c r="E22" s="3093"/>
      <c r="F22" s="3093"/>
      <c r="G22" s="3093"/>
      <c r="H22" s="3093"/>
      <c r="I22" s="3093"/>
      <c r="J22" s="3283"/>
      <c r="K22" s="3282"/>
      <c r="L22" s="3092"/>
      <c r="M22" s="3090"/>
      <c r="N22" s="3090"/>
      <c r="O22" s="3090"/>
      <c r="P22" s="3090"/>
      <c r="Q22" s="3090"/>
      <c r="R22" s="3090"/>
      <c r="S22" s="3090"/>
      <c r="T22" s="3614"/>
      <c r="U22" s="3615" t="s">
        <v>3110</v>
      </c>
      <c r="V22" s="3615" t="s">
        <v>3111</v>
      </c>
      <c r="W22" s="3615" t="s">
        <v>3112</v>
      </c>
      <c r="X22" s="3090"/>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0</v>
      </c>
      <c r="C23" s="3093"/>
      <c r="D23" s="3094"/>
      <c r="E23" s="3093"/>
      <c r="F23" s="3093"/>
      <c r="G23" s="3093"/>
      <c r="H23" s="3093"/>
      <c r="I23" s="3093"/>
      <c r="J23" s="3284" t="s">
        <v>3008</v>
      </c>
      <c r="K23" s="3282">
        <f>K21*0.2</f>
        <v>14846.624</v>
      </c>
      <c r="L23" s="3092">
        <v>3500</v>
      </c>
      <c r="M23" s="3090">
        <f>K23*L23/10000</f>
        <v>5196.3184000000001</v>
      </c>
      <c r="N23" s="3090"/>
      <c r="O23" s="3090"/>
      <c r="P23" s="3090"/>
      <c r="Q23" s="3090"/>
      <c r="R23" s="3090"/>
      <c r="S23" s="3090"/>
      <c r="T23" s="3615" t="s">
        <v>3113</v>
      </c>
      <c r="U23" s="3614">
        <v>1</v>
      </c>
      <c r="V23" s="3614">
        <v>3.5</v>
      </c>
      <c r="W23" s="3614">
        <v>1</v>
      </c>
      <c r="X23" s="3090"/>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2</v>
      </c>
      <c r="C24" s="3093"/>
      <c r="D24" s="3094"/>
      <c r="E24" s="3093"/>
      <c r="F24" s="3093"/>
      <c r="G24" s="3093"/>
      <c r="H24" s="3093"/>
      <c r="I24" s="3093"/>
      <c r="J24" s="3093"/>
      <c r="K24" s="3092"/>
      <c r="L24" s="3092"/>
      <c r="M24" s="3090">
        <f>M20+M21+M22+M23</f>
        <v>27466.254400000002</v>
      </c>
      <c r="N24" s="3090">
        <f>M24-M16+M25</f>
        <v>0.25440000000162399</v>
      </c>
      <c r="O24" s="3090"/>
      <c r="P24" s="3090"/>
      <c r="Q24" s="3090"/>
      <c r="R24" s="3090"/>
      <c r="S24" s="3090"/>
      <c r="T24" s="3614"/>
      <c r="U24" s="3614">
        <v>2</v>
      </c>
      <c r="V24" s="3614">
        <f>V23*W24</f>
        <v>2.4499999999999997</v>
      </c>
      <c r="W24" s="3614">
        <v>0.7</v>
      </c>
      <c r="X24" s="3090"/>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3614"/>
      <c r="U25" s="3614">
        <v>3</v>
      </c>
      <c r="V25" s="3614">
        <f>V23*W25</f>
        <v>1.75</v>
      </c>
      <c r="W25" s="3614">
        <v>0.5</v>
      </c>
      <c r="X25" s="3090"/>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f>(V23+V24+V25)/3</f>
        <v>2.5666666666666664</v>
      </c>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2324</v>
      </c>
      <c r="B27" s="225">
        <v>150</v>
      </c>
      <c r="C27" s="3106" t="s">
        <v>2977</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2325</v>
      </c>
      <c r="B28" s="227">
        <v>150</v>
      </c>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2323</v>
      </c>
      <c r="B29" s="230">
        <v>0</v>
      </c>
      <c r="C29" s="3107" t="s">
        <v>2326</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100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100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0.05</v>
      </c>
      <c r="C33" s="3108" t="s">
        <v>2964</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0.1</v>
      </c>
      <c r="C34" s="3108" t="s">
        <v>2965</v>
      </c>
      <c r="D34" s="3109" t="s">
        <v>2973</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v>200</v>
      </c>
      <c r="C35" s="3108" t="s">
        <v>2966</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2967</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0.03</v>
      </c>
      <c r="C37" s="3108" t="s">
        <v>2968</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0.03</v>
      </c>
      <c r="C38" s="3108" t="s">
        <v>2968</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2437</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2342" t="s">
        <v>2438</v>
      </c>
      <c r="B40" s="2334">
        <f ca="1">存贷款利率!E2</f>
        <v>4.7500000000000001E-2</v>
      </c>
      <c r="C40" s="3108" t="s">
        <v>2969</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5.5000000000000007E-2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5.000000000000001E-3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0.05</v>
      </c>
      <c r="C44" s="3108" t="s">
        <v>2974</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2970</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0.02</v>
      </c>
      <c r="C46" s="3111" t="s">
        <v>2971</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c r="C47" s="3106" t="s">
        <v>2978</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2970</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2972</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4</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t="s">
        <v>1146</v>
      </c>
      <c r="C53" s="3101" t="s">
        <v>2868</v>
      </c>
      <c r="D53" s="3112" t="s">
        <v>2975</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2869</v>
      </c>
      <c r="B54" s="184">
        <v>6</v>
      </c>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2870</v>
      </c>
      <c r="B55" s="184">
        <v>4</v>
      </c>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2871</v>
      </c>
      <c r="B56" s="184">
        <v>2</v>
      </c>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2872</v>
      </c>
      <c r="B57" s="184"/>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2873</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2874</v>
      </c>
      <c r="B59" s="184"/>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2875</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2876</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2877</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2878</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5" priority="12" stopIfTrue="1" operator="containsText" text="自行计算">
      <formula>NOT(ISERROR(SEARCH("自行计算",T6)))</formula>
    </cfRule>
    <cfRule type="containsText" dxfId="184" priority="13" stopIfTrue="1" operator="containsText" text="自行计算">
      <formula>NOT(ISERROR(SEARCH("自行计算",T6)))</formula>
    </cfRule>
  </conditionalFormatting>
  <conditionalFormatting sqref="T6:T13">
    <cfRule type="containsText" dxfId="183" priority="10" stopIfTrue="1" operator="containsText" text="自行计算">
      <formula>NOT(ISERROR(SEARCH("自行计算",T6)))</formula>
    </cfRule>
    <cfRule type="containsText" dxfId="182" priority="11" stopIfTrue="1" operator="containsText" text="自行计算">
      <formula>NOT(ISERROR(SEARCH("自行计算",T6)))</formula>
    </cfRule>
  </conditionalFormatting>
  <conditionalFormatting sqref="T12:T13">
    <cfRule type="containsText" dxfId="181" priority="4" stopIfTrue="1" operator="containsText" text="自行计算">
      <formula>NOT(ISERROR(SEARCH("自行计算",T12)))</formula>
    </cfRule>
    <cfRule type="containsText" dxfId="180" priority="5" stopIfTrue="1" operator="containsText" text="自行计算">
      <formula>NOT(ISERROR(SEARCH("自行计算",T12)))</formula>
    </cfRule>
  </conditionalFormatting>
  <conditionalFormatting sqref="T12:T13">
    <cfRule type="containsText" dxfId="179" priority="2" stopIfTrue="1" operator="containsText" text="自行计算">
      <formula>NOT(ISERROR(SEARCH("自行计算",T12)))</formula>
    </cfRule>
    <cfRule type="containsText" dxfId="178" priority="3" stopIfTrue="1" operator="containsText" text="自行计算">
      <formula>NOT(ISERROR(SEARCH("自行计算",T12)))</formula>
    </cfRule>
  </conditionalFormatting>
  <conditionalFormatting sqref="T6:T15">
    <cfRule type="expression" dxfId="177"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3124"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4"/>
  </cols>
  <sheetData>
    <row r="1" spans="1:18" s="3118" customFormat="1" ht="19.5" thickBot="1">
      <c r="A1" s="3386" t="s">
        <v>1654</v>
      </c>
      <c r="B1" s="3387"/>
      <c r="C1" s="3387"/>
      <c r="D1" s="3387"/>
      <c r="E1" s="3387"/>
      <c r="F1" s="3387"/>
      <c r="G1" s="3387"/>
      <c r="H1" s="3113"/>
      <c r="I1" s="3114"/>
      <c r="J1" s="3115"/>
      <c r="K1" s="3113"/>
      <c r="L1" s="3114"/>
      <c r="M1" s="3115"/>
      <c r="N1" s="3113"/>
      <c r="O1" s="3114"/>
      <c r="P1" s="3115"/>
      <c r="Q1" s="3116"/>
      <c r="R1" s="3117"/>
    </row>
    <row r="2" spans="1:18" ht="14.25" thickBot="1">
      <c r="A2" s="3119"/>
      <c r="B2" s="3120"/>
      <c r="C2" s="3121" t="s">
        <v>1655</v>
      </c>
      <c r="D2" s="3122"/>
      <c r="E2" s="3119"/>
      <c r="F2" s="3123"/>
      <c r="G2" s="3121" t="s">
        <v>1656</v>
      </c>
      <c r="H2" s="3124"/>
      <c r="I2" s="3124"/>
      <c r="J2" s="3124"/>
      <c r="K2" s="3124"/>
      <c r="L2" s="3124"/>
      <c r="M2" s="3124"/>
      <c r="N2" s="3124"/>
      <c r="O2" s="3124"/>
      <c r="P2" s="3124"/>
      <c r="Q2" s="3124"/>
      <c r="R2" s="3124"/>
    </row>
    <row r="3" spans="1:18" ht="27">
      <c r="A3" s="3125" t="s">
        <v>1657</v>
      </c>
      <c r="B3" s="3126" t="s">
        <v>1644</v>
      </c>
      <c r="C3" s="3285" t="s">
        <v>3049</v>
      </c>
      <c r="D3" s="3127"/>
      <c r="E3" s="3128" t="s">
        <v>1657</v>
      </c>
      <c r="F3" s="3129" t="s">
        <v>1645</v>
      </c>
      <c r="G3" s="3130"/>
      <c r="H3" s="3124"/>
      <c r="I3" s="3124"/>
      <c r="J3" s="3124"/>
      <c r="K3" s="3124"/>
      <c r="L3" s="3124"/>
      <c r="M3" s="3124"/>
      <c r="N3" s="3124"/>
      <c r="O3" s="3124"/>
      <c r="P3" s="3124"/>
      <c r="Q3" s="3124"/>
      <c r="R3" s="3124"/>
    </row>
    <row r="4" spans="1:18" ht="14.25">
      <c r="A4" s="3128"/>
      <c r="B4" s="3131" t="s">
        <v>1658</v>
      </c>
      <c r="C4" s="3286" t="s">
        <v>3009</v>
      </c>
      <c r="D4" s="3127"/>
      <c r="E4" s="3133"/>
      <c r="F4" s="3134" t="s">
        <v>1659</v>
      </c>
      <c r="G4" s="3135"/>
      <c r="H4" s="3124"/>
      <c r="I4" s="3124"/>
      <c r="J4" s="3124"/>
      <c r="K4" s="3124"/>
      <c r="L4" s="3124"/>
      <c r="M4" s="3124"/>
      <c r="N4" s="3124"/>
      <c r="O4" s="3124"/>
      <c r="P4" s="3124"/>
      <c r="Q4" s="3124"/>
      <c r="R4" s="3124"/>
    </row>
    <row r="5" spans="1:18" ht="14.25">
      <c r="A5" s="3128"/>
      <c r="B5" s="3131" t="s">
        <v>1660</v>
      </c>
      <c r="C5" s="3132"/>
      <c r="D5" s="3127"/>
      <c r="E5" s="3133"/>
      <c r="F5" s="3131" t="s">
        <v>2527</v>
      </c>
      <c r="G5" s="3135"/>
      <c r="H5" s="3124"/>
      <c r="I5" s="3124"/>
      <c r="J5" s="3124"/>
      <c r="K5" s="3124"/>
      <c r="L5" s="3124"/>
      <c r="M5" s="3124"/>
      <c r="N5" s="3124"/>
      <c r="O5" s="3124"/>
      <c r="P5" s="3124"/>
      <c r="Q5" s="3124"/>
      <c r="R5" s="3124"/>
    </row>
    <row r="6" spans="1:18" ht="14.25">
      <c r="A6" s="3128"/>
      <c r="B6" s="3131" t="s">
        <v>1646</v>
      </c>
      <c r="C6" s="3287" t="s">
        <v>3049</v>
      </c>
      <c r="D6" s="3127"/>
      <c r="E6" s="3133"/>
      <c r="F6" s="3131" t="s">
        <v>2528</v>
      </c>
      <c r="G6" s="3135"/>
      <c r="H6" s="3124"/>
      <c r="I6" s="3124"/>
      <c r="J6" s="3124"/>
      <c r="K6" s="3124"/>
      <c r="L6" s="3124"/>
      <c r="M6" s="3124"/>
      <c r="N6" s="3124"/>
      <c r="O6" s="3124"/>
      <c r="P6" s="3124"/>
      <c r="Q6" s="3124"/>
      <c r="R6" s="3124"/>
    </row>
    <row r="7" spans="1:18" ht="15" thickBot="1">
      <c r="A7" s="3128"/>
      <c r="B7" s="3131" t="s">
        <v>2527</v>
      </c>
      <c r="C7" s="3287" t="s">
        <v>3049</v>
      </c>
      <c r="D7" s="3136"/>
      <c r="E7" s="3137"/>
      <c r="F7" s="3138" t="s">
        <v>1661</v>
      </c>
      <c r="G7" s="3139"/>
      <c r="H7" s="3124"/>
      <c r="I7" s="3124"/>
      <c r="J7" s="3124"/>
      <c r="K7" s="3124"/>
      <c r="L7" s="3124"/>
      <c r="M7" s="3124"/>
      <c r="N7" s="3124"/>
      <c r="O7" s="3124"/>
      <c r="P7" s="3124"/>
      <c r="Q7" s="3124"/>
      <c r="R7" s="3124"/>
    </row>
    <row r="8" spans="1:18">
      <c r="A8" s="3128"/>
      <c r="B8" s="3131" t="s">
        <v>2528</v>
      </c>
      <c r="C8" s="3287" t="s">
        <v>3010</v>
      </c>
      <c r="D8" s="3136"/>
      <c r="E8" s="3136"/>
      <c r="F8" s="3140"/>
      <c r="G8" s="3140"/>
      <c r="H8" s="3124"/>
      <c r="I8" s="3124"/>
      <c r="J8" s="3124"/>
      <c r="K8" s="3124"/>
      <c r="L8" s="3124"/>
      <c r="M8" s="3124"/>
      <c r="N8" s="3124"/>
      <c r="O8" s="3124"/>
      <c r="P8" s="3124"/>
      <c r="Q8" s="3124"/>
      <c r="R8" s="3124"/>
    </row>
    <row r="9" spans="1:18">
      <c r="A9" s="3128"/>
      <c r="B9" s="3131" t="s">
        <v>1647</v>
      </c>
      <c r="C9" s="3286" t="s">
        <v>3009</v>
      </c>
      <c r="D9" s="3127"/>
      <c r="E9" s="3136"/>
      <c r="F9" s="3140"/>
      <c r="G9" s="3140"/>
      <c r="H9" s="3124"/>
      <c r="I9" s="3124"/>
      <c r="J9" s="3124"/>
      <c r="K9" s="3124"/>
      <c r="L9" s="3124"/>
      <c r="M9" s="3124"/>
      <c r="N9" s="3124"/>
      <c r="O9" s="3124"/>
      <c r="P9" s="3124"/>
      <c r="Q9" s="3124"/>
      <c r="R9" s="3124"/>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8" customFormat="1" ht="18.75">
      <c r="A12" s="3148"/>
      <c r="B12" s="3136"/>
      <c r="C12" s="3127"/>
      <c r="D12" s="3150"/>
      <c r="E12" s="3127"/>
      <c r="F12" s="3136"/>
      <c r="G12" s="3149"/>
      <c r="H12" s="3151"/>
      <c r="I12" s="3152"/>
      <c r="J12" s="3151"/>
      <c r="K12" s="3151"/>
      <c r="L12" s="3153"/>
      <c r="M12" s="3151"/>
      <c r="N12" s="3154"/>
      <c r="O12" s="3155"/>
      <c r="P12" s="3156"/>
      <c r="Q12" s="3154"/>
      <c r="R12" s="3117"/>
    </row>
    <row r="13" spans="1:18" ht="19.5" thickBot="1">
      <c r="A13" s="3157" t="s">
        <v>1663</v>
      </c>
      <c r="B13" s="3150"/>
      <c r="C13" s="3150"/>
      <c r="D13" s="3122"/>
      <c r="E13" s="3150"/>
      <c r="F13" s="3150"/>
      <c r="G13" s="3150"/>
    </row>
    <row r="14" spans="1:18" ht="14.25" thickBot="1">
      <c r="A14" s="3162"/>
      <c r="B14" s="3162"/>
      <c r="C14" s="3163" t="s">
        <v>1655</v>
      </c>
      <c r="D14" s="3127"/>
      <c r="E14" s="3164"/>
      <c r="F14" s="3164"/>
      <c r="G14" s="3121" t="s">
        <v>1656</v>
      </c>
    </row>
    <row r="15" spans="1:18" ht="27">
      <c r="A15" s="3165" t="s">
        <v>1648</v>
      </c>
      <c r="B15" s="3166" t="s">
        <v>1644</v>
      </c>
      <c r="C15" s="3167" t="str">
        <f>C3</f>
        <v>一般</v>
      </c>
      <c r="D15" s="3127"/>
      <c r="E15" s="3168" t="s">
        <v>1649</v>
      </c>
      <c r="F15" s="3166" t="s">
        <v>1664</v>
      </c>
      <c r="G15" s="3169">
        <f>G3</f>
        <v>0</v>
      </c>
    </row>
    <row r="16" spans="1:18">
      <c r="A16" s="3170"/>
      <c r="B16" s="3171" t="s">
        <v>1658</v>
      </c>
      <c r="C16" s="3172" t="str">
        <f>C4</f>
        <v>较好</v>
      </c>
      <c r="D16" s="3127"/>
      <c r="E16" s="3173"/>
      <c r="F16" s="3174" t="s">
        <v>1659</v>
      </c>
      <c r="G16" s="3175">
        <f>G4</f>
        <v>0</v>
      </c>
    </row>
    <row r="17" spans="1:7" ht="14.25">
      <c r="A17" s="3170"/>
      <c r="B17" s="3171" t="s">
        <v>1660</v>
      </c>
      <c r="C17" s="3172">
        <f>C5</f>
        <v>0</v>
      </c>
      <c r="D17" s="3136"/>
      <c r="E17" s="3173"/>
      <c r="F17" s="3174" t="s">
        <v>1665</v>
      </c>
      <c r="G17" s="3176"/>
    </row>
    <row r="18" spans="1:7">
      <c r="A18" s="3170"/>
      <c r="B18" s="3174" t="s">
        <v>1646</v>
      </c>
      <c r="C18" s="3175" t="str">
        <f>C6</f>
        <v>一般</v>
      </c>
      <c r="D18" s="3136"/>
      <c r="E18" s="3173"/>
      <c r="F18" s="3174" t="s">
        <v>1661</v>
      </c>
      <c r="G18" s="3175">
        <f>G7</f>
        <v>0</v>
      </c>
    </row>
    <row r="19" spans="1:7" ht="14.25">
      <c r="A19" s="3170"/>
      <c r="B19" s="3174" t="s">
        <v>1650</v>
      </c>
      <c r="C19" s="3176"/>
      <c r="D19" s="3127"/>
      <c r="E19" s="3173"/>
      <c r="F19" s="3131" t="s">
        <v>2527</v>
      </c>
      <c r="G19" s="3175">
        <f>G5</f>
        <v>0</v>
      </c>
    </row>
    <row r="20" spans="1:7">
      <c r="A20" s="3170"/>
      <c r="B20" s="3174" t="s">
        <v>1651</v>
      </c>
      <c r="C20" s="3172" t="str">
        <f>C9</f>
        <v>较好</v>
      </c>
      <c r="D20" s="3136"/>
      <c r="E20" s="3173"/>
      <c r="F20" s="3131" t="s">
        <v>2528</v>
      </c>
      <c r="G20" s="3175">
        <f>G6</f>
        <v>0</v>
      </c>
    </row>
    <row r="21" spans="1:7" ht="14.25">
      <c r="A21" s="3170"/>
      <c r="B21" s="3131" t="s">
        <v>2527</v>
      </c>
      <c r="C21" s="3175" t="str">
        <f>C7</f>
        <v>一般</v>
      </c>
      <c r="D21" s="3127"/>
      <c r="E21" s="3173"/>
      <c r="F21" s="3174" t="s">
        <v>1652</v>
      </c>
      <c r="G21" s="3177"/>
    </row>
    <row r="22" spans="1:7" ht="14.25">
      <c r="A22" s="3170"/>
      <c r="B22" s="3131" t="s">
        <v>2528</v>
      </c>
      <c r="C22" s="3175" t="str">
        <f>C8</f>
        <v>七通</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2823</v>
      </c>
      <c r="B1" s="3185">
        <f>SUM(B14:B23)</f>
        <v>74233.119999999995</v>
      </c>
      <c r="C1" s="3194"/>
      <c r="D1" s="3194"/>
      <c r="E1" s="3194"/>
      <c r="F1" s="3194"/>
      <c r="G1" s="3195"/>
      <c r="H1" s="3195"/>
      <c r="I1" s="3195"/>
      <c r="J1" s="3195"/>
    </row>
    <row r="2" spans="1:10" ht="16.5">
      <c r="A2" s="3185" t="s">
        <v>2824</v>
      </c>
      <c r="B2" s="3185">
        <f>SUM(C14:C23)</f>
        <v>74233.119999999995</v>
      </c>
      <c r="C2" s="3194"/>
      <c r="D2" s="3194"/>
      <c r="E2" s="3194"/>
      <c r="F2" s="3194"/>
      <c r="G2" s="3195"/>
      <c r="H2" s="3195"/>
      <c r="I2" s="3195"/>
      <c r="J2" s="3195"/>
    </row>
    <row r="3" spans="1:10" ht="16.5">
      <c r="A3" s="3185" t="s">
        <v>2825</v>
      </c>
      <c r="B3" s="3187">
        <f>项目基本情况!D3</f>
        <v>44070</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11845</v>
      </c>
      <c r="C5" s="3185">
        <f ca="1">ROUND(B5*10000/$B$1,0)</f>
        <v>1596</v>
      </c>
      <c r="D5" s="3185">
        <f ca="1">ROUND(B5*10000/$B$2,0)</f>
        <v>1596</v>
      </c>
      <c r="E5" s="3194"/>
      <c r="F5" s="3194"/>
      <c r="G5" s="3195"/>
      <c r="H5" s="3195"/>
      <c r="I5" s="3195"/>
      <c r="J5" s="3195"/>
    </row>
    <row r="6" spans="1:10" ht="16.5">
      <c r="A6" s="3185" t="s">
        <v>2831</v>
      </c>
      <c r="B6" s="3185">
        <f ca="1">SUM(G14:G23)</f>
        <v>11845</v>
      </c>
      <c r="C6" s="3185">
        <f t="shared" ref="C6:C8" ca="1" si="0">ROUND(B6*10000/$B$1,0)</f>
        <v>1596</v>
      </c>
      <c r="D6" s="3185">
        <f t="shared" ref="D6:D8" ca="1" si="1">ROUND(B6*10000/$B$2,0)</f>
        <v>1596</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 ca="1">SUM(I14:I23)</f>
        <v>10788</v>
      </c>
      <c r="C8" s="3185">
        <f t="shared" ca="1" si="0"/>
        <v>1453</v>
      </c>
      <c r="D8" s="3185">
        <f t="shared" ca="1" si="1"/>
        <v>1453</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74233.119999999995</v>
      </c>
      <c r="C14" s="3191">
        <f>结果表!K38</f>
        <v>74233.119999999995</v>
      </c>
      <c r="D14" s="3191">
        <f ca="1">结果表!C42</f>
        <v>11845</v>
      </c>
      <c r="E14" s="3191">
        <f ca="1">ROUND(D14*10000/B14,0)</f>
        <v>1596</v>
      </c>
      <c r="F14" s="3191">
        <f ca="1">ROUND(D14*10000/C14,0)</f>
        <v>1596</v>
      </c>
      <c r="G14" s="3191">
        <f ca="1">结果表!C44</f>
        <v>11845</v>
      </c>
      <c r="H14" s="3191" t="str">
        <f>结果表!C45</f>
        <v>——</v>
      </c>
      <c r="I14" s="3191">
        <f ca="1">结果表!C46</f>
        <v>10788</v>
      </c>
      <c r="J14" s="3195"/>
    </row>
    <row r="15" spans="1:10" ht="16.5">
      <c r="A15" s="3190" t="s">
        <v>2840</v>
      </c>
      <c r="B15" s="3192"/>
      <c r="C15" s="3192"/>
      <c r="D15" s="3192"/>
      <c r="E15" s="3191" t="e">
        <f t="shared" ref="E15:E23" si="2">ROUND(D15*10000/B15,0)</f>
        <v>#DIV/0!</v>
      </c>
      <c r="F15" s="3191" t="e">
        <f t="shared" ref="F15:F23" si="3">ROUND(D15*10000/C15,0)</f>
        <v>#DIV/0!</v>
      </c>
      <c r="G15" s="2758"/>
      <c r="H15" s="2758"/>
      <c r="I15" s="3192"/>
      <c r="J15" s="3195"/>
    </row>
    <row r="16" spans="1:10" ht="16.5">
      <c r="A16" s="3190" t="s">
        <v>2841</v>
      </c>
      <c r="B16" s="3192"/>
      <c r="C16" s="3192"/>
      <c r="D16" s="3192"/>
      <c r="E16" s="3191" t="e">
        <f t="shared" si="2"/>
        <v>#DIV/0!</v>
      </c>
      <c r="F16" s="3191" t="e">
        <f t="shared" si="3"/>
        <v>#DIV/0!</v>
      </c>
      <c r="G16" s="2758"/>
      <c r="H16" s="2758"/>
      <c r="I16" s="3192"/>
      <c r="J16" s="3195"/>
    </row>
    <row r="17" spans="1:10" ht="16.5">
      <c r="A17" s="3190" t="s">
        <v>2842</v>
      </c>
      <c r="B17" s="3192"/>
      <c r="C17" s="3192"/>
      <c r="D17" s="3192"/>
      <c r="E17" s="3191" t="e">
        <f t="shared" si="2"/>
        <v>#DIV/0!</v>
      </c>
      <c r="F17" s="3191" t="e">
        <f t="shared" si="3"/>
        <v>#DIV/0!</v>
      </c>
      <c r="G17" s="2758"/>
      <c r="H17" s="2758"/>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90" zoomScaleNormal="100" zoomScaleSheetLayoutView="90" zoomScalePageLayoutView="80" workbookViewId="0">
      <selection activeCell="E23" sqref="E23"/>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2043</v>
      </c>
      <c r="B1" s="1692"/>
      <c r="C1" s="1720" t="s">
        <v>2044</v>
      </c>
      <c r="D1" s="1721"/>
      <c r="E1" s="1720" t="s">
        <v>2045</v>
      </c>
      <c r="F1" s="1722"/>
      <c r="G1" s="309"/>
      <c r="H1" s="309"/>
      <c r="I1" s="309"/>
      <c r="J1" s="1912"/>
      <c r="K1" s="1912"/>
      <c r="L1" s="1912"/>
      <c r="M1" s="1912"/>
      <c r="N1" s="1912"/>
      <c r="O1" s="1912"/>
      <c r="P1" s="1912"/>
      <c r="Q1" s="1912"/>
      <c r="R1" s="1912"/>
      <c r="S1" s="1912"/>
      <c r="T1" s="1912"/>
      <c r="U1" s="1912"/>
      <c r="V1" s="1912"/>
    </row>
    <row r="2" spans="1:22" ht="21.75" customHeight="1" thickBot="1">
      <c r="A2" s="3432" t="str">
        <f>项目基本情况!K2</f>
        <v>出让国有建设用地使用权</v>
      </c>
      <c r="B2" s="3433"/>
      <c r="C2" s="3434"/>
      <c r="D2" s="3434"/>
      <c r="E2" s="3434"/>
      <c r="F2" s="3434"/>
      <c r="G2" s="3433"/>
      <c r="H2" s="3433"/>
      <c r="I2" s="3435"/>
      <c r="J2" s="1913"/>
      <c r="K2" s="1912"/>
      <c r="L2" s="1912"/>
      <c r="M2" s="1912"/>
      <c r="N2" s="1912"/>
      <c r="O2" s="1912"/>
      <c r="P2" s="1912"/>
      <c r="Q2" s="1912"/>
      <c r="R2" s="1912"/>
      <c r="S2" s="1912"/>
      <c r="T2" s="1912"/>
      <c r="U2" s="1912"/>
      <c r="V2" s="1912"/>
    </row>
    <row r="3" spans="1:22" ht="14.25">
      <c r="A3" s="3425" t="s">
        <v>298</v>
      </c>
      <c r="B3" s="3426"/>
      <c r="C3" s="3426"/>
      <c r="D3" s="3426"/>
      <c r="E3" s="3426"/>
      <c r="F3" s="3426"/>
      <c r="G3" s="3426"/>
      <c r="H3" s="3426"/>
      <c r="I3" s="3426"/>
      <c r="J3" s="1913"/>
      <c r="K3" s="1912"/>
      <c r="L3" s="1912"/>
      <c r="M3" s="1912"/>
      <c r="N3" s="1912"/>
      <c r="O3" s="1912"/>
      <c r="P3" s="1912"/>
      <c r="Q3" s="1912"/>
      <c r="R3" s="1912"/>
      <c r="S3" s="1912"/>
      <c r="T3" s="1912"/>
      <c r="U3" s="1912"/>
      <c r="V3" s="1912"/>
    </row>
    <row r="4" spans="1:22" ht="14.25">
      <c r="A4" s="256" t="s">
        <v>299</v>
      </c>
      <c r="B4" s="257" t="s">
        <v>300</v>
      </c>
      <c r="C4" s="258" t="s">
        <v>3011</v>
      </c>
      <c r="D4" s="258" t="s">
        <v>3012</v>
      </c>
      <c r="E4" s="3391" t="s">
        <v>301</v>
      </c>
      <c r="F4" s="3392"/>
      <c r="G4" s="3392"/>
      <c r="H4" s="3392"/>
      <c r="I4" s="3427"/>
      <c r="J4" s="1913"/>
      <c r="K4" s="1912"/>
      <c r="L4" s="3196"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390" t="s">
        <v>302</v>
      </c>
      <c r="B5" s="3419">
        <v>25</v>
      </c>
      <c r="C5" s="3417"/>
      <c r="D5" s="3421"/>
      <c r="E5" s="259" t="s">
        <v>303</v>
      </c>
      <c r="F5" s="260"/>
      <c r="G5" s="260"/>
      <c r="H5" s="260"/>
      <c r="I5" s="261"/>
      <c r="J5" s="1913"/>
      <c r="K5" s="1912"/>
      <c r="L5" s="1912"/>
      <c r="M5" s="1912"/>
      <c r="N5" s="1912"/>
      <c r="O5" s="1912"/>
      <c r="P5" s="1912"/>
      <c r="Q5" s="1912"/>
      <c r="R5" s="1912"/>
      <c r="S5" s="1912"/>
      <c r="T5" s="1912"/>
      <c r="U5" s="1912"/>
      <c r="V5" s="1912"/>
    </row>
    <row r="6" spans="1:22" ht="14.25">
      <c r="A6" s="3390"/>
      <c r="B6" s="3419"/>
      <c r="C6" s="3420"/>
      <c r="D6" s="3421"/>
      <c r="E6" s="259" t="s">
        <v>304</v>
      </c>
      <c r="F6" s="260"/>
      <c r="G6" s="260"/>
      <c r="H6" s="260"/>
      <c r="I6" s="261"/>
      <c r="J6" s="1913"/>
      <c r="K6" s="1912"/>
      <c r="L6" s="1912"/>
      <c r="M6" s="1912"/>
      <c r="N6" s="1912"/>
      <c r="O6" s="1912"/>
      <c r="P6" s="1912"/>
      <c r="Q6" s="1912"/>
      <c r="R6" s="1912"/>
      <c r="S6" s="1912"/>
      <c r="T6" s="1912"/>
      <c r="U6" s="1912"/>
      <c r="V6" s="1912"/>
    </row>
    <row r="7" spans="1:22" ht="14.25">
      <c r="A7" s="3390"/>
      <c r="B7" s="3419"/>
      <c r="C7" s="3418"/>
      <c r="D7" s="3421"/>
      <c r="E7" s="259" t="s">
        <v>305</v>
      </c>
      <c r="F7" s="260"/>
      <c r="G7" s="260"/>
      <c r="H7" s="260"/>
      <c r="I7" s="261"/>
      <c r="J7" s="1913"/>
      <c r="K7" s="1912"/>
      <c r="L7" s="1912"/>
      <c r="M7" s="1912"/>
      <c r="N7" s="1912"/>
      <c r="O7" s="1912"/>
      <c r="P7" s="1912"/>
      <c r="Q7" s="1912"/>
      <c r="R7" s="1912"/>
      <c r="S7" s="1912"/>
      <c r="T7" s="1912"/>
      <c r="U7" s="1912"/>
      <c r="V7" s="1912"/>
    </row>
    <row r="8" spans="1:22" ht="14.25">
      <c r="A8" s="3390" t="s">
        <v>306</v>
      </c>
      <c r="B8" s="3419">
        <v>15</v>
      </c>
      <c r="C8" s="3417"/>
      <c r="D8" s="3421"/>
      <c r="E8" s="259" t="s">
        <v>307</v>
      </c>
      <c r="F8" s="260"/>
      <c r="G8" s="260"/>
      <c r="H8" s="260"/>
      <c r="I8" s="261"/>
      <c r="J8" s="1913"/>
      <c r="K8" s="1912"/>
      <c r="L8" s="1912"/>
      <c r="M8" s="1912"/>
      <c r="N8" s="1912"/>
      <c r="O8" s="1912"/>
      <c r="P8" s="1912"/>
      <c r="Q8" s="1912"/>
      <c r="R8" s="1912"/>
      <c r="S8" s="1912"/>
      <c r="T8" s="1912"/>
      <c r="U8" s="1912"/>
      <c r="V8" s="1912"/>
    </row>
    <row r="9" spans="1:22" ht="14.25">
      <c r="A9" s="3390"/>
      <c r="B9" s="3419"/>
      <c r="C9" s="3418"/>
      <c r="D9" s="3421"/>
      <c r="E9" s="259" t="s">
        <v>308</v>
      </c>
      <c r="F9" s="260"/>
      <c r="G9" s="260"/>
      <c r="H9" s="260"/>
      <c r="I9" s="261"/>
      <c r="J9" s="1913"/>
      <c r="K9" s="1912"/>
      <c r="L9" s="1912"/>
      <c r="M9" s="1912"/>
      <c r="N9" s="1912"/>
      <c r="O9" s="1912"/>
      <c r="P9" s="1912"/>
      <c r="Q9" s="1912"/>
      <c r="R9" s="1912"/>
      <c r="S9" s="1912"/>
      <c r="T9" s="1912"/>
      <c r="U9" s="1912"/>
      <c r="V9" s="1912"/>
    </row>
    <row r="10" spans="1:22" ht="14.25">
      <c r="A10" s="3390" t="s">
        <v>309</v>
      </c>
      <c r="B10" s="3419">
        <v>15</v>
      </c>
      <c r="C10" s="3417"/>
      <c r="D10" s="3421"/>
      <c r="E10" s="259" t="s">
        <v>310</v>
      </c>
      <c r="F10" s="260"/>
      <c r="G10" s="260"/>
      <c r="H10" s="260"/>
      <c r="I10" s="261"/>
      <c r="J10" s="1913"/>
      <c r="K10" s="1912"/>
      <c r="L10" s="1912"/>
      <c r="M10" s="1912"/>
      <c r="N10" s="1912"/>
      <c r="O10" s="1912"/>
      <c r="P10" s="1912"/>
      <c r="Q10" s="1912"/>
      <c r="R10" s="1912"/>
      <c r="S10" s="1912"/>
      <c r="T10" s="1912"/>
      <c r="U10" s="1912"/>
      <c r="V10" s="1912"/>
    </row>
    <row r="11" spans="1:22" ht="14.25">
      <c r="A11" s="3390"/>
      <c r="B11" s="3419"/>
      <c r="C11" s="3418"/>
      <c r="D11" s="3421"/>
      <c r="E11" s="259" t="s">
        <v>311</v>
      </c>
      <c r="F11" s="260"/>
      <c r="G11" s="260"/>
      <c r="H11" s="260"/>
      <c r="I11" s="261"/>
      <c r="J11" s="1913"/>
      <c r="K11" s="1912"/>
      <c r="L11" s="1912"/>
      <c r="M11" s="1912"/>
      <c r="N11" s="1912"/>
      <c r="O11" s="1912"/>
      <c r="P11" s="1912"/>
      <c r="Q11" s="1912"/>
      <c r="R11" s="1912"/>
      <c r="S11" s="1912"/>
      <c r="T11" s="1912"/>
      <c r="U11" s="1912"/>
      <c r="V11" s="1912"/>
    </row>
    <row r="12" spans="1:22" ht="14.25">
      <c r="A12" s="3390" t="s">
        <v>312</v>
      </c>
      <c r="B12" s="3419">
        <v>15</v>
      </c>
      <c r="C12" s="3417"/>
      <c r="D12" s="3421"/>
      <c r="E12" s="259" t="s">
        <v>313</v>
      </c>
      <c r="F12" s="260"/>
      <c r="G12" s="260"/>
      <c r="H12" s="260"/>
      <c r="I12" s="261"/>
      <c r="J12" s="1913"/>
      <c r="K12" s="1912"/>
      <c r="L12" s="1912"/>
      <c r="M12" s="1912"/>
      <c r="N12" s="1912"/>
      <c r="O12" s="1912"/>
      <c r="P12" s="1912"/>
      <c r="Q12" s="1912"/>
      <c r="R12" s="1912"/>
      <c r="S12" s="1912"/>
      <c r="T12" s="1912"/>
      <c r="U12" s="1912"/>
      <c r="V12" s="1912"/>
    </row>
    <row r="13" spans="1:22" ht="14.25">
      <c r="A13" s="3390"/>
      <c r="B13" s="3419"/>
      <c r="C13" s="3418"/>
      <c r="D13" s="3421"/>
      <c r="E13" s="259" t="s">
        <v>314</v>
      </c>
      <c r="F13" s="260"/>
      <c r="G13" s="260"/>
      <c r="H13" s="260"/>
      <c r="I13" s="261"/>
      <c r="J13" s="1913"/>
      <c r="K13" s="1912"/>
      <c r="L13" s="1912"/>
      <c r="M13" s="1912"/>
      <c r="N13" s="1912"/>
      <c r="O13" s="1912"/>
      <c r="P13" s="1912"/>
      <c r="Q13" s="1912"/>
      <c r="R13" s="1912"/>
      <c r="S13" s="1912"/>
      <c r="T13" s="1912"/>
      <c r="U13" s="1912"/>
      <c r="V13" s="1912"/>
    </row>
    <row r="14" spans="1:22" ht="14.25">
      <c r="A14" s="3390" t="s">
        <v>315</v>
      </c>
      <c r="B14" s="3419">
        <v>30</v>
      </c>
      <c r="C14" s="3417">
        <v>5</v>
      </c>
      <c r="D14" s="3421">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390"/>
      <c r="B15" s="3419"/>
      <c r="C15" s="3420"/>
      <c r="D15" s="3421"/>
      <c r="E15" s="259" t="s">
        <v>317</v>
      </c>
      <c r="F15" s="260"/>
      <c r="G15" s="260"/>
      <c r="H15" s="260"/>
      <c r="I15" s="261"/>
      <c r="J15" s="1913"/>
      <c r="K15" s="1912"/>
      <c r="L15" s="1912"/>
      <c r="M15" s="1912"/>
      <c r="N15" s="1912"/>
      <c r="O15" s="1912"/>
      <c r="P15" s="1912"/>
      <c r="Q15" s="1912"/>
      <c r="R15" s="1912"/>
      <c r="S15" s="1912"/>
      <c r="T15" s="1912"/>
      <c r="U15" s="1912"/>
      <c r="V15" s="1912"/>
    </row>
    <row r="16" spans="1:22" ht="14.25">
      <c r="A16" s="3390"/>
      <c r="B16" s="3419"/>
      <c r="C16" s="3418"/>
      <c r="D16" s="3421"/>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22" t="s">
        <v>2952</v>
      </c>
      <c r="F18" s="3423"/>
      <c r="G18" s="3423"/>
      <c r="H18" s="3423"/>
      <c r="I18" s="3423"/>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10905</v>
      </c>
      <c r="D19" s="269">
        <f ca="1">SUMIF(INDIRECT("'"&amp;D4&amp;"'"&amp;"!A:A"),结果表!B19,INDIRECT("'"&amp;D4&amp;"'"&amp;"!B:B"))</f>
        <v>12785</v>
      </c>
      <c r="E19" s="266" t="s">
        <v>323</v>
      </c>
      <c r="F19" s="267" t="s">
        <v>322</v>
      </c>
      <c r="G19" s="270">
        <f ca="1">ROUND(C19*$C$18+D19*$D$18,0)</f>
        <v>11845</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1469</v>
      </c>
      <c r="D20" s="275">
        <f ca="1">SUMIF(INDIRECT("'"&amp;D4&amp;"'"&amp;"!A:A"),结果表!B20,INDIRECT("'"&amp;D4&amp;"'"&amp;"!B:B"))</f>
        <v>1722</v>
      </c>
      <c r="E20" s="272"/>
      <c r="F20" s="273" t="s">
        <v>325</v>
      </c>
      <c r="G20" s="276">
        <f ca="1">ROUND(C20*$C$18+D20*$D$18,0)</f>
        <v>1596</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1469</v>
      </c>
      <c r="D21" s="149">
        <f ca="1">SUMIF(INDIRECT("'"&amp;D4&amp;"'"&amp;"!A:A"),结果表!B21,INDIRECT("'"&amp;D4&amp;"'"&amp;"!B:B"))</f>
        <v>1722</v>
      </c>
      <c r="E21" s="272"/>
      <c r="F21" s="278" t="s">
        <v>327</v>
      </c>
      <c r="G21" s="280">
        <f ca="1">ROUND(C21*$C$18+D21*$D$18,0)</f>
        <v>1596</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0.17239798257679961</v>
      </c>
      <c r="E22" s="282"/>
      <c r="F22" s="283"/>
      <c r="G22" s="284">
        <f ca="1">ROUND(G19/('数据-汇总表'!D3/666.67),0)</f>
        <v>106</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396"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397"/>
      <c r="B25" s="1275" t="s">
        <v>331</v>
      </c>
      <c r="C25" s="288">
        <f>IF(B30=0,0,C30)</f>
        <v>0</v>
      </c>
      <c r="D25" s="289"/>
      <c r="E25" s="309"/>
      <c r="F25" s="309"/>
      <c r="G25" s="309"/>
      <c r="H25" s="309"/>
      <c r="I25" s="309"/>
      <c r="J25" s="1912"/>
      <c r="K25" s="1209" t="str">
        <f ca="1">项目基本情况!B16&amp;"国有建设用地使用权价格："&amp;O38&amp;"万元"</f>
        <v>出让国有建设用地使用权价格：11845万元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大写金额：人民币壹亿壹仟捌佰肆拾伍万元整</v>
      </c>
      <c r="L26" s="1206"/>
      <c r="M26" s="1206"/>
      <c r="N26" s="1206"/>
      <c r="O26" s="1205"/>
      <c r="P26" s="1912"/>
      <c r="Q26" s="1912"/>
      <c r="R26" s="1912"/>
      <c r="S26" s="1912"/>
      <c r="T26" s="1912"/>
      <c r="U26" s="1912"/>
      <c r="V26" s="1912"/>
      <c r="W26" s="290"/>
      <c r="X26" s="290"/>
      <c r="Y26" s="290"/>
      <c r="Z26" s="290"/>
    </row>
    <row r="27" spans="1:26" ht="18">
      <c r="A27" s="291">
        <f ca="1">G19/'数据-汇总表'!F27*10000</f>
        <v>1595.6489502259908</v>
      </c>
      <c r="B27" s="292"/>
      <c r="C27" s="292"/>
      <c r="D27" s="293"/>
      <c r="E27" s="309"/>
      <c r="F27" s="309"/>
      <c r="G27" s="309"/>
      <c r="H27" s="309"/>
      <c r="I27" s="309"/>
      <c r="J27" s="1912"/>
      <c r="K27" s="1212" t="str">
        <f ca="1">"单位面积地价："&amp;M38&amp;"元/平方米"</f>
        <v>单位面积地价：1596元/平方米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楼面地价：1596元/平方米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抵押价格：11845万元</v>
      </c>
      <c r="L29" s="1206"/>
      <c r="M29" s="1206"/>
      <c r="N29" s="1206"/>
      <c r="O29" s="1205"/>
      <c r="P29" s="1912"/>
      <c r="V29" s="1912"/>
    </row>
    <row r="30" spans="1:26" ht="18.75" thickBot="1">
      <c r="A30" s="2801" t="s">
        <v>336</v>
      </c>
      <c r="B30" s="307"/>
      <c r="C30" s="307"/>
      <c r="D30" s="308"/>
      <c r="E30" s="3004" t="s">
        <v>2953</v>
      </c>
      <c r="F30" s="309"/>
      <c r="G30" s="309"/>
      <c r="H30" s="309"/>
      <c r="I30" s="309"/>
      <c r="J30" s="1912"/>
      <c r="K30" s="1212" t="str">
        <f ca="1">IF(K29="——","——","大写金额：人民币"&amp;NUMBERSTRING(INT(O39*10000),2)&amp;"元整")</f>
        <v>大写金额：人民币壹亿壹仟捌佰肆拾伍万元整</v>
      </c>
      <c r="L30" s="1206"/>
      <c r="M30" s="1206"/>
      <c r="N30" s="1206"/>
      <c r="O30" s="1205"/>
      <c r="P30" s="1912"/>
      <c r="V30" s="1912"/>
    </row>
    <row r="31" spans="1:26" ht="24" customHeight="1" thickBot="1">
      <c r="A31" s="3424" t="s">
        <v>2954</v>
      </c>
      <c r="B31" s="3424"/>
      <c r="C31" s="3424"/>
      <c r="D31" s="3424"/>
      <c r="E31" s="3424"/>
      <c r="F31" s="3424"/>
      <c r="G31" s="3424"/>
      <c r="H31" s="3424"/>
      <c r="I31" s="3424"/>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5" t="s">
        <v>1679</v>
      </c>
      <c r="C32" s="264">
        <f ca="1">G19-C24</f>
        <v>11845</v>
      </c>
      <c r="D32" s="3006"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1596</v>
      </c>
      <c r="D33" s="1334" t="s">
        <v>1682</v>
      </c>
      <c r="E33" s="3396" t="s">
        <v>338</v>
      </c>
      <c r="F33" s="294" t="s">
        <v>339</v>
      </c>
      <c r="G33" s="295"/>
      <c r="H33" s="968"/>
      <c r="I33" s="1213"/>
      <c r="J33" s="1912"/>
      <c r="K33" s="1212" t="str">
        <f ca="1">IF(项目基本情况!E9="——","——","抵押净值："&amp;C46&amp;"万元")</f>
        <v>抵押净值：10788万元</v>
      </c>
      <c r="L33" s="1206"/>
      <c r="M33" s="1206"/>
      <c r="N33" s="1206"/>
      <c r="O33" s="1205"/>
      <c r="P33" s="1912"/>
      <c r="V33" s="1912"/>
    </row>
    <row r="34" spans="1:26" s="1208" customFormat="1" ht="18.75" thickBot="1">
      <c r="A34" s="298"/>
      <c r="B34" s="1335" t="s">
        <v>1683</v>
      </c>
      <c r="C34" s="262">
        <f ca="1">ROUND(C32*10000/'数据-汇总表'!D3,0)</f>
        <v>1596</v>
      </c>
      <c r="D34" s="1336" t="s">
        <v>1682</v>
      </c>
      <c r="E34" s="3440"/>
      <c r="F34" s="127" t="s">
        <v>341</v>
      </c>
      <c r="G34" s="297"/>
      <c r="H34" s="105"/>
      <c r="I34" s="309"/>
      <c r="J34" s="1912"/>
      <c r="K34" s="1215" t="str">
        <f ca="1">IF(K33="——","——","大写金额：人民币"&amp;NUMBERSTRING(INT(O41*10000),2)&amp;"元整")</f>
        <v>大写金额：人民币壹亿零柒佰捌拾捌万元整</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106</v>
      </c>
      <c r="D35" s="1339" t="s">
        <v>1684</v>
      </c>
      <c r="E35" s="3441"/>
      <c r="F35" s="299" t="s">
        <v>342</v>
      </c>
      <c r="G35" s="970"/>
      <c r="H35" s="969" t="s">
        <v>343</v>
      </c>
      <c r="I35" s="309"/>
      <c r="J35" s="1912"/>
      <c r="K35" s="3414" t="s">
        <v>350</v>
      </c>
      <c r="L35" s="3414" t="s">
        <v>351</v>
      </c>
      <c r="M35" s="1218" t="s">
        <v>352</v>
      </c>
      <c r="N35" s="3414" t="s">
        <v>353</v>
      </c>
      <c r="O35" s="3414" t="s">
        <v>354</v>
      </c>
      <c r="P35" s="1912"/>
      <c r="V35" s="1912"/>
    </row>
    <row r="36" spans="1:26" ht="16.5" customHeight="1">
      <c r="A36" s="301" t="s">
        <v>344</v>
      </c>
      <c r="B36" s="302" t="s">
        <v>333</v>
      </c>
      <c r="C36" s="303" t="s">
        <v>345</v>
      </c>
      <c r="D36" s="303" t="s">
        <v>346</v>
      </c>
      <c r="E36" s="304" t="s">
        <v>347</v>
      </c>
      <c r="F36" s="309"/>
      <c r="G36" s="309"/>
      <c r="H36" s="309"/>
      <c r="I36" s="309"/>
      <c r="J36" s="1914"/>
      <c r="K36" s="3415"/>
      <c r="L36" s="3415"/>
      <c r="M36" s="1220" t="s">
        <v>355</v>
      </c>
      <c r="N36" s="3415"/>
      <c r="O36" s="3415"/>
      <c r="P36" s="1912"/>
      <c r="V36" s="1912"/>
    </row>
    <row r="37" spans="1:26" ht="16.5" customHeight="1" thickBot="1">
      <c r="A37" s="1214" t="s">
        <v>348</v>
      </c>
      <c r="B37" s="305"/>
      <c r="C37" s="292"/>
      <c r="D37" s="292"/>
      <c r="E37" s="293"/>
      <c r="F37" s="309"/>
      <c r="G37" s="309"/>
      <c r="H37" s="309"/>
      <c r="I37" s="309"/>
      <c r="J37" s="1914"/>
      <c r="K37" s="3416"/>
      <c r="L37" s="3416"/>
      <c r="M37" s="1221"/>
      <c r="N37" s="3416"/>
      <c r="O37" s="3416"/>
      <c r="P37" s="1912"/>
      <c r="V37" s="1912"/>
    </row>
    <row r="38" spans="1:26" ht="16.5" customHeight="1" thickBot="1">
      <c r="A38" s="1214" t="s">
        <v>349</v>
      </c>
      <c r="B38" s="305"/>
      <c r="C38" s="292"/>
      <c r="D38" s="292"/>
      <c r="E38" s="293"/>
      <c r="F38" s="309"/>
      <c r="G38" s="309"/>
      <c r="H38" s="309"/>
      <c r="I38" s="309"/>
      <c r="J38" s="1914"/>
      <c r="K38" s="1222">
        <f>'数据-汇总表'!D3</f>
        <v>74233.119999999995</v>
      </c>
      <c r="L38" s="1223">
        <f>'数据-汇总表'!E3</f>
        <v>74233.119999999995</v>
      </c>
      <c r="M38" s="1223">
        <f ca="1">C34</f>
        <v>1596</v>
      </c>
      <c r="N38" s="1223">
        <f ca="1">C33</f>
        <v>1596</v>
      </c>
      <c r="O38" s="1224">
        <f ca="1">C32</f>
        <v>11845</v>
      </c>
      <c r="P38" s="1912"/>
      <c r="V38" s="1912"/>
    </row>
    <row r="39" spans="1:26" ht="16.5" customHeight="1" thickBot="1">
      <c r="A39" s="1219"/>
      <c r="B39" s="306"/>
      <c r="C39" s="307"/>
      <c r="D39" s="307"/>
      <c r="E39" s="308"/>
      <c r="F39" s="309"/>
      <c r="G39" s="309"/>
      <c r="H39" s="309"/>
      <c r="I39" s="309"/>
      <c r="J39" s="1914"/>
      <c r="K39" s="3454" t="str">
        <f>MID(A44,3,LEN(A44)-2)</f>
        <v>抵押价格</v>
      </c>
      <c r="L39" s="3455"/>
      <c r="M39" s="3455"/>
      <c r="N39" s="3456"/>
      <c r="O39" s="1341">
        <f ca="1">C44</f>
        <v>11845</v>
      </c>
      <c r="P39" s="1912"/>
      <c r="V39" s="1912"/>
    </row>
    <row r="40" spans="1:26" ht="19.5" thickBot="1">
      <c r="A40" s="104" t="s">
        <v>864</v>
      </c>
      <c r="B40" s="309"/>
      <c r="C40" s="309"/>
      <c r="D40" s="309"/>
      <c r="E40" s="309"/>
      <c r="F40" s="309"/>
      <c r="G40" s="309"/>
      <c r="H40" s="309"/>
      <c r="I40" s="309"/>
      <c r="J40" s="1914"/>
      <c r="K40" s="3454" t="str">
        <f t="shared" ref="K40:K41" si="0">MID(A45,3,LEN(A45)-2)</f>
        <v/>
      </c>
      <c r="L40" s="3455"/>
      <c r="M40" s="3455"/>
      <c r="N40" s="3456"/>
      <c r="O40" s="1341" t="str">
        <f>C45</f>
        <v>——</v>
      </c>
      <c r="P40" s="1912"/>
      <c r="V40" s="1912"/>
    </row>
    <row r="41" spans="1:26" ht="16.5" thickBot="1">
      <c r="A41" s="310" t="s">
        <v>356</v>
      </c>
      <c r="B41" s="311"/>
      <c r="C41" s="312" t="s">
        <v>357</v>
      </c>
      <c r="D41" s="313" t="s">
        <v>358</v>
      </c>
      <c r="E41" s="313" t="s">
        <v>359</v>
      </c>
      <c r="F41" s="314" t="s">
        <v>360</v>
      </c>
      <c r="G41" s="309"/>
      <c r="H41" s="309"/>
      <c r="I41" s="309"/>
      <c r="J41" s="1914"/>
      <c r="K41" s="3454" t="str">
        <f t="shared" si="0"/>
        <v>抵押净值</v>
      </c>
      <c r="L41" s="3455"/>
      <c r="M41" s="3455"/>
      <c r="N41" s="3456"/>
      <c r="O41" s="1341">
        <f ca="1">C46</f>
        <v>10788</v>
      </c>
      <c r="P41" s="1912"/>
      <c r="V41" s="1912"/>
    </row>
    <row r="42" spans="1:26" ht="29.25">
      <c r="A42" s="3398" t="s">
        <v>2055</v>
      </c>
      <c r="B42" s="3399"/>
      <c r="C42" s="262">
        <f ca="1">C32</f>
        <v>11845</v>
      </c>
      <c r="D42" s="315">
        <f ca="1">C33</f>
        <v>1596</v>
      </c>
      <c r="E42" s="315">
        <f ca="1">C34</f>
        <v>1596</v>
      </c>
      <c r="F42" s="316">
        <f ca="1">C35</f>
        <v>106</v>
      </c>
      <c r="G42" s="309"/>
      <c r="H42" s="309"/>
      <c r="I42" s="317"/>
      <c r="J42" s="1914"/>
      <c r="K42" s="1225" t="s">
        <v>361</v>
      </c>
      <c r="L42" s="1931" t="s">
        <v>362</v>
      </c>
      <c r="M42" s="1226" t="s">
        <v>363</v>
      </c>
      <c r="N42" s="1932" t="s">
        <v>364</v>
      </c>
      <c r="O42" s="1933" t="s">
        <v>365</v>
      </c>
      <c r="P42" s="1912"/>
      <c r="V42" s="1912"/>
    </row>
    <row r="43" spans="1:26" ht="30">
      <c r="A43" s="3409" t="s">
        <v>2710</v>
      </c>
      <c r="B43" s="3410"/>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10905</v>
      </c>
      <c r="M43" s="1229">
        <f>C18</f>
        <v>0.5</v>
      </c>
      <c r="N43" s="1230">
        <f ca="1">IF(N42="测算结果/万元",G19,G20)</f>
        <v>11845</v>
      </c>
      <c r="O43" s="1231">
        <f ca="1">IF(O42="最终结果/万元",C32,C33)</f>
        <v>11845</v>
      </c>
      <c r="P43" s="1912"/>
      <c r="V43" s="1912"/>
    </row>
    <row r="44" spans="1:26" ht="30.75" thickBot="1">
      <c r="A44" s="3398" t="str">
        <f>IF(OR(项目基本情况!E8="抵押价格",项目基本情况!E8="已注销及未注销"),"3.抵押价格","——")</f>
        <v>3.抵押价格</v>
      </c>
      <c r="B44" s="3399"/>
      <c r="C44" s="262">
        <f ca="1">IF(A44="——","——",C42-C43)</f>
        <v>11845</v>
      </c>
      <c r="D44" s="315">
        <f ca="1">ROUND(C44*10000/'数据-汇总表'!E3,0)</f>
        <v>1596</v>
      </c>
      <c r="E44" s="315">
        <f ca="1">ROUND(C44*10000/'数据-汇总表'!D3,0)</f>
        <v>1596</v>
      </c>
      <c r="F44" s="316">
        <f ca="1">ROUND(C44/('数据-汇总表'!D3/666.67),0)</f>
        <v>106</v>
      </c>
      <c r="G44" s="309"/>
      <c r="H44" s="309"/>
      <c r="I44" s="317"/>
      <c r="J44" s="1914"/>
      <c r="K44" s="1232" t="str">
        <f>D4</f>
        <v>剩余法-待开发</v>
      </c>
      <c r="L44" s="1233">
        <f ca="1">IF(L42="估价结果/万元",D19,D20)</f>
        <v>12785</v>
      </c>
      <c r="M44" s="1234">
        <f>D18</f>
        <v>0.5</v>
      </c>
      <c r="N44" s="1235"/>
      <c r="O44" s="1236"/>
      <c r="P44" s="1912"/>
      <c r="V44" s="1912"/>
    </row>
    <row r="45" spans="1:26" ht="15">
      <c r="A45" s="3404" t="str">
        <f>IF(项目基本情况!E8="已注销及未注销","4.抵押担保权已注销时的抵押价格",IF(项目基本情况!E8="已注销","3.抵押担保权已注销时的抵押价格","——"))</f>
        <v>——</v>
      </c>
      <c r="B45" s="3405"/>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00" t="str">
        <f>IF(项目基本情况!E9="抵押净值",IF(A45="——","4.抵押净值","5.抵押净值"),"——")</f>
        <v>4.抵押净值</v>
      </c>
      <c r="B46" s="3401"/>
      <c r="C46" s="318">
        <f ca="1">IF(A46="——","——",O79)</f>
        <v>10788</v>
      </c>
      <c r="D46" s="315">
        <f ca="1">ROUND(C46*10000/'数据-汇总表'!E3,0)</f>
        <v>1453</v>
      </c>
      <c r="E46" s="315">
        <f ca="1">ROUND(C46*10000/'数据-汇总表'!D3,0)</f>
        <v>1453</v>
      </c>
      <c r="F46" s="316">
        <f ca="1">ROUND(C46/('数据-汇总表'!D3/666.67),0)</f>
        <v>97</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48" t="s">
        <v>374</v>
      </c>
      <c r="B63" s="3449"/>
      <c r="C63" s="3450"/>
      <c r="D63" s="339">
        <f ca="1">ROUND(C42*F63,0)</f>
        <v>11845</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06" t="s">
        <v>378</v>
      </c>
      <c r="B64" s="3407"/>
      <c r="C64" s="3407"/>
      <c r="D64" s="3407"/>
      <c r="E64" s="3407"/>
      <c r="F64" s="3407"/>
      <c r="G64" s="3408"/>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02" t="s">
        <v>386</v>
      </c>
      <c r="B66" s="3403"/>
      <c r="C66" s="3403"/>
      <c r="D66" s="259">
        <f ca="1">IF(H66="情况1",0,IF(H66="情况2",D70,IF(H66="情况3",D71,IF(H66="情况4",D72))))</f>
        <v>620</v>
      </c>
      <c r="E66" s="981" t="str">
        <f>IF(H66="情况4","(销售额-原购置价)×税（费）率","销售额×税（费）率")</f>
        <v>销售额×税（费）率</v>
      </c>
      <c r="F66" s="348">
        <f>IF(H66="情况1","免征",'数据-取费表'!B41)</f>
        <v>5.5000000000000007E-2</v>
      </c>
      <c r="G66" s="349" t="s">
        <v>387</v>
      </c>
      <c r="H66" s="189" t="s">
        <v>3013</v>
      </c>
      <c r="I66" s="1242"/>
      <c r="J66" s="1918"/>
      <c r="K66" s="1245">
        <v>1</v>
      </c>
      <c r="L66" s="3463" t="s">
        <v>385</v>
      </c>
      <c r="M66" s="3464"/>
      <c r="N66" s="2313"/>
      <c r="O66" s="2314"/>
      <c r="P66" s="2315"/>
      <c r="Q66" s="1912"/>
      <c r="R66" s="1912"/>
      <c r="S66" s="1912"/>
      <c r="T66" s="1912"/>
      <c r="U66" s="1912"/>
      <c r="V66" s="1912"/>
    </row>
    <row r="67" spans="1:22" ht="25.5" customHeight="1">
      <c r="A67" s="350" t="s">
        <v>389</v>
      </c>
      <c r="B67" s="3393" t="s">
        <v>390</v>
      </c>
      <c r="C67" s="3393"/>
      <c r="D67" s="351">
        <v>0</v>
      </c>
      <c r="E67" s="41" t="s">
        <v>391</v>
      </c>
      <c r="F67" s="62" t="s">
        <v>21</v>
      </c>
      <c r="G67" s="3451"/>
      <c r="H67" s="3007" t="s">
        <v>2955</v>
      </c>
      <c r="I67" s="3009"/>
      <c r="J67" s="1919"/>
      <c r="K67" s="1891">
        <v>2</v>
      </c>
      <c r="L67" s="3457" t="s">
        <v>388</v>
      </c>
      <c r="M67" s="3457"/>
      <c r="N67" s="1279">
        <f>'数据-取费表'!B2</f>
        <v>44070</v>
      </c>
      <c r="O67" s="1279"/>
      <c r="P67" s="1279"/>
      <c r="Q67" s="1912"/>
      <c r="R67" s="1912"/>
      <c r="S67" s="1912"/>
      <c r="T67" s="1912"/>
      <c r="U67" s="1912"/>
      <c r="V67" s="1912"/>
    </row>
    <row r="68" spans="1:22" ht="25.5" customHeight="1">
      <c r="A68" s="352"/>
      <c r="B68" s="3393" t="s">
        <v>393</v>
      </c>
      <c r="C68" s="3393"/>
      <c r="D68" s="353"/>
      <c r="E68" s="77"/>
      <c r="F68" s="354"/>
      <c r="G68" s="3452"/>
      <c r="H68" s="3008" t="s">
        <v>2956</v>
      </c>
      <c r="I68" s="3009"/>
      <c r="J68" s="1919"/>
      <c r="K68" s="1891">
        <v>3</v>
      </c>
      <c r="L68" s="3457" t="s">
        <v>392</v>
      </c>
      <c r="M68" s="3457"/>
      <c r="N68" s="1247">
        <f ca="1">C42</f>
        <v>11845</v>
      </c>
      <c r="O68" s="1247"/>
      <c r="P68" s="1247"/>
      <c r="Q68" s="1912"/>
      <c r="R68" s="1912"/>
      <c r="S68" s="1912"/>
      <c r="T68" s="1912"/>
      <c r="U68" s="1912"/>
      <c r="V68" s="1912"/>
    </row>
    <row r="69" spans="1:22" ht="23.45" customHeight="1">
      <c r="A69" s="355"/>
      <c r="B69" s="3393" t="s">
        <v>394</v>
      </c>
      <c r="C69" s="3393"/>
      <c r="D69" s="356"/>
      <c r="E69" s="73"/>
      <c r="F69" s="354"/>
      <c r="G69" s="3453"/>
      <c r="H69" s="3008" t="s">
        <v>2957</v>
      </c>
      <c r="I69" s="3009"/>
      <c r="J69" s="1919"/>
      <c r="K69" s="1248">
        <v>4</v>
      </c>
      <c r="L69" s="3467" t="s">
        <v>2862</v>
      </c>
      <c r="M69" s="3468"/>
      <c r="N69" s="1249">
        <f ca="1">C44</f>
        <v>11845</v>
      </c>
      <c r="O69" s="1249"/>
      <c r="P69" s="1249"/>
      <c r="Q69" s="1912"/>
      <c r="R69" s="1912"/>
      <c r="S69" s="1912"/>
      <c r="T69" s="1912"/>
      <c r="U69" s="1912"/>
      <c r="V69" s="1912"/>
    </row>
    <row r="70" spans="1:22" ht="24" customHeight="1">
      <c r="A70" s="357" t="s">
        <v>395</v>
      </c>
      <c r="B70" s="3393" t="s">
        <v>396</v>
      </c>
      <c r="C70" s="3393"/>
      <c r="D70" s="356">
        <f ca="1">ROUND(D63*'数据-取费表'!B41/(1+'数据-取费表'!C42),0)</f>
        <v>620</v>
      </c>
      <c r="E70" s="17" t="s">
        <v>397</v>
      </c>
      <c r="F70" s="358">
        <f>'数据-取费表'!B41</f>
        <v>5.5000000000000007E-2</v>
      </c>
      <c r="G70" s="359"/>
      <c r="H70" s="309"/>
      <c r="I70" s="1246"/>
      <c r="J70" s="1919"/>
      <c r="K70" s="2766"/>
      <c r="L70" s="2767"/>
      <c r="M70" s="2767"/>
      <c r="N70" s="2768" t="s">
        <v>2866</v>
      </c>
      <c r="O70" s="2767"/>
      <c r="P70" s="2769"/>
      <c r="Q70" s="1912"/>
      <c r="R70" s="1912"/>
      <c r="S70" s="1912"/>
      <c r="T70" s="1912"/>
      <c r="U70" s="1912"/>
      <c r="V70" s="1912"/>
    </row>
    <row r="71" spans="1:22" ht="12" customHeight="1">
      <c r="A71" s="357" t="s">
        <v>403</v>
      </c>
      <c r="B71" s="3394" t="s">
        <v>2987</v>
      </c>
      <c r="C71" s="3395"/>
      <c r="D71" s="356">
        <f ca="1">ROUND(D63*'数据-取费表'!B41/(1+'数据-取费表'!C42),0)</f>
        <v>620</v>
      </c>
      <c r="E71" s="17" t="s">
        <v>397</v>
      </c>
      <c r="F71" s="358">
        <f>'数据-取费表'!B41</f>
        <v>5.5000000000000007E-2</v>
      </c>
      <c r="G71" s="359"/>
      <c r="H71" s="309"/>
      <c r="I71" s="1246"/>
      <c r="J71" s="1919"/>
      <c r="K71" s="2765" t="s">
        <v>398</v>
      </c>
      <c r="L71" s="3469" t="s">
        <v>399</v>
      </c>
      <c r="M71" s="3469"/>
      <c r="N71" s="2765" t="s">
        <v>400</v>
      </c>
      <c r="O71" s="2765" t="s">
        <v>401</v>
      </c>
      <c r="P71" s="2765" t="s">
        <v>402</v>
      </c>
      <c r="Q71" s="1912"/>
      <c r="R71" s="1912"/>
      <c r="S71" s="1912"/>
      <c r="T71" s="1912"/>
      <c r="U71" s="1912"/>
      <c r="V71" s="1912"/>
    </row>
    <row r="72" spans="1:22" ht="12" customHeight="1">
      <c r="A72" s="357" t="s">
        <v>405</v>
      </c>
      <c r="B72" s="3394" t="s">
        <v>2988</v>
      </c>
      <c r="C72" s="3395"/>
      <c r="D72" s="356">
        <f ca="1">C86</f>
        <v>620</v>
      </c>
      <c r="E72" s="73" t="s">
        <v>406</v>
      </c>
      <c r="F72" s="358">
        <f>'数据-取费表'!B41</f>
        <v>5.5000000000000007E-2</v>
      </c>
      <c r="G72" s="359"/>
      <c r="H72" s="1252"/>
      <c r="I72" s="1246"/>
      <c r="J72" s="1919"/>
      <c r="K72" s="1891">
        <v>1</v>
      </c>
      <c r="L72" s="3444" t="s">
        <v>404</v>
      </c>
      <c r="M72" s="3444"/>
      <c r="N72" s="1250">
        <f ca="1">D66</f>
        <v>620</v>
      </c>
      <c r="O72" s="1774" t="str">
        <f>E66</f>
        <v>销售额×税（费）率</v>
      </c>
      <c r="P72" s="1251">
        <f>F66</f>
        <v>5.5000000000000007E-2</v>
      </c>
      <c r="Q72" s="1912"/>
      <c r="R72" s="1912"/>
      <c r="S72" s="1912"/>
      <c r="T72" s="1912"/>
      <c r="U72" s="1912"/>
      <c r="V72" s="1912"/>
    </row>
    <row r="73" spans="1:22" ht="24" customHeight="1">
      <c r="A73" s="3439" t="s">
        <v>408</v>
      </c>
      <c r="B73" s="3403"/>
      <c r="C73" s="3403"/>
      <c r="D73" s="360">
        <f ca="1">IF(H73="个人住宅",0,ROUND(D63*I73,0))</f>
        <v>6</v>
      </c>
      <c r="E73" s="17" t="s">
        <v>409</v>
      </c>
      <c r="F73" s="358">
        <f>IF(H73="正常",I73,"免征")</f>
        <v>5.0000000000000001E-4</v>
      </c>
      <c r="G73" s="359"/>
      <c r="H73" s="189" t="s">
        <v>3014</v>
      </c>
      <c r="I73" s="358">
        <f>'数据-取费表'!B49</f>
        <v>5.0000000000000001E-4</v>
      </c>
      <c r="J73" s="1919"/>
      <c r="K73" s="1891">
        <v>2</v>
      </c>
      <c r="L73" s="3444" t="s">
        <v>407</v>
      </c>
      <c r="M73" s="3444"/>
      <c r="N73" s="1250">
        <f t="shared" ref="N73:P74" ca="1" si="1">D73</f>
        <v>6</v>
      </c>
      <c r="O73" s="1774" t="str">
        <f t="shared" si="1"/>
        <v>销售额×税（费）率</v>
      </c>
      <c r="P73" s="1251">
        <f t="shared" si="1"/>
        <v>5.0000000000000001E-4</v>
      </c>
      <c r="Q73" s="1912"/>
      <c r="R73" s="1912"/>
      <c r="S73" s="1912"/>
      <c r="T73" s="1912"/>
      <c r="U73" s="1912"/>
      <c r="V73" s="1912"/>
    </row>
    <row r="74" spans="1:22" ht="24.75">
      <c r="A74" s="3439" t="s">
        <v>411</v>
      </c>
      <c r="B74" s="3403"/>
      <c r="C74" s="3403"/>
      <c r="D74" s="360">
        <f ca="1">IF(H74="个人住宅",D75,D76)</f>
        <v>431</v>
      </c>
      <c r="E74" s="17" t="s">
        <v>412</v>
      </c>
      <c r="F74" s="358" t="str">
        <f>IF(H74="正常",F76,"免征")</f>
        <v>——</v>
      </c>
      <c r="G74" s="971" t="s">
        <v>413</v>
      </c>
      <c r="H74" s="361" t="s">
        <v>3014</v>
      </c>
      <c r="I74" s="42"/>
      <c r="J74" s="1919"/>
      <c r="K74" s="1891">
        <v>3</v>
      </c>
      <c r="L74" s="3444" t="s">
        <v>410</v>
      </c>
      <c r="M74" s="3444"/>
      <c r="N74" s="1250">
        <f t="shared" ca="1" si="1"/>
        <v>431</v>
      </c>
      <c r="O74" s="1774" t="str">
        <f t="shared" si="1"/>
        <v>增值额×税（费）率</v>
      </c>
      <c r="P74" s="1253" t="str">
        <f t="shared" si="1"/>
        <v>——</v>
      </c>
      <c r="Q74" s="1912"/>
      <c r="R74" s="1912"/>
      <c r="S74" s="1912"/>
      <c r="T74" s="1912"/>
      <c r="U74" s="1912"/>
      <c r="V74" s="1912"/>
    </row>
    <row r="75" spans="1:22" ht="12.75">
      <c r="A75" s="357" t="s">
        <v>414</v>
      </c>
      <c r="B75" s="3391" t="s">
        <v>415</v>
      </c>
      <c r="C75" s="3427"/>
      <c r="D75" s="362">
        <v>0</v>
      </c>
      <c r="E75" s="41" t="s">
        <v>416</v>
      </c>
      <c r="F75" s="363"/>
      <c r="G75" s="359"/>
      <c r="H75" s="42"/>
      <c r="I75" s="42"/>
      <c r="J75" s="1919"/>
      <c r="K75" s="2759" t="str">
        <f>IF(H77="非个人房产","",4)</f>
        <v/>
      </c>
      <c r="L75" s="3444" t="str">
        <f>IF(H77="非个人房产","——","个人所得税")</f>
        <v>——</v>
      </c>
      <c r="M75" s="3444"/>
      <c r="N75" s="1254" t="str">
        <f>D77</f>
        <v>——</v>
      </c>
      <c r="O75" s="1787" t="str">
        <f>E77</f>
        <v>——</v>
      </c>
      <c r="P75" s="1255" t="str">
        <f>F77</f>
        <v>——</v>
      </c>
      <c r="Q75" s="1912"/>
      <c r="R75" s="1912"/>
      <c r="S75" s="1912"/>
      <c r="T75" s="1912"/>
      <c r="U75" s="1912"/>
      <c r="V75" s="1912"/>
    </row>
    <row r="76" spans="1:22" ht="24.75">
      <c r="A76" s="357" t="s">
        <v>395</v>
      </c>
      <c r="B76" s="3391" t="s">
        <v>418</v>
      </c>
      <c r="C76" s="3392"/>
      <c r="D76" s="360">
        <f ca="1">IF(H76="转让取得",C99,C115)</f>
        <v>431</v>
      </c>
      <c r="E76" s="17" t="s">
        <v>419</v>
      </c>
      <c r="F76" s="53" t="s">
        <v>21</v>
      </c>
      <c r="G76" s="359"/>
      <c r="H76" s="361" t="s">
        <v>3015</v>
      </c>
      <c r="I76" s="42"/>
      <c r="J76" s="1919"/>
      <c r="K76" s="2759" t="str">
        <f>IF(项目基本情况!K6="上海银行",IF(K75="",4,K75+1),"")</f>
        <v/>
      </c>
      <c r="L76" s="3459" t="str">
        <f>IF(项目基本情况!K6="上海银行","其他处置费用","")</f>
        <v/>
      </c>
      <c r="M76" s="3460"/>
      <c r="N76" s="1250" t="str">
        <f>IF(项目基本情况!K6="上海银行",N89,"")</f>
        <v/>
      </c>
      <c r="O76" s="3461" t="str">
        <f>IF(项目基本情况!K6="上海银行","包含处置中涉及的律师、诉讼、拍卖、评估等费用","")</f>
        <v/>
      </c>
      <c r="P76" s="3462"/>
      <c r="Q76" s="1912"/>
      <c r="R76" s="1912"/>
      <c r="S76" s="1912"/>
      <c r="T76" s="1912"/>
      <c r="U76" s="1912"/>
      <c r="V76" s="1912"/>
    </row>
    <row r="77" spans="1:22" ht="24.75" thickBot="1">
      <c r="A77" s="3446" t="s">
        <v>421</v>
      </c>
      <c r="B77" s="3447"/>
      <c r="C77" s="3447"/>
      <c r="D77" s="3012" t="str">
        <f>IF(H77="非个人房产","——",IF(H77="个人住宅（满五唯一有凭证）",0,IF(H77="个人其他（无凭证）",ROUND(D63*F77,0),ROUND(C84*F77,0))))</f>
        <v>——</v>
      </c>
      <c r="E77" s="3013" t="str">
        <f>IF(H77="非个人房产","——",IF(H77="个人其他（无凭证）","销售额×税（费）率",IF(H77="个人住宅（满五唯一有凭证）","免征","差额计税")))</f>
        <v>——</v>
      </c>
      <c r="F77" s="3014" t="str">
        <f>IF(OR(H77="非个人房产",H77="个人住宅（满五唯一有凭证）"),"——",IF(H77="个人其他（有凭证）",20%,1%))</f>
        <v>——</v>
      </c>
      <c r="G77" s="972" t="s">
        <v>413</v>
      </c>
      <c r="H77" s="3011" t="s">
        <v>3057</v>
      </c>
      <c r="I77" s="3010" t="s">
        <v>2958</v>
      </c>
      <c r="J77" s="1919"/>
      <c r="K77" s="3445">
        <f>IF(AND(K75="",K76=""),4,IF(项目基本情况!K6="上海银行",K76+1,K75+1))</f>
        <v>4</v>
      </c>
      <c r="L77" s="3444" t="s">
        <v>2863</v>
      </c>
      <c r="M77" s="2764" t="s">
        <v>417</v>
      </c>
      <c r="N77" s="1256"/>
      <c r="O77" s="1257">
        <f ca="1">SUMIF(N72:N76,"&lt;9e307")</f>
        <v>1057</v>
      </c>
      <c r="P77" s="1258"/>
      <c r="Q77" s="2762">
        <f ca="1">O77/N69</f>
        <v>8.9235964542000848E-2</v>
      </c>
      <c r="R77" s="1912"/>
      <c r="S77" s="1912"/>
      <c r="T77" s="1912"/>
      <c r="U77" s="1912"/>
      <c r="V77" s="1912"/>
    </row>
    <row r="78" spans="1:22" ht="12" customHeight="1">
      <c r="A78" s="1259"/>
      <c r="B78" s="309"/>
      <c r="C78" s="309"/>
      <c r="D78" s="309"/>
      <c r="E78" s="42"/>
      <c r="F78" s="42"/>
      <c r="G78" s="42"/>
      <c r="H78" s="991"/>
      <c r="I78" s="309"/>
      <c r="J78" s="1919"/>
      <c r="K78" s="3445"/>
      <c r="L78" s="3444"/>
      <c r="M78" s="2764" t="s">
        <v>420</v>
      </c>
      <c r="N78" s="1256"/>
      <c r="O78" s="1257" t="str">
        <f ca="1">NUMBERSTRING(INT(O77*10000),2)&amp;"元整"</f>
        <v>壹仟零伍拾柒万元整</v>
      </c>
      <c r="P78" s="1258"/>
      <c r="Q78" s="1912"/>
      <c r="R78" s="1912"/>
      <c r="S78" s="1912"/>
      <c r="T78" s="1912"/>
      <c r="U78" s="1912"/>
      <c r="V78" s="1912"/>
    </row>
    <row r="79" spans="1:22" ht="13.5" thickBot="1">
      <c r="A79" s="3411" t="s">
        <v>422</v>
      </c>
      <c r="B79" s="3411"/>
      <c r="C79" s="3411"/>
      <c r="D79" s="3411"/>
      <c r="E79" s="3411"/>
      <c r="F79" s="42"/>
      <c r="G79" s="42"/>
      <c r="H79" s="991"/>
      <c r="I79" s="309"/>
      <c r="J79" s="1919"/>
      <c r="K79" s="3465">
        <f>K77+1</f>
        <v>5</v>
      </c>
      <c r="L79" s="3444" t="s">
        <v>2864</v>
      </c>
      <c r="M79" s="2764" t="s">
        <v>417</v>
      </c>
      <c r="N79" s="1256"/>
      <c r="O79" s="1257">
        <f ca="1">N69-O77</f>
        <v>10788</v>
      </c>
      <c r="P79" s="1258"/>
      <c r="Q79" s="1912"/>
      <c r="R79" s="1912"/>
      <c r="S79" s="1912"/>
      <c r="T79" s="1912"/>
      <c r="U79" s="1912"/>
      <c r="V79" s="1912"/>
    </row>
    <row r="80" spans="1:22" ht="25.5">
      <c r="A80" s="3412" t="s">
        <v>423</v>
      </c>
      <c r="B80" s="3413"/>
      <c r="C80" s="982"/>
      <c r="D80" s="982" t="s">
        <v>424</v>
      </c>
      <c r="E80" s="364" t="s">
        <v>425</v>
      </c>
      <c r="F80" s="42"/>
      <c r="G80" s="42"/>
      <c r="H80" s="991"/>
      <c r="I80" s="309"/>
      <c r="J80" s="1912"/>
      <c r="K80" s="3466"/>
      <c r="L80" s="3444"/>
      <c r="M80" s="2764" t="s">
        <v>420</v>
      </c>
      <c r="N80" s="1256"/>
      <c r="O80" s="1257" t="str">
        <f ca="1">NUMBERSTRING(INT(O79*10000),2)&amp;"元整"</f>
        <v>壹亿零柒佰捌拾捌万元整</v>
      </c>
      <c r="P80" s="1258"/>
      <c r="Q80" s="1912"/>
      <c r="R80" s="1912"/>
      <c r="S80" s="1912"/>
      <c r="T80" s="1912"/>
      <c r="U80" s="1912"/>
      <c r="V80" s="1912"/>
    </row>
    <row r="81" spans="1:26" ht="13.5" thickBot="1">
      <c r="A81" s="375" t="s">
        <v>1814</v>
      </c>
      <c r="B81" s="365" t="s">
        <v>426</v>
      </c>
      <c r="C81" s="366">
        <f ca="1">ROUND((C82+C83)/(1+'数据-取费表'!C42),0)</f>
        <v>11281</v>
      </c>
      <c r="D81" s="367"/>
      <c r="E81" s="368"/>
      <c r="F81" s="42"/>
      <c r="G81" s="42"/>
      <c r="H81" s="991"/>
      <c r="I81" s="309"/>
      <c r="J81" s="1912"/>
      <c r="K81" s="2759">
        <f>K79+1</f>
        <v>6</v>
      </c>
      <c r="L81" s="3442" t="s">
        <v>2865</v>
      </c>
      <c r="M81" s="3443"/>
      <c r="N81" s="1260"/>
      <c r="O81" s="1261">
        <f ca="1">ROUND(O79*10000/'数据-汇总表'!E3,0)</f>
        <v>1453</v>
      </c>
      <c r="P81" s="1262"/>
      <c r="Q81" s="1912"/>
      <c r="R81" s="1912"/>
      <c r="S81" s="1912"/>
      <c r="T81" s="1912"/>
      <c r="U81" s="1912"/>
      <c r="V81" s="1912"/>
    </row>
    <row r="82" spans="1:26" ht="13.5" thickTop="1">
      <c r="A82" s="369" t="s">
        <v>1815</v>
      </c>
      <c r="B82" s="370" t="s">
        <v>427</v>
      </c>
      <c r="C82" s="371">
        <f ca="1">D63</f>
        <v>11845</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58" t="s">
        <v>2853</v>
      </c>
      <c r="L83" s="2770" t="s">
        <v>2854</v>
      </c>
      <c r="M83" s="2760">
        <f ca="1">IF(N69&gt;10000,N69*0.5%,IF(AND(N69&gt;1000,N69&lt;=10000),N69*1%,IF(AND(N69&gt;100,N69&lt;=1000),N69*3%,IF(AND(N69&gt;10,N69&lt;=100),N69*5%,N69*8%))))</f>
        <v>59.225000000000001</v>
      </c>
      <c r="N83" s="53">
        <f ca="1">ROUND(M83,1)</f>
        <v>59.2</v>
      </c>
      <c r="O83" s="2763"/>
      <c r="P83" s="1912"/>
      <c r="Q83" s="1912"/>
      <c r="R83" s="1912"/>
      <c r="S83" s="1912"/>
      <c r="T83" s="1912"/>
      <c r="U83" s="1912"/>
      <c r="V83" s="1912"/>
    </row>
    <row r="84" spans="1:26" ht="12.75">
      <c r="A84" s="375" t="s">
        <v>1817</v>
      </c>
      <c r="B84" s="376" t="s">
        <v>429</v>
      </c>
      <c r="C84" s="377"/>
      <c r="D84" s="378" t="s">
        <v>19</v>
      </c>
      <c r="E84" s="2788" t="s">
        <v>2895</v>
      </c>
      <c r="F84" s="42"/>
      <c r="G84" s="42"/>
      <c r="H84" s="991"/>
      <c r="I84" s="309"/>
      <c r="J84" s="1912"/>
      <c r="K84" s="3458"/>
      <c r="L84" s="2770" t="s">
        <v>2855</v>
      </c>
      <c r="M84" s="2760">
        <f ca="1">IF(N69&gt;2000,N69*0.5%,IF(AND(N69&gt;1000,N69&lt;=2000),N69*0.6%,IF(AND(N69&gt;500,N69&lt;=1000),N69*0.7%,IF(AND(N69&gt;200,N69&lt;=500),N69*0.8%,IF(AND(N69&gt;100,N69&lt;=200),N69*0.9%,IF(AND(N69&gt;50,N69&lt;=100),N69*1%,IF(AND(N69&gt;20,N69&lt;=50),N69*1.5%,IF(AND(N69&gt;10,N69&lt;=20),N69*2%,IF(AND(N69&gt;1,N69&lt;=10),N69*2.5%)))))))))</f>
        <v>59.225000000000001</v>
      </c>
      <c r="N84" s="53">
        <f t="shared" ref="N84:N85" ca="1" si="2">ROUND(M84,1)</f>
        <v>59.2</v>
      </c>
      <c r="O84" s="1912" t="s">
        <v>2856</v>
      </c>
      <c r="P84" s="1912"/>
      <c r="Q84" s="1912"/>
      <c r="R84" s="1912"/>
      <c r="S84" s="1912"/>
      <c r="T84" s="1912"/>
      <c r="U84" s="1912"/>
      <c r="V84" s="1912"/>
    </row>
    <row r="85" spans="1:26" ht="12.75">
      <c r="A85" s="375" t="s">
        <v>1818</v>
      </c>
      <c r="B85" s="376" t="s">
        <v>430</v>
      </c>
      <c r="C85" s="379">
        <f ca="1">C81-C84</f>
        <v>11281</v>
      </c>
      <c r="D85" s="372" t="s">
        <v>19</v>
      </c>
      <c r="E85" s="373"/>
      <c r="F85" s="42"/>
      <c r="G85" s="42"/>
      <c r="H85" s="991"/>
      <c r="I85" s="309"/>
      <c r="J85" s="1912"/>
      <c r="K85" s="3458"/>
      <c r="L85" s="2770" t="s">
        <v>2857</v>
      </c>
      <c r="M85" s="2760">
        <f ca="1">IF(N69&gt;1000,N69*0.1%,IF(AND(N69&gt;500,N69&lt;=1000),N69*0.5%,IF(AND(N69&gt;50,N69&lt;=500),N69*1%,IF(AND(N69&gt;1,N69&lt;=50),N69*1.5%))))</f>
        <v>11.845000000000001</v>
      </c>
      <c r="N85" s="53">
        <f t="shared" ca="1" si="2"/>
        <v>11.8</v>
      </c>
      <c r="O85" s="1912" t="s">
        <v>2856</v>
      </c>
      <c r="P85" s="1912"/>
      <c r="Q85" s="1912"/>
      <c r="R85" s="1912"/>
      <c r="S85" s="1912"/>
      <c r="T85" s="1912"/>
      <c r="U85" s="1912"/>
      <c r="V85" s="1912"/>
    </row>
    <row r="86" spans="1:26" ht="13.5" thickBot="1">
      <c r="A86" s="380" t="s">
        <v>1819</v>
      </c>
      <c r="B86" s="381" t="s">
        <v>431</v>
      </c>
      <c r="C86" s="382">
        <f ca="1">IF(C85&lt;=0,0,ROUND(C85*D86,0))</f>
        <v>620</v>
      </c>
      <c r="D86" s="383">
        <f>'数据-取费表'!B41</f>
        <v>5.5000000000000007E-2</v>
      </c>
      <c r="E86" s="384"/>
      <c r="F86" s="42"/>
      <c r="G86" s="42"/>
      <c r="H86" s="991"/>
      <c r="I86" s="309"/>
      <c r="J86" s="1912"/>
      <c r="K86" s="3458"/>
      <c r="L86" s="2770" t="s">
        <v>2858</v>
      </c>
      <c r="M86" s="2760">
        <f ca="1">N69*0.5%</f>
        <v>59.225000000000001</v>
      </c>
      <c r="N86" s="53">
        <f ca="1">IF(M86&gt;0.5,0.5,ROUND(M86,0))</f>
        <v>0.5</v>
      </c>
      <c r="O86" s="1912" t="s">
        <v>2859</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58"/>
      <c r="L87" s="2770" t="s">
        <v>2860</v>
      </c>
      <c r="M87" s="2760">
        <f ca="1">IF(N69&gt;=10000,(8.25+(N69-10000)*0.01%),IF(AND(N69&gt;=8000,N69&lt;10000),(7.85+(N69-8000)*0.02%),IF(AND(N69&gt;=5000,N69&lt;8000),(6.65+(N69-5000)*0.04%),IF(AND(N69&gt;=2000,N69&lt;5000),(4.25+(PN69-2000)*0.08%),IF(AND(N69&gt;=1000,N69&lt;2000),(2.75+(N69-1000)*0.15%),IF(AND(N69&gt;=100,N69&lt;1000),(0.5+(N69-100)*0.25%),IF(AND(N69&gt;0,N69&lt;100),N69*0.5%)))))))</f>
        <v>8.4344999999999999</v>
      </c>
      <c r="N87" s="53">
        <f ca="1">ROUND(M87*0.9,1)</f>
        <v>7.6</v>
      </c>
      <c r="O87" s="2763"/>
      <c r="P87" s="1912"/>
      <c r="Q87" s="1912"/>
      <c r="R87" s="1912"/>
      <c r="S87" s="1912"/>
      <c r="T87" s="1912"/>
      <c r="U87" s="1912"/>
      <c r="V87" s="1912"/>
      <c r="W87" s="290"/>
      <c r="X87" s="290"/>
      <c r="Y87" s="290"/>
      <c r="Z87" s="290"/>
    </row>
    <row r="88" spans="1:26" s="1268" customFormat="1" ht="15" thickBot="1">
      <c r="A88" s="3437" t="s">
        <v>432</v>
      </c>
      <c r="B88" s="3438"/>
      <c r="C88" s="3438"/>
      <c r="D88" s="3438"/>
      <c r="E88" s="3438"/>
      <c r="F88" s="3438"/>
      <c r="G88" s="3438"/>
      <c r="H88" s="3438"/>
      <c r="I88" s="1269"/>
      <c r="J88" s="1920"/>
      <c r="K88" s="3458"/>
      <c r="L88" s="2770" t="s">
        <v>2861</v>
      </c>
      <c r="M88" s="2760">
        <f ca="1">IF(N69&gt;10000,N69*0.5%,IF(AND(N69&gt;5000,N69&lt;=10000),N69*1%,IF(AND(N69&gt;1000,N69&lt;=5000),N69*2%,IF(AND(N69&gt;200,N69&lt;=1000),N69*3%,N69*5%))))</f>
        <v>59.225000000000001</v>
      </c>
      <c r="N88" s="53">
        <f ca="1">ROUND(M88,1)</f>
        <v>59.2</v>
      </c>
      <c r="O88" s="2763"/>
      <c r="P88" s="1917"/>
      <c r="Q88" s="1917"/>
      <c r="R88" s="1917"/>
      <c r="S88" s="1917"/>
      <c r="T88" s="1917"/>
      <c r="U88" s="1917"/>
      <c r="V88" s="1917"/>
      <c r="W88" s="1921"/>
      <c r="X88" s="1921"/>
      <c r="Y88" s="1921"/>
      <c r="Z88" s="1921"/>
    </row>
    <row r="89" spans="1:26" s="1268" customFormat="1" ht="14.25">
      <c r="A89" s="3412" t="s">
        <v>423</v>
      </c>
      <c r="B89" s="3413"/>
      <c r="C89" s="982"/>
      <c r="D89" s="982" t="s">
        <v>424</v>
      </c>
      <c r="E89" s="385" t="s">
        <v>433</v>
      </c>
      <c r="F89" s="386"/>
      <c r="G89" s="386"/>
      <c r="H89" s="387"/>
      <c r="I89" s="1270"/>
      <c r="J89" s="1922"/>
      <c r="K89" s="3458"/>
      <c r="L89" s="2770" t="s">
        <v>27</v>
      </c>
      <c r="M89" s="2761"/>
      <c r="N89" s="53">
        <f ca="1">ROUND(SUM(N83:N88),0)</f>
        <v>198</v>
      </c>
      <c r="O89" s="2771">
        <f ca="1">N89/N69</f>
        <v>1.6715913887716337E-2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11281</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56</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394" t="s">
        <v>441</v>
      </c>
      <c r="F94" s="3393"/>
      <c r="G94" s="3393"/>
      <c r="H94" s="3436"/>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56</v>
      </c>
      <c r="D96" s="400">
        <f>'数据-取费表'!B43</f>
        <v>5.000000000000001E-3</v>
      </c>
      <c r="E96" s="3428" t="s">
        <v>2412</v>
      </c>
      <c r="F96" s="3429"/>
      <c r="G96" s="3429"/>
      <c r="H96" s="3430"/>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11225</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200.44642857142858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6715</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37" t="s">
        <v>448</v>
      </c>
      <c r="B101" s="3438"/>
      <c r="C101" s="3438"/>
      <c r="D101" s="3438"/>
      <c r="E101" s="3438"/>
      <c r="F101" s="3438"/>
      <c r="G101" s="3438"/>
      <c r="H101" s="3438"/>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12" t="s">
        <v>423</v>
      </c>
      <c r="B102" s="3413"/>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11281</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9846</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9790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f>信息!B4</f>
        <v>9500</v>
      </c>
      <c r="D106" s="400"/>
      <c r="E106" s="411" t="s">
        <v>451</v>
      </c>
      <c r="F106" s="974"/>
      <c r="G106" s="412" t="s">
        <v>452</v>
      </c>
      <c r="H106" s="413" t="s">
        <v>3016</v>
      </c>
      <c r="I106" s="11"/>
      <c r="J106" s="1917"/>
      <c r="K106" s="3244" t="s">
        <v>2980</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290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388" t="s">
        <v>2949</v>
      </c>
      <c r="H108" s="3389"/>
      <c r="I108" s="2860"/>
      <c r="J108" s="1917"/>
      <c r="K108" s="3244" t="s">
        <v>2981</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31" t="s">
        <v>456</v>
      </c>
      <c r="F109" s="3429"/>
      <c r="G109" s="3429"/>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5">
        <v>0</v>
      </c>
      <c r="E110" s="3431" t="s">
        <v>458</v>
      </c>
      <c r="F110" s="3429"/>
      <c r="G110" s="3429"/>
      <c r="H110" s="3430"/>
      <c r="I110" s="11"/>
      <c r="J110" s="1917"/>
      <c r="K110" s="3245" t="s">
        <v>2982</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56</v>
      </c>
      <c r="D111" s="400">
        <f>'数据-取费表'!B43</f>
        <v>5.000000000000001E-3</v>
      </c>
      <c r="E111" s="3428" t="s">
        <v>2412</v>
      </c>
      <c r="F111" s="3429"/>
      <c r="G111" s="3429"/>
      <c r="H111" s="3430"/>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31" t="s">
        <v>2435</v>
      </c>
      <c r="F112" s="3429"/>
      <c r="G112" s="3429"/>
      <c r="H112" s="3430"/>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1435</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0.14574446475726183</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431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108">
    <cfRule type="expression" dxfId="169" priority="3" stopIfTrue="1">
      <formula>$H$106&lt;&gt;"仅含出让金"</formula>
    </cfRule>
  </conditionalFormatting>
  <conditionalFormatting sqref="C109">
    <cfRule type="expression" dxfId="168" priority="2" stopIfTrue="1">
      <formula>$H$109="由企业提供"</formula>
    </cfRule>
  </conditionalFormatting>
  <conditionalFormatting sqref="I33">
    <cfRule type="expression" dxfId="167"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B37" zoomScale="80" zoomScaleNormal="95" zoomScaleSheetLayoutView="80" workbookViewId="0">
      <selection activeCell="K32" sqref="K32"/>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5"/>
      <c r="Q1" s="2015"/>
      <c r="R1" s="2015"/>
      <c r="S1" s="2015"/>
      <c r="T1" s="2015"/>
      <c r="U1" s="2015"/>
      <c r="V1" s="2015"/>
      <c r="W1" s="2015"/>
      <c r="X1" s="2015"/>
      <c r="Y1" s="2015"/>
      <c r="Z1" s="2015"/>
      <c r="AA1" s="2015"/>
      <c r="AB1" s="2015"/>
      <c r="AC1" s="3212"/>
      <c r="AD1" s="1289"/>
    </row>
    <row r="2" spans="1:30" s="1290" customFormat="1" ht="28.5" customHeight="1">
      <c r="A2" s="417" t="s">
        <v>461</v>
      </c>
      <c r="B2" s="502">
        <f>F68</f>
        <v>10905</v>
      </c>
      <c r="C2" s="3220"/>
      <c r="D2" s="3220"/>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c r="AD2" s="1289"/>
    </row>
    <row r="3" spans="1:30" s="1290" customFormat="1" ht="28.5" customHeight="1">
      <c r="A3" s="1331" t="s">
        <v>1675</v>
      </c>
      <c r="B3" s="504">
        <f>ROUND(B2*10000/'数据-汇总表'!E3,0)</f>
        <v>1469</v>
      </c>
      <c r="C3" s="3221"/>
      <c r="D3" s="3225"/>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3213"/>
      <c r="AC3" s="1945"/>
    </row>
    <row r="4" spans="1:30" s="1290" customFormat="1" ht="28.5" customHeight="1">
      <c r="A4" s="505" t="s">
        <v>514</v>
      </c>
      <c r="B4" s="421">
        <f>IF(B48="单位面积地价",C50,ROUND(B2*10000/'数据-汇总表'!D3,0))</f>
        <v>1469</v>
      </c>
      <c r="C4" s="3221"/>
      <c r="D4" s="3225"/>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98</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79" t="s">
        <v>516</v>
      </c>
      <c r="D6" s="3480"/>
      <c r="E6" s="3479" t="s">
        <v>517</v>
      </c>
      <c r="F6" s="3480"/>
      <c r="G6" s="3479" t="s">
        <v>518</v>
      </c>
      <c r="H6" s="3480"/>
      <c r="I6" s="3479" t="s">
        <v>519</v>
      </c>
      <c r="J6" s="3480"/>
      <c r="K6" s="508" t="s">
        <v>520</v>
      </c>
      <c r="L6" s="2016"/>
      <c r="M6" s="2015"/>
      <c r="N6" s="2015"/>
      <c r="O6" s="2017"/>
      <c r="P6" s="3481" t="s">
        <v>521</v>
      </c>
      <c r="Q6" s="3482"/>
      <c r="R6" s="3487" t="s">
        <v>517</v>
      </c>
      <c r="S6" s="3488"/>
      <c r="T6" s="3487" t="s">
        <v>518</v>
      </c>
      <c r="U6" s="3488"/>
      <c r="V6" s="3474" t="s">
        <v>519</v>
      </c>
      <c r="W6" s="3474"/>
      <c r="X6" s="1502"/>
      <c r="Y6" s="3487" t="s">
        <v>521</v>
      </c>
      <c r="Z6" s="3488"/>
      <c r="AA6" s="3476" t="s">
        <v>517</v>
      </c>
      <c r="AB6" s="3477" t="s">
        <v>518</v>
      </c>
      <c r="AC6" s="3476" t="s">
        <v>519</v>
      </c>
    </row>
    <row r="7" spans="1:30" ht="33" customHeight="1">
      <c r="A7" s="509"/>
      <c r="B7" s="510"/>
      <c r="C7" s="3607" t="s">
        <v>3107</v>
      </c>
      <c r="D7" s="3608"/>
      <c r="E7" s="3607" t="str">
        <f>土地案例!$A$2</f>
        <v>临潼区现代物流区210国道以东,西安宝湾国际物流中心西侧</v>
      </c>
      <c r="F7" s="3608"/>
      <c r="G7" s="3607" t="str">
        <f>土地案例!$A$4</f>
        <v>骊山大道以北、芷阳五路以西</v>
      </c>
      <c r="H7" s="3608"/>
      <c r="I7" s="3607" t="str">
        <f>土地案例!$A$5</f>
        <v>曲江临潼新区凤凰大道以北、芷阳五路以东</v>
      </c>
      <c r="J7" s="3608"/>
      <c r="K7" s="508"/>
      <c r="L7" s="2016"/>
      <c r="M7" s="2015"/>
      <c r="N7" s="2015"/>
      <c r="O7" s="2017"/>
      <c r="P7" s="3483"/>
      <c r="Q7" s="3484"/>
      <c r="R7" s="3489"/>
      <c r="S7" s="3490"/>
      <c r="T7" s="3489"/>
      <c r="U7" s="3490"/>
      <c r="V7" s="3474"/>
      <c r="W7" s="3474"/>
      <c r="X7" s="1502"/>
      <c r="Y7" s="3489"/>
      <c r="Z7" s="3490"/>
      <c r="AA7" s="3477"/>
      <c r="AB7" s="3477"/>
      <c r="AC7" s="3477"/>
    </row>
    <row r="8" spans="1:30" ht="21" thickBot="1">
      <c r="A8" s="509"/>
      <c r="B8" s="510"/>
      <c r="C8" s="3609" t="s">
        <v>3108</v>
      </c>
      <c r="D8" s="3610"/>
      <c r="E8" s="3609" t="s">
        <v>3108</v>
      </c>
      <c r="F8" s="3610"/>
      <c r="G8" s="3611" t="s">
        <v>3108</v>
      </c>
      <c r="H8" s="3612"/>
      <c r="I8" s="3611" t="s">
        <v>3108</v>
      </c>
      <c r="J8" s="3612"/>
      <c r="K8" s="508" t="s">
        <v>522</v>
      </c>
      <c r="L8" s="2016"/>
      <c r="M8" s="2015"/>
      <c r="N8" s="2015"/>
      <c r="O8" s="2017"/>
      <c r="P8" s="3485"/>
      <c r="Q8" s="3486"/>
      <c r="R8" s="3489"/>
      <c r="S8" s="3490"/>
      <c r="T8" s="3491"/>
      <c r="U8" s="3492"/>
      <c r="V8" s="3474"/>
      <c r="W8" s="3474"/>
      <c r="X8" s="1502"/>
      <c r="Y8" s="3491"/>
      <c r="Z8" s="3492"/>
      <c r="AA8" s="3478"/>
      <c r="AB8" s="3478"/>
      <c r="AC8" s="3478"/>
    </row>
    <row r="9" spans="1:30" s="1203" customFormat="1" ht="21" thickBot="1">
      <c r="A9" s="2630"/>
      <c r="B9" s="2637" t="s">
        <v>523</v>
      </c>
      <c r="C9" s="2629">
        <f>'数据-取费表'!B2</f>
        <v>44070</v>
      </c>
      <c r="D9" s="514">
        <v>100</v>
      </c>
      <c r="E9" s="515" t="str">
        <f>土地案例!$J$2</f>
        <v>2019-11-28</v>
      </c>
      <c r="F9" s="516">
        <f>SUMIF(72:72,YEAR(E9)&amp;"-"&amp;INT((MONTH(E9)+2)/3),73:73)</f>
        <v>100</v>
      </c>
      <c r="G9" s="517" t="str">
        <f>土地案例!$K$4</f>
        <v>2017-10-19</v>
      </c>
      <c r="H9" s="514">
        <f>SUMIF(72:72,YEAR(G9)&amp;"-"&amp;INT((MONTH(G9)+2)/3),73:73)</f>
        <v>100</v>
      </c>
      <c r="I9" s="517" t="str">
        <f>土地案例!$K$5</f>
        <v>2017-08-29</v>
      </c>
      <c r="J9" s="514">
        <f>SUMIF(72:72,YEAR(I9)&amp;"-"&amp;INT((MONTH(I9)+2)/3),73:73)</f>
        <v>100</v>
      </c>
      <c r="K9" s="518"/>
      <c r="L9" s="2018"/>
      <c r="M9" s="2015"/>
      <c r="N9" s="2015"/>
      <c r="O9" s="2019"/>
      <c r="P9" s="3504" t="s">
        <v>524</v>
      </c>
      <c r="Q9" s="3506"/>
      <c r="R9" s="1503" t="s">
        <v>8</v>
      </c>
      <c r="S9" s="1504">
        <f t="shared" ref="S9:S17" si="0">F9</f>
        <v>100</v>
      </c>
      <c r="T9" s="1503" t="s">
        <v>8</v>
      </c>
      <c r="U9" s="1504">
        <f t="shared" ref="U9:U17" si="1">H9</f>
        <v>100</v>
      </c>
      <c r="V9" s="1503" t="s">
        <v>8</v>
      </c>
      <c r="W9" s="1504">
        <f t="shared" ref="W9:W17" si="2">J9</f>
        <v>100</v>
      </c>
      <c r="X9" s="1505"/>
      <c r="Y9" s="3504" t="s">
        <v>524</v>
      </c>
      <c r="Z9" s="3505"/>
      <c r="AA9" s="1506">
        <f>D9/F9</f>
        <v>1</v>
      </c>
      <c r="AB9" s="1506">
        <f>D9/H9</f>
        <v>1</v>
      </c>
      <c r="AC9" s="1506">
        <f>D9/J9</f>
        <v>1</v>
      </c>
    </row>
    <row r="10" spans="1:30" s="1203" customFormat="1" ht="21" thickBot="1">
      <c r="A10" s="2631"/>
      <c r="B10" s="2638" t="s">
        <v>525</v>
      </c>
      <c r="C10" s="845" t="s">
        <v>526</v>
      </c>
      <c r="D10" s="514">
        <v>100</v>
      </c>
      <c r="E10" s="519" t="s">
        <v>3014</v>
      </c>
      <c r="F10" s="516">
        <f>SUMIF(75:75,E10,76:76)-SUMIF(75:75,C10,76:76)+100</f>
        <v>100</v>
      </c>
      <c r="G10" s="519" t="s">
        <v>3014</v>
      </c>
      <c r="H10" s="514">
        <f>SUMIF(75:75,G10,76:76)-SUMIF(75:75,C10,76:76)+100</f>
        <v>100</v>
      </c>
      <c r="I10" s="519" t="s">
        <v>3014</v>
      </c>
      <c r="J10" s="514">
        <f>SUMIF(75:75,I10,76:76)-SUMIF(75:75,C10,76:76)+100</f>
        <v>100</v>
      </c>
      <c r="K10" s="518"/>
      <c r="L10" s="2018"/>
      <c r="M10" s="2015"/>
      <c r="N10" s="2015"/>
      <c r="O10" s="2019"/>
      <c r="P10" s="3504" t="s">
        <v>527</v>
      </c>
      <c r="Q10" s="3505"/>
      <c r="R10" s="1503" t="s">
        <v>8</v>
      </c>
      <c r="S10" s="1504">
        <f t="shared" si="0"/>
        <v>100</v>
      </c>
      <c r="T10" s="1503" t="s">
        <v>8</v>
      </c>
      <c r="U10" s="1504">
        <f t="shared" si="1"/>
        <v>100</v>
      </c>
      <c r="V10" s="1503" t="s">
        <v>8</v>
      </c>
      <c r="W10" s="1504">
        <f t="shared" si="2"/>
        <v>100</v>
      </c>
      <c r="X10" s="1505"/>
      <c r="Y10" s="3504" t="s">
        <v>527</v>
      </c>
      <c r="Z10" s="3505"/>
      <c r="AA10" s="1506">
        <f t="shared" ref="AA10:AA47" si="3">D10/F10</f>
        <v>1</v>
      </c>
      <c r="AB10" s="1506">
        <f t="shared" ref="AB10:AB47" si="4">D10/H10</f>
        <v>1</v>
      </c>
      <c r="AC10" s="1506">
        <f t="shared" ref="AC10:AC47" si="5">D10/J10</f>
        <v>1</v>
      </c>
    </row>
    <row r="11" spans="1:30" s="1203" customFormat="1" ht="20.25">
      <c r="A11" s="2632"/>
      <c r="B11" s="2639" t="s">
        <v>2736</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73" t="s">
        <v>529</v>
      </c>
      <c r="Q11" s="1134" t="str">
        <f t="shared" ref="Q11:Q17" si="6">B11</f>
        <v>用途</v>
      </c>
      <c r="R11" s="1503" t="s">
        <v>8</v>
      </c>
      <c r="S11" s="1504">
        <f t="shared" si="0"/>
        <v>100</v>
      </c>
      <c r="T11" s="1503" t="s">
        <v>8</v>
      </c>
      <c r="U11" s="1504">
        <f t="shared" si="1"/>
        <v>100</v>
      </c>
      <c r="V11" s="1503" t="s">
        <v>8</v>
      </c>
      <c r="W11" s="1504">
        <f t="shared" si="2"/>
        <v>100</v>
      </c>
      <c r="X11" s="1505"/>
      <c r="Y11" s="3419" t="s">
        <v>530</v>
      </c>
      <c r="Z11" s="1133" t="str">
        <f t="shared" ref="Z11:Z17" si="7">Q11</f>
        <v>用途</v>
      </c>
      <c r="AA11" s="1506">
        <f t="shared" si="3"/>
        <v>1</v>
      </c>
      <c r="AB11" s="1506">
        <f t="shared" si="4"/>
        <v>1</v>
      </c>
      <c r="AC11" s="1506">
        <f t="shared" si="5"/>
        <v>1</v>
      </c>
    </row>
    <row r="12" spans="1:30" s="1292" customFormat="1" ht="27">
      <c r="A12" s="2633"/>
      <c r="B12" s="2638" t="s">
        <v>2737</v>
      </c>
      <c r="C12" s="899"/>
      <c r="D12" s="253">
        <v>100</v>
      </c>
      <c r="E12" s="523"/>
      <c r="F12" s="253">
        <f>ROUND(100/'数据-取费表'!G16,0)</f>
        <v>102</v>
      </c>
      <c r="G12" s="524"/>
      <c r="H12" s="253">
        <f>ROUND(100/'数据-取费表'!G16,0)</f>
        <v>102</v>
      </c>
      <c r="I12" s="524"/>
      <c r="J12" s="253">
        <f>ROUND(100/'数据-取费表'!G16,0)</f>
        <v>102</v>
      </c>
      <c r="K12" s="525"/>
      <c r="L12" s="2021"/>
      <c r="M12" s="2015"/>
      <c r="N12" s="2015"/>
      <c r="O12" s="2022"/>
      <c r="P12" s="3473"/>
      <c r="Q12" s="1134" t="str">
        <f t="shared" si="6"/>
        <v>土地使用年限（年）</v>
      </c>
      <c r="R12" s="1503" t="s">
        <v>8</v>
      </c>
      <c r="S12" s="1504">
        <f t="shared" si="0"/>
        <v>102</v>
      </c>
      <c r="T12" s="1503" t="s">
        <v>8</v>
      </c>
      <c r="U12" s="1504">
        <f t="shared" si="1"/>
        <v>102</v>
      </c>
      <c r="V12" s="1503" t="s">
        <v>8</v>
      </c>
      <c r="W12" s="1504">
        <f t="shared" si="2"/>
        <v>102</v>
      </c>
      <c r="X12" s="1505"/>
      <c r="Y12" s="3419"/>
      <c r="Z12" s="1133" t="str">
        <f t="shared" si="7"/>
        <v>土地使用年限（年）</v>
      </c>
      <c r="AA12" s="1506">
        <f t="shared" si="3"/>
        <v>0.98039215686274506</v>
      </c>
      <c r="AB12" s="1506">
        <f t="shared" si="4"/>
        <v>0.98039215686274506</v>
      </c>
      <c r="AC12" s="1506">
        <f t="shared" si="5"/>
        <v>0.98039215686274506</v>
      </c>
    </row>
    <row r="13" spans="1:30" ht="20.25">
      <c r="A13" s="2634"/>
      <c r="B13" s="2638" t="s">
        <v>2738</v>
      </c>
      <c r="C13" s="528">
        <f>'数据-汇总表'!I6</f>
        <v>1</v>
      </c>
      <c r="D13" s="253">
        <v>100</v>
      </c>
      <c r="E13" s="527">
        <f>土地案例!G2</f>
        <v>1.94</v>
      </c>
      <c r="F13" s="253">
        <f>LOOKUP(E13,82:82,83:83)-LOOKUP(C13,82:82,83:83)+100</f>
        <v>100</v>
      </c>
      <c r="G13" s="528">
        <f>土地案例!G4</f>
        <v>1.4</v>
      </c>
      <c r="H13" s="253">
        <f>LOOKUP(G13,82:82,83:83)-LOOKUP(C13,82:82,83:83)+100</f>
        <v>100</v>
      </c>
      <c r="I13" s="527">
        <f>土地案例!G5</f>
        <v>1.5</v>
      </c>
      <c r="J13" s="253">
        <f>LOOKUP(I13,82:82,83:83)-LOOKUP(C13,82:82,83:83)+100</f>
        <v>100</v>
      </c>
      <c r="K13" s="529">
        <v>5</v>
      </c>
      <c r="L13" s="2023"/>
      <c r="M13" s="2015"/>
      <c r="N13" s="2015"/>
      <c r="O13" s="2024"/>
      <c r="P13" s="3473"/>
      <c r="Q13" s="1134" t="str">
        <f t="shared" si="6"/>
        <v>容积率</v>
      </c>
      <c r="R13" s="1503" t="s">
        <v>8</v>
      </c>
      <c r="S13" s="1504">
        <f t="shared" si="0"/>
        <v>100</v>
      </c>
      <c r="T13" s="1503" t="s">
        <v>8</v>
      </c>
      <c r="U13" s="1504">
        <f t="shared" si="1"/>
        <v>100</v>
      </c>
      <c r="V13" s="1503" t="s">
        <v>8</v>
      </c>
      <c r="W13" s="1504">
        <f t="shared" si="2"/>
        <v>100</v>
      </c>
      <c r="X13" s="1505"/>
      <c r="Y13" s="3419"/>
      <c r="Z13" s="1133" t="str">
        <f t="shared" si="7"/>
        <v>容积率</v>
      </c>
      <c r="AA13" s="1506">
        <f t="shared" si="3"/>
        <v>1</v>
      </c>
      <c r="AB13" s="1506">
        <f t="shared" si="4"/>
        <v>1</v>
      </c>
      <c r="AC13" s="1506">
        <f t="shared" si="5"/>
        <v>1</v>
      </c>
    </row>
    <row r="14" spans="1:30" s="1203" customFormat="1" ht="20.25">
      <c r="A14" s="2631"/>
      <c r="B14" s="2640" t="s">
        <v>2739</v>
      </c>
      <c r="C14" s="2627"/>
      <c r="D14" s="532">
        <v>100</v>
      </c>
      <c r="E14" s="1326"/>
      <c r="F14" s="253">
        <f>SUMIF(84:84,E14,85:85)-SUMIF(84:84,C14,85:85)+100</f>
        <v>100</v>
      </c>
      <c r="G14" s="3293"/>
      <c r="H14" s="253">
        <f>SUMIF(84:84,G14,85:85)-SUMIF(84:84,C14,85:85)+100</f>
        <v>100</v>
      </c>
      <c r="I14" s="3294"/>
      <c r="J14" s="253">
        <f>SUMIF(84:84,I14,85:85)-SUMIF(84:84,C14,85:85)+100</f>
        <v>100</v>
      </c>
      <c r="K14" s="525"/>
      <c r="L14" s="2018"/>
      <c r="M14" s="2015"/>
      <c r="N14" s="2015"/>
      <c r="O14" s="2020"/>
      <c r="P14" s="3473"/>
      <c r="Q14" s="1134" t="str">
        <f t="shared" si="6"/>
        <v>配建</v>
      </c>
      <c r="R14" s="1503" t="s">
        <v>8</v>
      </c>
      <c r="S14" s="1504">
        <f t="shared" si="0"/>
        <v>100</v>
      </c>
      <c r="T14" s="1503" t="s">
        <v>8</v>
      </c>
      <c r="U14" s="1504">
        <f t="shared" si="1"/>
        <v>100</v>
      </c>
      <c r="V14" s="1503" t="s">
        <v>8</v>
      </c>
      <c r="W14" s="1504">
        <f t="shared" si="2"/>
        <v>100</v>
      </c>
      <c r="X14" s="1505"/>
      <c r="Y14" s="3419"/>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73"/>
      <c r="Q15" s="1134">
        <f t="shared" si="6"/>
        <v>111</v>
      </c>
      <c r="R15" s="1503" t="s">
        <v>8</v>
      </c>
      <c r="S15" s="1504">
        <f t="shared" si="0"/>
        <v>100</v>
      </c>
      <c r="T15" s="1503" t="s">
        <v>8</v>
      </c>
      <c r="U15" s="1504">
        <f t="shared" si="1"/>
        <v>100</v>
      </c>
      <c r="V15" s="1503" t="s">
        <v>8</v>
      </c>
      <c r="W15" s="1504">
        <f t="shared" si="2"/>
        <v>100</v>
      </c>
      <c r="X15" s="1505"/>
      <c r="Y15" s="3419"/>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73"/>
      <c r="Q16" s="1134">
        <f t="shared" si="6"/>
        <v>111</v>
      </c>
      <c r="R16" s="1503" t="s">
        <v>8</v>
      </c>
      <c r="S16" s="1504">
        <f t="shared" si="0"/>
        <v>100</v>
      </c>
      <c r="T16" s="1503" t="s">
        <v>8</v>
      </c>
      <c r="U16" s="1504">
        <f t="shared" si="1"/>
        <v>100</v>
      </c>
      <c r="V16" s="1503" t="s">
        <v>8</v>
      </c>
      <c r="W16" s="1504">
        <f t="shared" si="2"/>
        <v>100</v>
      </c>
      <c r="X16" s="1505"/>
      <c r="Y16" s="3419"/>
      <c r="Z16" s="1133">
        <f t="shared" si="7"/>
        <v>111</v>
      </c>
      <c r="AA16" s="1506">
        <f>D16/F16</f>
        <v>1</v>
      </c>
      <c r="AB16" s="1506">
        <f>D16/H16</f>
        <v>1</v>
      </c>
      <c r="AC16" s="1506">
        <f>D16/J16</f>
        <v>1</v>
      </c>
    </row>
    <row r="17" spans="1:29" ht="20.25">
      <c r="A17" s="2628" t="s">
        <v>2734</v>
      </c>
      <c r="B17" s="572" t="s">
        <v>295</v>
      </c>
      <c r="C17" s="542" t="str">
        <f>估价对象房地状况!C15</f>
        <v>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507" t="s">
        <v>534</v>
      </c>
      <c r="Q17" s="1507" t="str">
        <f t="shared" si="6"/>
        <v>居住社区成熟度</v>
      </c>
      <c r="R17" s="1508" t="s">
        <v>8</v>
      </c>
      <c r="S17" s="1509">
        <f t="shared" si="0"/>
        <v>100</v>
      </c>
      <c r="T17" s="1508" t="s">
        <v>8</v>
      </c>
      <c r="U17" s="1509">
        <f t="shared" si="1"/>
        <v>100</v>
      </c>
      <c r="V17" s="1508" t="s">
        <v>8</v>
      </c>
      <c r="W17" s="1509">
        <f t="shared" si="2"/>
        <v>100</v>
      </c>
      <c r="X17" s="1502"/>
      <c r="Y17" s="3507"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508"/>
      <c r="Q18" s="1507"/>
      <c r="R18" s="1508"/>
      <c r="S18" s="1509"/>
      <c r="T18" s="1508"/>
      <c r="U18" s="1509"/>
      <c r="V18" s="1508"/>
      <c r="W18" s="1509"/>
      <c r="X18" s="1502"/>
      <c r="Y18" s="3508"/>
      <c r="Z18" s="1510"/>
      <c r="AA18" s="1511">
        <v>1</v>
      </c>
      <c r="AB18" s="1511">
        <v>1</v>
      </c>
      <c r="AC18" s="1511">
        <v>1</v>
      </c>
    </row>
    <row r="19" spans="1:29" ht="20.25">
      <c r="A19" s="526"/>
      <c r="B19" s="554" t="s">
        <v>535</v>
      </c>
      <c r="C19" s="555" t="str">
        <f>估价对象房地状况!C16</f>
        <v>较好</v>
      </c>
      <c r="D19" s="557">
        <v>100</v>
      </c>
      <c r="E19" s="558"/>
      <c r="F19" s="553">
        <f>SUMIF(92:92,E20,93:93)-SUMIF(92:92,C20,93:93)+100</f>
        <v>97</v>
      </c>
      <c r="G19" s="556"/>
      <c r="H19" s="559">
        <f>SUMIF(92:92,G20,93:93)-SUMIF(92:92,C20,93:93)+100</f>
        <v>100</v>
      </c>
      <c r="I19" s="558"/>
      <c r="J19" s="559">
        <f>SUMIF(92:92,I20,93:93)-SUMIF(92:92,C20,93:93)+100</f>
        <v>100</v>
      </c>
      <c r="K19" s="529">
        <v>3</v>
      </c>
      <c r="L19" s="2025"/>
      <c r="M19" s="2015"/>
      <c r="N19" s="2015"/>
      <c r="O19" s="2024"/>
      <c r="P19" s="3508"/>
      <c r="Q19" s="1507" t="str">
        <f>B19</f>
        <v>商业繁华度</v>
      </c>
      <c r="R19" s="1508" t="s">
        <v>8</v>
      </c>
      <c r="S19" s="1509">
        <f>F19</f>
        <v>97</v>
      </c>
      <c r="T19" s="1508" t="s">
        <v>8</v>
      </c>
      <c r="U19" s="1509">
        <f>H19</f>
        <v>100</v>
      </c>
      <c r="V19" s="1508" t="s">
        <v>8</v>
      </c>
      <c r="W19" s="1509">
        <f>J19</f>
        <v>100</v>
      </c>
      <c r="X19" s="1502"/>
      <c r="Y19" s="3508"/>
      <c r="Z19" s="1510" t="str">
        <f>Q19</f>
        <v>商业繁华度</v>
      </c>
      <c r="AA19" s="1511">
        <f t="shared" si="3"/>
        <v>1.0309278350515463</v>
      </c>
      <c r="AB19" s="1511">
        <f t="shared" si="4"/>
        <v>1</v>
      </c>
      <c r="AC19" s="1511">
        <f t="shared" si="5"/>
        <v>1</v>
      </c>
    </row>
    <row r="20" spans="1:29" ht="20.25">
      <c r="A20" s="526"/>
      <c r="B20" s="560"/>
      <c r="C20" s="561" t="s">
        <v>3046</v>
      </c>
      <c r="D20" s="557"/>
      <c r="E20" s="563" t="s">
        <v>3048</v>
      </c>
      <c r="F20" s="553"/>
      <c r="G20" s="562" t="s">
        <v>3046</v>
      </c>
      <c r="H20" s="549"/>
      <c r="I20" s="563" t="s">
        <v>3046</v>
      </c>
      <c r="J20" s="549"/>
      <c r="K20" s="525"/>
      <c r="L20" s="2025"/>
      <c r="M20" s="2015"/>
      <c r="N20" s="2015"/>
      <c r="O20" s="2024"/>
      <c r="P20" s="3508"/>
      <c r="Q20" s="1507"/>
      <c r="R20" s="1508"/>
      <c r="S20" s="1509"/>
      <c r="T20" s="1508"/>
      <c r="U20" s="1509"/>
      <c r="V20" s="1508"/>
      <c r="W20" s="1509"/>
      <c r="X20" s="1502"/>
      <c r="Y20" s="3508"/>
      <c r="Z20" s="1510"/>
      <c r="AA20" s="1511">
        <v>1</v>
      </c>
      <c r="AB20" s="1511">
        <v>1</v>
      </c>
      <c r="AC20" s="1511">
        <v>1</v>
      </c>
    </row>
    <row r="21" spans="1:29" ht="20.25">
      <c r="A21" s="526"/>
      <c r="B21" s="554" t="s">
        <v>536</v>
      </c>
      <c r="C21" s="555">
        <f>估价对象房地状况!C17</f>
        <v>0</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508"/>
      <c r="Q21" s="1507" t="str">
        <f>B21</f>
        <v>办公集聚程度</v>
      </c>
      <c r="R21" s="1508" t="s">
        <v>8</v>
      </c>
      <c r="S21" s="1509">
        <f>F21</f>
        <v>100</v>
      </c>
      <c r="T21" s="1508" t="s">
        <v>8</v>
      </c>
      <c r="U21" s="1509">
        <f>H21</f>
        <v>100</v>
      </c>
      <c r="V21" s="1508" t="s">
        <v>8</v>
      </c>
      <c r="W21" s="1509">
        <f>J21</f>
        <v>100</v>
      </c>
      <c r="X21" s="1502"/>
      <c r="Y21" s="3508"/>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508"/>
      <c r="Q22" s="1507"/>
      <c r="R22" s="1508"/>
      <c r="S22" s="1509"/>
      <c r="T22" s="1508"/>
      <c r="U22" s="1509"/>
      <c r="V22" s="1508"/>
      <c r="W22" s="1509"/>
      <c r="X22" s="1502"/>
      <c r="Y22" s="3508"/>
      <c r="Z22" s="1510"/>
      <c r="AA22" s="1511">
        <v>1</v>
      </c>
      <c r="AB22" s="1511">
        <v>1</v>
      </c>
      <c r="AC22" s="1511">
        <v>1</v>
      </c>
    </row>
    <row r="23" spans="1:29" ht="20.25">
      <c r="A23" s="526"/>
      <c r="B23" s="554" t="s">
        <v>537</v>
      </c>
      <c r="C23" s="567" t="str">
        <f>估价对象房地状况!C18</f>
        <v>一般</v>
      </c>
      <c r="D23" s="557">
        <v>100</v>
      </c>
      <c r="E23" s="558"/>
      <c r="F23" s="559">
        <f>SUMIF(96:96,E24,97:97)-SUMIF(96:96,C24,97:97)+100</f>
        <v>100</v>
      </c>
      <c r="G23" s="556"/>
      <c r="H23" s="553">
        <f>SUMIF(96:96,G24,97:97)-SUMIF(96:96,C24,97:97)+100</f>
        <v>103</v>
      </c>
      <c r="I23" s="558"/>
      <c r="J23" s="553">
        <f>SUMIF(96:96,I24,97:97)-SUMIF(96:96,C24,97:97)+100</f>
        <v>103</v>
      </c>
      <c r="K23" s="529">
        <v>3</v>
      </c>
      <c r="L23" s="2025"/>
      <c r="M23" s="2015"/>
      <c r="N23" s="2015"/>
      <c r="O23" s="2024"/>
      <c r="P23" s="3508"/>
      <c r="Q23" s="1507" t="str">
        <f>B23</f>
        <v>交通便捷度</v>
      </c>
      <c r="R23" s="1508" t="s">
        <v>8</v>
      </c>
      <c r="S23" s="1509">
        <f>F23</f>
        <v>100</v>
      </c>
      <c r="T23" s="1508" t="s">
        <v>8</v>
      </c>
      <c r="U23" s="1509">
        <f>H23</f>
        <v>103</v>
      </c>
      <c r="V23" s="1508" t="s">
        <v>8</v>
      </c>
      <c r="W23" s="1509">
        <f>J23</f>
        <v>103</v>
      </c>
      <c r="X23" s="1502"/>
      <c r="Y23" s="3508"/>
      <c r="Z23" s="1510" t="str">
        <f>Q23</f>
        <v>交通便捷度</v>
      </c>
      <c r="AA23" s="1511">
        <f t="shared" si="3"/>
        <v>1</v>
      </c>
      <c r="AB23" s="1511">
        <f t="shared" si="4"/>
        <v>0.970873786407767</v>
      </c>
      <c r="AC23" s="1511">
        <f t="shared" si="5"/>
        <v>0.970873786407767</v>
      </c>
    </row>
    <row r="24" spans="1:29" ht="20.25">
      <c r="A24" s="526"/>
      <c r="B24" s="572"/>
      <c r="C24" s="548" t="s">
        <v>3048</v>
      </c>
      <c r="D24" s="551"/>
      <c r="E24" s="552" t="s">
        <v>3048</v>
      </c>
      <c r="F24" s="549"/>
      <c r="G24" s="550" t="s">
        <v>3046</v>
      </c>
      <c r="H24" s="549"/>
      <c r="I24" s="552" t="s">
        <v>3046</v>
      </c>
      <c r="J24" s="549"/>
      <c r="K24" s="525"/>
      <c r="L24" s="2025"/>
      <c r="M24" s="2015"/>
      <c r="N24" s="2015"/>
      <c r="O24" s="2024"/>
      <c r="P24" s="3508"/>
      <c r="Q24" s="1507"/>
      <c r="R24" s="1508"/>
      <c r="S24" s="1509"/>
      <c r="T24" s="1508"/>
      <c r="U24" s="1509"/>
      <c r="V24" s="1508"/>
      <c r="W24" s="1509"/>
      <c r="X24" s="1502"/>
      <c r="Y24" s="3508"/>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5"/>
      <c r="M25" s="2015"/>
      <c r="N25" s="2015"/>
      <c r="O25" s="2024"/>
      <c r="P25" s="3508"/>
      <c r="Q25" s="1507" t="str">
        <f t="shared" ref="Q25:Q39" si="8">B25</f>
        <v>区域土地利用方向</v>
      </c>
      <c r="R25" s="1508" t="s">
        <v>8</v>
      </c>
      <c r="S25" s="1509">
        <f>F25</f>
        <v>100</v>
      </c>
      <c r="T25" s="1508" t="s">
        <v>8</v>
      </c>
      <c r="U25" s="1509">
        <f>H25</f>
        <v>100</v>
      </c>
      <c r="V25" s="1508" t="s">
        <v>8</v>
      </c>
      <c r="W25" s="1509">
        <f>J25</f>
        <v>100</v>
      </c>
      <c r="X25" s="1502"/>
      <c r="Y25" s="3508"/>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508"/>
      <c r="Q26" s="1507"/>
      <c r="R26" s="1508"/>
      <c r="S26" s="1509"/>
      <c r="T26" s="1508"/>
      <c r="U26" s="1509"/>
      <c r="V26" s="1508"/>
      <c r="W26" s="1509"/>
      <c r="X26" s="1502"/>
      <c r="Y26" s="3508"/>
      <c r="Z26" s="1510"/>
      <c r="AA26" s="1511"/>
      <c r="AB26" s="1511"/>
      <c r="AC26" s="1511"/>
    </row>
    <row r="27" spans="1:29" ht="27">
      <c r="A27" s="509"/>
      <c r="B27" s="572" t="s">
        <v>539</v>
      </c>
      <c r="C27" s="555" t="str">
        <f>估价对象房地状况!C20</f>
        <v>较好</v>
      </c>
      <c r="D27" s="557">
        <v>100</v>
      </c>
      <c r="E27" s="558"/>
      <c r="F27" s="553">
        <f>SUMIF(100:100,E28,101:101)-SUMIF(100:100,C28,101:101)+100</f>
        <v>98</v>
      </c>
      <c r="G27" s="556"/>
      <c r="H27" s="553">
        <f>SUMIF(100:100,G28,101:101)-SUMIF(100:100,C28,101:101)+100</f>
        <v>100</v>
      </c>
      <c r="I27" s="558"/>
      <c r="J27" s="553">
        <f>SUMIF(100:100,I28,101:101)-SUMIF(100:100,C28,101:101)+100</f>
        <v>100</v>
      </c>
      <c r="K27" s="529">
        <v>2</v>
      </c>
      <c r="L27" s="2025"/>
      <c r="M27" s="2015"/>
      <c r="N27" s="2015"/>
      <c r="O27" s="2024"/>
      <c r="P27" s="3508"/>
      <c r="Q27" s="1507" t="str">
        <f t="shared" si="8"/>
        <v>自然及人文环境状况</v>
      </c>
      <c r="R27" s="1508" t="s">
        <v>8</v>
      </c>
      <c r="S27" s="1509">
        <f>F27</f>
        <v>98</v>
      </c>
      <c r="T27" s="1508" t="s">
        <v>8</v>
      </c>
      <c r="U27" s="1509">
        <f>H27</f>
        <v>100</v>
      </c>
      <c r="V27" s="1508" t="s">
        <v>8</v>
      </c>
      <c r="W27" s="1509">
        <f>J27</f>
        <v>100</v>
      </c>
      <c r="X27" s="1502"/>
      <c r="Y27" s="3508"/>
      <c r="Z27" s="1510" t="str">
        <f>Q27</f>
        <v>自然及人文环境状况</v>
      </c>
      <c r="AA27" s="1511">
        <f t="shared" si="3"/>
        <v>1.0204081632653061</v>
      </c>
      <c r="AB27" s="1511">
        <f t="shared" si="4"/>
        <v>1</v>
      </c>
      <c r="AC27" s="1511">
        <f t="shared" si="5"/>
        <v>1</v>
      </c>
    </row>
    <row r="28" spans="1:29" ht="20.25">
      <c r="A28" s="509"/>
      <c r="B28" s="560"/>
      <c r="C28" s="548" t="s">
        <v>3046</v>
      </c>
      <c r="D28" s="551"/>
      <c r="E28" s="570" t="s">
        <v>3048</v>
      </c>
      <c r="F28" s="549"/>
      <c r="G28" s="548" t="s">
        <v>3046</v>
      </c>
      <c r="H28" s="549"/>
      <c r="I28" s="570" t="s">
        <v>3046</v>
      </c>
      <c r="J28" s="549"/>
      <c r="K28" s="525"/>
      <c r="L28" s="2025"/>
      <c r="M28" s="2015"/>
      <c r="N28" s="2015"/>
      <c r="O28" s="2024"/>
      <c r="P28" s="3508"/>
      <c r="Q28" s="1507"/>
      <c r="R28" s="1508"/>
      <c r="S28" s="1509"/>
      <c r="T28" s="1508"/>
      <c r="U28" s="1509"/>
      <c r="V28" s="1508"/>
      <c r="W28" s="1509"/>
      <c r="X28" s="1502"/>
      <c r="Y28" s="3508"/>
      <c r="Z28" s="1510"/>
      <c r="AA28" s="1511">
        <v>1</v>
      </c>
      <c r="AB28" s="1511">
        <v>1</v>
      </c>
      <c r="AC28" s="1511">
        <v>1</v>
      </c>
    </row>
    <row r="29" spans="1:29" s="1203" customFormat="1" ht="20.25">
      <c r="A29" s="571"/>
      <c r="B29" s="2436" t="s">
        <v>2529</v>
      </c>
      <c r="C29" s="567" t="str">
        <f>估价对象房地状况!C21</f>
        <v>一般</v>
      </c>
      <c r="D29" s="557">
        <v>100</v>
      </c>
      <c r="E29" s="558"/>
      <c r="F29" s="553">
        <f>SUMIF(102:102,E30,103:103)-SUMIF(102:102,C30,103:103)+100</f>
        <v>100</v>
      </c>
      <c r="G29" s="556"/>
      <c r="H29" s="553">
        <f>SUMIF(102:102,G30,103:103)-SUMIF(102:102,C30,103:103)+100</f>
        <v>103</v>
      </c>
      <c r="I29" s="558"/>
      <c r="J29" s="553">
        <f>SUMIF(102:102,I30,103:103)-SUMIF(102:102,C30,103:103)+100</f>
        <v>103</v>
      </c>
      <c r="K29" s="529">
        <v>3</v>
      </c>
      <c r="L29" s="2018"/>
      <c r="M29" s="2015"/>
      <c r="N29" s="2015"/>
      <c r="O29" s="2020"/>
      <c r="P29" s="3508"/>
      <c r="Q29" s="1134" t="str">
        <f t="shared" si="8"/>
        <v>公共配套设施</v>
      </c>
      <c r="R29" s="1503" t="s">
        <v>8</v>
      </c>
      <c r="S29" s="1504">
        <f>F29</f>
        <v>100</v>
      </c>
      <c r="T29" s="1503" t="s">
        <v>8</v>
      </c>
      <c r="U29" s="1504">
        <f>H29</f>
        <v>103</v>
      </c>
      <c r="V29" s="1503" t="s">
        <v>8</v>
      </c>
      <c r="W29" s="1504">
        <f>J29</f>
        <v>103</v>
      </c>
      <c r="X29" s="1505"/>
      <c r="Y29" s="3508"/>
      <c r="Z29" s="1133" t="str">
        <f>Q29</f>
        <v>公共配套设施</v>
      </c>
      <c r="AA29" s="1511">
        <f>D29/F29</f>
        <v>1</v>
      </c>
      <c r="AB29" s="1511">
        <f>D29/H29</f>
        <v>0.970873786407767</v>
      </c>
      <c r="AC29" s="1511">
        <f>D29/J29</f>
        <v>0.970873786407767</v>
      </c>
    </row>
    <row r="30" spans="1:29" s="1203" customFormat="1" ht="20.25">
      <c r="A30" s="571"/>
      <c r="B30" s="560"/>
      <c r="C30" s="573" t="s">
        <v>3048</v>
      </c>
      <c r="D30" s="551"/>
      <c r="E30" s="570" t="s">
        <v>3048</v>
      </c>
      <c r="F30" s="549"/>
      <c r="G30" s="548" t="s">
        <v>3046</v>
      </c>
      <c r="H30" s="549"/>
      <c r="I30" s="570" t="s">
        <v>3046</v>
      </c>
      <c r="J30" s="549"/>
      <c r="K30" s="525"/>
      <c r="L30" s="2018"/>
      <c r="M30" s="2015"/>
      <c r="N30" s="2015"/>
      <c r="O30" s="2020"/>
      <c r="P30" s="3508"/>
      <c r="Q30" s="1134"/>
      <c r="R30" s="1503"/>
      <c r="S30" s="1504"/>
      <c r="T30" s="1503"/>
      <c r="U30" s="1504"/>
      <c r="V30" s="1503"/>
      <c r="W30" s="1504"/>
      <c r="X30" s="1505"/>
      <c r="Y30" s="3508"/>
      <c r="Z30" s="1133"/>
      <c r="AA30" s="1511">
        <v>1</v>
      </c>
      <c r="AB30" s="1511">
        <v>1</v>
      </c>
      <c r="AC30" s="1511">
        <v>1</v>
      </c>
    </row>
    <row r="31" spans="1:29" s="1203" customFormat="1" ht="20.25">
      <c r="A31" s="571"/>
      <c r="B31" s="2436" t="s">
        <v>2530</v>
      </c>
      <c r="C31" s="567" t="str">
        <f>估价对象房地状况!C22</f>
        <v>七通</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8"/>
      <c r="M31" s="2015"/>
      <c r="N31" s="2015"/>
      <c r="O31" s="2020"/>
      <c r="P31" s="3508"/>
      <c r="Q31" s="2429" t="str">
        <f t="shared" ref="Q31" si="9">B31</f>
        <v>基础设施水平</v>
      </c>
      <c r="R31" s="1503" t="s">
        <v>8</v>
      </c>
      <c r="S31" s="1504">
        <f>F31</f>
        <v>100</v>
      </c>
      <c r="T31" s="1503" t="s">
        <v>8</v>
      </c>
      <c r="U31" s="1504">
        <f>H31</f>
        <v>100</v>
      </c>
      <c r="V31" s="1503" t="s">
        <v>8</v>
      </c>
      <c r="W31" s="1504">
        <f>J31</f>
        <v>100</v>
      </c>
      <c r="X31" s="1505"/>
      <c r="Y31" s="3508"/>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508"/>
      <c r="Q32" s="2429"/>
      <c r="R32" s="1503"/>
      <c r="S32" s="1504"/>
      <c r="T32" s="1503"/>
      <c r="U32" s="1504"/>
      <c r="V32" s="1503"/>
      <c r="W32" s="1504"/>
      <c r="X32" s="1505"/>
      <c r="Y32" s="3508"/>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08"/>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08"/>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08"/>
      <c r="Q34" s="1507" t="str">
        <f t="shared" si="8"/>
        <v>毗邻道路的类型与等级</v>
      </c>
      <c r="R34" s="1508" t="s">
        <v>8</v>
      </c>
      <c r="S34" s="1509">
        <f t="shared" si="10"/>
        <v>100</v>
      </c>
      <c r="T34" s="1508" t="s">
        <v>8</v>
      </c>
      <c r="U34" s="1509">
        <f t="shared" si="11"/>
        <v>100</v>
      </c>
      <c r="V34" s="1508" t="s">
        <v>8</v>
      </c>
      <c r="W34" s="1509">
        <f t="shared" si="12"/>
        <v>100</v>
      </c>
      <c r="X34" s="1502"/>
      <c r="Y34" s="3508"/>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508"/>
      <c r="Q35" s="1507"/>
      <c r="R35" s="1508"/>
      <c r="S35" s="1509"/>
      <c r="T35" s="1508"/>
      <c r="U35" s="1509"/>
      <c r="V35" s="1508"/>
      <c r="W35" s="1509"/>
      <c r="X35" s="1502"/>
      <c r="Y35" s="3508"/>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08"/>
      <c r="Q36" s="1507" t="str">
        <f t="shared" si="8"/>
        <v>土地级别</v>
      </c>
      <c r="R36" s="1508" t="s">
        <v>8</v>
      </c>
      <c r="S36" s="1509">
        <f t="shared" si="10"/>
        <v>100</v>
      </c>
      <c r="T36" s="1508" t="s">
        <v>8</v>
      </c>
      <c r="U36" s="1509">
        <f t="shared" si="11"/>
        <v>100</v>
      </c>
      <c r="V36" s="1508" t="s">
        <v>8</v>
      </c>
      <c r="W36" s="1509">
        <f t="shared" si="12"/>
        <v>100</v>
      </c>
      <c r="X36" s="1502"/>
      <c r="Y36" s="3508"/>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08"/>
      <c r="Q37" s="1507">
        <f t="shared" si="8"/>
        <v>111</v>
      </c>
      <c r="R37" s="1508" t="s">
        <v>8</v>
      </c>
      <c r="S37" s="1509">
        <f t="shared" si="10"/>
        <v>100</v>
      </c>
      <c r="T37" s="1508" t="s">
        <v>8</v>
      </c>
      <c r="U37" s="1509">
        <f t="shared" si="11"/>
        <v>100</v>
      </c>
      <c r="V37" s="1508" t="s">
        <v>8</v>
      </c>
      <c r="W37" s="1509">
        <f t="shared" si="12"/>
        <v>100</v>
      </c>
      <c r="X37" s="1502"/>
      <c r="Y37" s="3508"/>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09" t="s">
        <v>544</v>
      </c>
      <c r="Q38" s="1507">
        <f t="shared" si="8"/>
        <v>111</v>
      </c>
      <c r="R38" s="1508" t="s">
        <v>8</v>
      </c>
      <c r="S38" s="1509">
        <f t="shared" si="10"/>
        <v>100</v>
      </c>
      <c r="T38" s="1508" t="s">
        <v>8</v>
      </c>
      <c r="U38" s="1509">
        <f t="shared" si="11"/>
        <v>100</v>
      </c>
      <c r="V38" s="1508" t="s">
        <v>8</v>
      </c>
      <c r="W38" s="1509">
        <f t="shared" si="12"/>
        <v>100</v>
      </c>
      <c r="X38" s="1502"/>
      <c r="Y38" s="3510"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10"/>
      <c r="Q39" s="1507">
        <f t="shared" si="8"/>
        <v>111</v>
      </c>
      <c r="R39" s="1512" t="s">
        <v>8</v>
      </c>
      <c r="S39" s="1513">
        <f t="shared" si="10"/>
        <v>100</v>
      </c>
      <c r="T39" s="1512" t="s">
        <v>8</v>
      </c>
      <c r="U39" s="1513">
        <f t="shared" si="11"/>
        <v>100</v>
      </c>
      <c r="V39" s="1512" t="s">
        <v>8</v>
      </c>
      <c r="W39" s="1513">
        <f t="shared" si="12"/>
        <v>100</v>
      </c>
      <c r="X39" s="1514"/>
      <c r="Y39" s="3510"/>
      <c r="Z39" s="1515">
        <f t="shared" si="13"/>
        <v>111</v>
      </c>
      <c r="AA39" s="1511">
        <f t="shared" si="3"/>
        <v>1</v>
      </c>
      <c r="AB39" s="1511">
        <f t="shared" si="4"/>
        <v>1</v>
      </c>
      <c r="AC39" s="1511">
        <f t="shared" si="5"/>
        <v>1</v>
      </c>
    </row>
    <row r="40" spans="1:29" ht="20.25">
      <c r="A40" s="2625" t="s">
        <v>2735</v>
      </c>
      <c r="B40" s="589" t="s">
        <v>546</v>
      </c>
      <c r="C40" s="590">
        <f>'数据-基础表'!A3</f>
        <v>74233.119999999995</v>
      </c>
      <c r="D40" s="591">
        <v>100</v>
      </c>
      <c r="E40" s="590">
        <f>土地案例!D2</f>
        <v>8000</v>
      </c>
      <c r="F40" s="591">
        <f>LOOKUP(E40,119:119,120:120)-LOOKUP(C40,119:119,120:120)+100</f>
        <v>94</v>
      </c>
      <c r="G40" s="590">
        <f>土地案例!D4</f>
        <v>116893.6</v>
      </c>
      <c r="H40" s="591">
        <f>LOOKUP(G40,119:119,120:120)-LOOKUP(C40,119:119,120:120)+100</f>
        <v>104</v>
      </c>
      <c r="I40" s="592">
        <f>土地案例!D5</f>
        <v>23104.69</v>
      </c>
      <c r="J40" s="591">
        <f>LOOKUP(I40,119:119,120:120)-LOOKUP(C40,119:119,120:120)+100</f>
        <v>96</v>
      </c>
      <c r="K40" s="575"/>
      <c r="L40" s="2025"/>
      <c r="M40" s="2015"/>
      <c r="N40" s="2015"/>
      <c r="O40" s="2024"/>
      <c r="P40" s="3510"/>
      <c r="Q40" s="1507" t="str">
        <f>B40</f>
        <v>宗地面积</v>
      </c>
      <c r="R40" s="1508" t="s">
        <v>8</v>
      </c>
      <c r="S40" s="1509">
        <f t="shared" si="10"/>
        <v>94</v>
      </c>
      <c r="T40" s="1508" t="s">
        <v>8</v>
      </c>
      <c r="U40" s="1509">
        <f t="shared" si="11"/>
        <v>104</v>
      </c>
      <c r="V40" s="1508" t="s">
        <v>8</v>
      </c>
      <c r="W40" s="1509">
        <f t="shared" si="12"/>
        <v>96</v>
      </c>
      <c r="X40" s="1502"/>
      <c r="Y40" s="3510"/>
      <c r="Z40" s="1510" t="str">
        <f t="shared" si="13"/>
        <v>宗地面积</v>
      </c>
      <c r="AA40" s="1511">
        <f t="shared" si="3"/>
        <v>1.0638297872340425</v>
      </c>
      <c r="AB40" s="1511">
        <f t="shared" si="4"/>
        <v>0.96153846153846156</v>
      </c>
      <c r="AC40" s="1511">
        <f t="shared" si="5"/>
        <v>1.0416666666666667</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v>2</v>
      </c>
      <c r="L41" s="2025"/>
      <c r="M41" s="2015"/>
      <c r="N41" s="2015"/>
      <c r="O41" s="2024"/>
      <c r="P41" s="3510"/>
      <c r="Q41" s="1507" t="str">
        <f t="shared" ref="Q41:Q47" si="14">B41</f>
        <v>宗地形状</v>
      </c>
      <c r="R41" s="1508" t="s">
        <v>8</v>
      </c>
      <c r="S41" s="1509">
        <f t="shared" si="10"/>
        <v>100</v>
      </c>
      <c r="T41" s="1508" t="s">
        <v>8</v>
      </c>
      <c r="U41" s="1509">
        <f t="shared" si="11"/>
        <v>100</v>
      </c>
      <c r="V41" s="1508" t="s">
        <v>8</v>
      </c>
      <c r="W41" s="1509">
        <f t="shared" si="12"/>
        <v>100</v>
      </c>
      <c r="X41" s="1502"/>
      <c r="Y41" s="3510"/>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510"/>
      <c r="Q42" s="1507" t="str">
        <f t="shared" si="14"/>
        <v>临街宽度及深度</v>
      </c>
      <c r="R42" s="1508" t="s">
        <v>8</v>
      </c>
      <c r="S42" s="1509">
        <f t="shared" si="10"/>
        <v>100</v>
      </c>
      <c r="T42" s="1508" t="s">
        <v>8</v>
      </c>
      <c r="U42" s="1509">
        <f t="shared" si="11"/>
        <v>100</v>
      </c>
      <c r="V42" s="1508" t="s">
        <v>8</v>
      </c>
      <c r="W42" s="1509">
        <f t="shared" si="12"/>
        <v>100</v>
      </c>
      <c r="X42" s="1502"/>
      <c r="Y42" s="3510"/>
      <c r="Z42" s="1510" t="str">
        <f t="shared" si="13"/>
        <v>临街宽度及深度</v>
      </c>
      <c r="AA42" s="1511">
        <f t="shared" si="3"/>
        <v>1</v>
      </c>
      <c r="AB42" s="1511">
        <f t="shared" si="4"/>
        <v>1</v>
      </c>
      <c r="AC42" s="1511">
        <f t="shared" si="5"/>
        <v>1</v>
      </c>
    </row>
    <row r="43" spans="1:29" s="1203" customFormat="1" ht="20.25">
      <c r="A43" s="594"/>
      <c r="B43" s="1810"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v>1</v>
      </c>
      <c r="L43" s="2018"/>
      <c r="M43" s="2015"/>
      <c r="N43" s="2015"/>
      <c r="O43" s="2020"/>
      <c r="P43" s="3510"/>
      <c r="Q43" s="1507" t="str">
        <f t="shared" si="14"/>
        <v>宗地开发程度</v>
      </c>
      <c r="R43" s="1503" t="s">
        <v>8</v>
      </c>
      <c r="S43" s="1504">
        <f t="shared" si="10"/>
        <v>100</v>
      </c>
      <c r="T43" s="1503" t="s">
        <v>8</v>
      </c>
      <c r="U43" s="1504">
        <f t="shared" si="11"/>
        <v>100</v>
      </c>
      <c r="V43" s="1503" t="s">
        <v>8</v>
      </c>
      <c r="W43" s="1504">
        <f t="shared" si="12"/>
        <v>100</v>
      </c>
      <c r="X43" s="1505"/>
      <c r="Y43" s="3510"/>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10" t="s">
        <v>544</v>
      </c>
      <c r="Q44" s="1507" t="str">
        <f t="shared" si="14"/>
        <v>工程地质条件</v>
      </c>
      <c r="R44" s="1508" t="s">
        <v>8</v>
      </c>
      <c r="S44" s="1509">
        <f t="shared" si="10"/>
        <v>100</v>
      </c>
      <c r="T44" s="1508" t="s">
        <v>8</v>
      </c>
      <c r="U44" s="1509">
        <f t="shared" si="11"/>
        <v>100</v>
      </c>
      <c r="V44" s="1508" t="s">
        <v>8</v>
      </c>
      <c r="W44" s="1509">
        <f t="shared" si="12"/>
        <v>100</v>
      </c>
      <c r="X44" s="1502"/>
      <c r="Y44" s="3510"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10"/>
      <c r="Q45" s="1507">
        <f t="shared" si="14"/>
        <v>111</v>
      </c>
      <c r="R45" s="1508" t="s">
        <v>8</v>
      </c>
      <c r="S45" s="1509">
        <f t="shared" si="10"/>
        <v>100</v>
      </c>
      <c r="T45" s="1508" t="s">
        <v>8</v>
      </c>
      <c r="U45" s="1509">
        <f t="shared" si="11"/>
        <v>100</v>
      </c>
      <c r="V45" s="1508" t="s">
        <v>8</v>
      </c>
      <c r="W45" s="1509">
        <f t="shared" si="12"/>
        <v>100</v>
      </c>
      <c r="X45" s="1502"/>
      <c r="Y45" s="3510"/>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10"/>
      <c r="Q46" s="1507">
        <f t="shared" si="14"/>
        <v>111</v>
      </c>
      <c r="R46" s="1508" t="s">
        <v>8</v>
      </c>
      <c r="S46" s="1509">
        <f t="shared" si="10"/>
        <v>100</v>
      </c>
      <c r="T46" s="1508" t="s">
        <v>8</v>
      </c>
      <c r="U46" s="1509">
        <f t="shared" si="11"/>
        <v>100</v>
      </c>
      <c r="V46" s="1508" t="s">
        <v>8</v>
      </c>
      <c r="W46" s="1509">
        <f t="shared" si="12"/>
        <v>100</v>
      </c>
      <c r="X46" s="1502"/>
      <c r="Y46" s="3510"/>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10"/>
      <c r="Q47" s="1507">
        <f t="shared" si="14"/>
        <v>111</v>
      </c>
      <c r="R47" s="1512" t="s">
        <v>8</v>
      </c>
      <c r="S47" s="1513">
        <f t="shared" si="10"/>
        <v>100</v>
      </c>
      <c r="T47" s="1512" t="s">
        <v>8</v>
      </c>
      <c r="U47" s="1513">
        <f t="shared" si="11"/>
        <v>100</v>
      </c>
      <c r="V47" s="1512" t="s">
        <v>8</v>
      </c>
      <c r="W47" s="1513">
        <f t="shared" si="12"/>
        <v>100</v>
      </c>
      <c r="X47" s="1514"/>
      <c r="Y47" s="3510"/>
      <c r="Z47" s="1515">
        <f t="shared" si="13"/>
        <v>111</v>
      </c>
      <c r="AA47" s="1511">
        <f t="shared" si="3"/>
        <v>1</v>
      </c>
      <c r="AB47" s="1511">
        <f t="shared" si="4"/>
        <v>1</v>
      </c>
      <c r="AC47" s="1511">
        <f t="shared" si="5"/>
        <v>1</v>
      </c>
    </row>
    <row r="48" spans="1:29" ht="20.25">
      <c r="A48" s="601" t="s">
        <v>550</v>
      </c>
      <c r="B48" s="602" t="s">
        <v>3050</v>
      </c>
      <c r="C48" s="603" t="s">
        <v>1</v>
      </c>
      <c r="D48" s="604"/>
      <c r="E48" s="605">
        <f>土地案例!$N$2</f>
        <v>1224</v>
      </c>
      <c r="F48" s="606"/>
      <c r="G48" s="607">
        <f>土地案例!$N$4</f>
        <v>1726</v>
      </c>
      <c r="H48" s="608"/>
      <c r="I48" s="605">
        <f>土地案例!$N$5</f>
        <v>1590</v>
      </c>
      <c r="J48" s="608"/>
      <c r="K48" s="1294"/>
      <c r="L48" s="2027"/>
      <c r="M48" s="2015"/>
      <c r="N48" s="2015"/>
      <c r="O48" s="2028"/>
      <c r="P48" s="3473" t="str">
        <f>A48</f>
        <v>成交单价</v>
      </c>
      <c r="Q48" s="3473"/>
      <c r="R48" s="3474">
        <f>E48</f>
        <v>1224</v>
      </c>
      <c r="S48" s="3474"/>
      <c r="T48" s="3474">
        <f>G48</f>
        <v>1726</v>
      </c>
      <c r="U48" s="3474"/>
      <c r="V48" s="3474">
        <f>I48</f>
        <v>1590</v>
      </c>
      <c r="W48" s="3474"/>
      <c r="X48" s="1497"/>
      <c r="Y48" s="1516"/>
      <c r="Z48" s="1497"/>
      <c r="AA48" s="1497"/>
      <c r="AB48" s="1497"/>
      <c r="AC48" s="1497"/>
    </row>
    <row r="49" spans="1:29" ht="21" thickBot="1">
      <c r="A49" s="609" t="s">
        <v>2673</v>
      </c>
      <c r="B49" s="610"/>
      <c r="C49" s="611">
        <f>R50</f>
        <v>1469</v>
      </c>
      <c r="D49" s="3015" t="s">
        <v>2959</v>
      </c>
      <c r="E49" s="611">
        <f>R49</f>
        <v>1343</v>
      </c>
      <c r="F49" s="3016"/>
      <c r="G49" s="612">
        <f>T49</f>
        <v>1534</v>
      </c>
      <c r="H49" s="3016"/>
      <c r="I49" s="611">
        <f>V49</f>
        <v>1531</v>
      </c>
      <c r="J49" s="3016"/>
      <c r="K49" s="3017">
        <f>F49+H49+J49</f>
        <v>0</v>
      </c>
      <c r="L49" s="2027"/>
      <c r="M49" s="2015"/>
      <c r="N49" s="2015"/>
      <c r="O49" s="2028"/>
      <c r="P49" s="3473" t="str">
        <f>A49</f>
        <v>比较价格（元/平方米）</v>
      </c>
      <c r="Q49" s="3473"/>
      <c r="R49" s="3475">
        <f>ROUND(PRODUCT(R48,AA9:AA47),0)</f>
        <v>1343</v>
      </c>
      <c r="S49" s="3475"/>
      <c r="T49" s="3475">
        <f>ROUND(PRODUCT(T48,AB9:AB47),0)</f>
        <v>1534</v>
      </c>
      <c r="U49" s="3475"/>
      <c r="V49" s="3475">
        <f>ROUND(PRODUCT(V48,AC9:AC47),0)</f>
        <v>1531</v>
      </c>
      <c r="W49" s="3475"/>
      <c r="X49" s="1497"/>
      <c r="Y49" s="1497"/>
      <c r="Z49" s="1497"/>
      <c r="AA49" s="1497"/>
      <c r="AB49" s="1497"/>
      <c r="AC49" s="1497"/>
    </row>
    <row r="50" spans="1:29" ht="21" thickBot="1">
      <c r="A50" s="613" t="s">
        <v>2890</v>
      </c>
      <c r="B50" s="614"/>
      <c r="C50" s="615">
        <f>R50</f>
        <v>1469</v>
      </c>
      <c r="D50" s="615"/>
      <c r="E50" s="615"/>
      <c r="F50" s="615"/>
      <c r="G50" s="615"/>
      <c r="H50" s="615"/>
      <c r="I50" s="615"/>
      <c r="J50" s="615"/>
      <c r="K50" s="1295"/>
      <c r="L50" s="2027"/>
      <c r="M50" s="2015"/>
      <c r="N50" s="2015"/>
      <c r="O50" s="2028"/>
      <c r="P50" s="3470" t="str">
        <f>A50</f>
        <v>估价对象XX用房的比较价格（楼面单价，元/平方米）</v>
      </c>
      <c r="Q50" s="3471"/>
      <c r="R50" s="3472">
        <f>ROUND(IF(D49="简单平均",AVERAGE(R49:W49),R49*F49+T49*H49+V49*J49),0)</f>
        <v>1469</v>
      </c>
      <c r="S50" s="3472"/>
      <c r="T50" s="3472"/>
      <c r="U50" s="3472"/>
      <c r="V50" s="3472"/>
      <c r="W50" s="3472"/>
      <c r="X50" s="1497"/>
      <c r="Y50" s="1497"/>
      <c r="Z50" s="1497"/>
      <c r="AA50" s="1497"/>
      <c r="AB50" s="1497"/>
      <c r="AC50" s="1497"/>
    </row>
    <row r="51" spans="1:29" ht="20.25">
      <c r="A51" s="3214"/>
      <c r="B51" s="3214"/>
      <c r="C51" s="3214"/>
      <c r="D51" s="3214"/>
      <c r="E51" s="3214"/>
      <c r="F51" s="3214"/>
      <c r="G51" s="3216"/>
      <c r="H51" s="3214"/>
      <c r="I51" s="3214"/>
      <c r="J51" s="3214"/>
      <c r="K51" s="3217"/>
      <c r="L51" s="2032"/>
      <c r="M51" s="2015"/>
      <c r="N51" s="2015"/>
      <c r="O51" s="2028"/>
      <c r="P51" s="2028"/>
      <c r="Q51" s="2028"/>
      <c r="R51" s="2028"/>
      <c r="S51" s="2028"/>
      <c r="T51" s="2028"/>
      <c r="U51" s="2028"/>
      <c r="V51" s="2028"/>
      <c r="W51" s="2028"/>
      <c r="X51" s="2028"/>
      <c r="Y51" s="2028"/>
      <c r="Z51" s="2028"/>
      <c r="AA51" s="2028"/>
      <c r="AB51" s="2028"/>
      <c r="AC51" s="2028"/>
    </row>
    <row r="52" spans="1:29" ht="20.25">
      <c r="A52" s="3214"/>
      <c r="B52" s="3214"/>
      <c r="C52" s="3214"/>
      <c r="D52" s="3214"/>
      <c r="E52" s="3214"/>
      <c r="F52" s="3214"/>
      <c r="G52" s="3214"/>
      <c r="H52" s="3214"/>
      <c r="I52" s="3214"/>
      <c r="J52" s="3214"/>
      <c r="K52" s="3217"/>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f>IF(E48&lt;E49,E49/E48-1,E48/E49-1)</f>
        <v>9.7222222222222321E-2</v>
      </c>
      <c r="F53" s="619" t="str">
        <f>IF(OR(E53&gt;=0.3,E53&lt;=-0.3),"超过30%","")</f>
        <v/>
      </c>
      <c r="G53" s="618">
        <f>IF(G48&lt;G49,G49/G48-1,G48/G49-1)</f>
        <v>0.12516297262059983</v>
      </c>
      <c r="H53" s="619" t="str">
        <f>IF(OR(G53&gt;=0.3,G53&lt;=-0.3),"超过30%","")</f>
        <v/>
      </c>
      <c r="I53" s="618">
        <f>IF(I48&lt;I49,I49/I48-1,I48/I49-1)</f>
        <v>3.8536903984323967E-2</v>
      </c>
      <c r="J53" s="619" t="str">
        <f>IF(OR(I53&gt;=0.3,I53&lt;=-0.3),"超过30%","")</f>
        <v/>
      </c>
      <c r="K53" s="3217"/>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f>IF(E49&lt;G49,G49/E49-1,E49/G49-1)</f>
        <v>0.14221891288160826</v>
      </c>
      <c r="F54" s="619" t="str">
        <f>IF(OR(E54&gt;=0.2,E54&lt;=-0.2),"超过20%","")</f>
        <v/>
      </c>
      <c r="G54" s="618">
        <f>IF(G49&lt;I49,I49/G49-1,G49/I49-1)</f>
        <v>1.9595035924233617E-3</v>
      </c>
      <c r="H54" s="619" t="str">
        <f>IF(OR(G54&gt;=0.2,G54&lt;=-0.2),"超过20%","")</f>
        <v/>
      </c>
      <c r="I54" s="618">
        <f>IF(I49&lt;E49,E49/I49-1,I49/E49-1)</f>
        <v>0.13998510796723762</v>
      </c>
      <c r="J54" s="619" t="str">
        <f>IF(OR(I54&gt;=0.2,I54&lt;=-0.2),"超过20%","")</f>
        <v/>
      </c>
      <c r="K54" s="3217"/>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f>IF(E48&lt;G48,G48/E48-1,E48/G48-1)</f>
        <v>0.41013071895424846</v>
      </c>
      <c r="F55" s="619" t="str">
        <f>IF(OR(E55&gt;=0.3,E55&lt;=-0.3),"超过30%","")</f>
        <v>超过30%</v>
      </c>
      <c r="G55" s="618">
        <f>IF(G48&lt;I48,I48/G48-1,G48/I48-1)</f>
        <v>8.5534591194968534E-2</v>
      </c>
      <c r="H55" s="619" t="str">
        <f>IF(OR(G55&gt;=0.3,G55&lt;=-0.3),"超过30%","")</f>
        <v/>
      </c>
      <c r="I55" s="618">
        <f>IF(I48&lt;E48,E48/I48-1,I48/E48-1)</f>
        <v>0.2990196078431373</v>
      </c>
      <c r="J55" s="619" t="str">
        <f>IF(OR(I55&gt;=0.3,I55&lt;=-0.3),"超过30%","")</f>
        <v/>
      </c>
      <c r="K55" s="3218"/>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8"/>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2280</v>
      </c>
      <c r="E57" s="623" t="s">
        <v>556</v>
      </c>
      <c r="F57" s="624" t="s">
        <v>557</v>
      </c>
      <c r="G57" s="3499" t="s">
        <v>2268</v>
      </c>
      <c r="H57" s="3500"/>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1469</v>
      </c>
      <c r="C58" s="627">
        <v>1</v>
      </c>
      <c r="D58" s="2109">
        <v>1</v>
      </c>
      <c r="E58" s="627">
        <f>'数据-汇总表'!E8+'数据-汇总表'!E9</f>
        <v>74233.119999999995</v>
      </c>
      <c r="F58" s="628">
        <f t="shared" ref="F58:F67" si="15">ROUND(B58*E58/10000,0)</f>
        <v>10905</v>
      </c>
      <c r="G58" s="3501"/>
      <c r="H58" s="3502"/>
      <c r="I58" s="1495">
        <v>1</v>
      </c>
      <c r="J58" s="1495">
        <v>1</v>
      </c>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503" t="s">
        <v>2269</v>
      </c>
      <c r="H59" s="1863">
        <f>项目基本情况!B43</f>
        <v>0</v>
      </c>
      <c r="I59" s="1495">
        <f>SUMIF(修正!$A$45:$A$56,H59,修正!B45:B56)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503"/>
      <c r="H60" s="1863">
        <f>项目基本情况!B43</f>
        <v>0</v>
      </c>
      <c r="I60" s="1495">
        <f>SUMIF(修正!$A$45:$A$56,H60,修正!C45:C56)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503"/>
      <c r="H61" s="1863">
        <f>项目基本情况!B43</f>
        <v>0</v>
      </c>
      <c r="I61" s="1495">
        <f>SUMIF(修正!$A$45:$A$56,H61,修正!D45:D56)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503"/>
      <c r="H62" s="1863">
        <f>项目基本情况!B43</f>
        <v>0</v>
      </c>
      <c r="I62" s="1495">
        <f>SUMIF(修正!$A$45:$A$56,H62,修正!E45:E56)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2315</v>
      </c>
      <c r="B63" s="630">
        <f t="shared" si="17"/>
        <v>0</v>
      </c>
      <c r="C63" s="372">
        <f t="shared" si="16"/>
        <v>0</v>
      </c>
      <c r="D63" s="2110">
        <v>0.25</v>
      </c>
      <c r="E63" s="633">
        <f>'数据-汇总表'!E11</f>
        <v>0</v>
      </c>
      <c r="F63" s="628">
        <f t="shared" si="15"/>
        <v>0</v>
      </c>
      <c r="G63" s="1860" t="s">
        <v>2270</v>
      </c>
      <c r="H63" s="1863">
        <f>项目基本情况!C43</f>
        <v>0</v>
      </c>
      <c r="I63" s="1495">
        <f>SUMIF(修正!$A$45:$A$56,H63,修正!F45:F56)</f>
        <v>0</v>
      </c>
      <c r="J63" s="1496"/>
      <c r="K63" s="3219"/>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19"/>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19"/>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1860" t="s">
        <v>2269</v>
      </c>
      <c r="H66" s="1863">
        <f>项目基本情况!B43</f>
        <v>0</v>
      </c>
      <c r="I66" s="1495">
        <f>SUMIF(修正!$A$45:$A$56,H66,修正!H45:H56)</f>
        <v>0</v>
      </c>
      <c r="J66" s="1496"/>
      <c r="K66" s="3219"/>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2270</v>
      </c>
      <c r="H67" s="1864">
        <f>项目基本情况!C43</f>
        <v>0</v>
      </c>
      <c r="I67" s="1495">
        <f>SUMIF(修正!$A$45:$A$56,H67,修正!H45:H56)</f>
        <v>0</v>
      </c>
      <c r="J67" s="1496"/>
      <c r="K67" s="3219"/>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2281</v>
      </c>
      <c r="E68" s="635">
        <f>IF(B48="楼面地价",SUM(E58:E67),'数据-汇总表'!D3)</f>
        <v>74233.119999999995</v>
      </c>
      <c r="F68" s="636">
        <f>IF(B48="楼面地价",SUM(F58:F67),ROUND(C50*E68/10000,0))</f>
        <v>10905</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2020-8-1</v>
      </c>
      <c r="D70" s="2517">
        <f>EDATE(C70,-3)</f>
        <v>43952</v>
      </c>
      <c r="E70" s="2517">
        <f t="shared" ref="E70:N70" si="18">EDATE(D70,-3)</f>
        <v>43862</v>
      </c>
      <c r="F70" s="2517">
        <f t="shared" si="18"/>
        <v>43770</v>
      </c>
      <c r="G70" s="2517">
        <f t="shared" si="18"/>
        <v>43678</v>
      </c>
      <c r="H70" s="2517">
        <f t="shared" si="18"/>
        <v>43586</v>
      </c>
      <c r="I70" s="2517">
        <f t="shared" si="18"/>
        <v>43497</v>
      </c>
      <c r="J70" s="2517">
        <f t="shared" si="18"/>
        <v>43405</v>
      </c>
      <c r="K70" s="2517">
        <f t="shared" si="18"/>
        <v>43313</v>
      </c>
      <c r="L70" s="2517">
        <f t="shared" si="18"/>
        <v>43221</v>
      </c>
      <c r="M70" s="2517">
        <f t="shared" si="18"/>
        <v>43132</v>
      </c>
      <c r="N70" s="2517">
        <f t="shared" si="18"/>
        <v>43040</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2020-3</v>
      </c>
      <c r="D72" s="2519" t="str">
        <f>YEAR(D70)&amp;"-"&amp;ROUNDUP(MONTH(D70)/3,0)</f>
        <v>2020-2</v>
      </c>
      <c r="E72" s="2519" t="str">
        <f t="shared" ref="E72:N72" si="19">YEAR(E70)&amp;"-"&amp;ROUNDUP(MONTH(E70)/3,0)</f>
        <v>2020-1</v>
      </c>
      <c r="F72" s="2519" t="str">
        <f t="shared" si="19"/>
        <v>2019-4</v>
      </c>
      <c r="G72" s="2519" t="str">
        <f t="shared" si="19"/>
        <v>2019-3</v>
      </c>
      <c r="H72" s="2519" t="str">
        <f t="shared" si="19"/>
        <v>2019-2</v>
      </c>
      <c r="I72" s="2519" t="str">
        <f t="shared" si="19"/>
        <v>2019-1</v>
      </c>
      <c r="J72" s="2519" t="str">
        <f t="shared" si="19"/>
        <v>2018-4</v>
      </c>
      <c r="K72" s="2519" t="str">
        <f t="shared" si="19"/>
        <v>2018-3</v>
      </c>
      <c r="L72" s="2519" t="str">
        <f t="shared" si="19"/>
        <v>2018-2</v>
      </c>
      <c r="M72" s="2519" t="str">
        <f t="shared" si="19"/>
        <v>2018-1</v>
      </c>
      <c r="N72" s="2519" t="str">
        <f t="shared" si="19"/>
        <v>2017-4</v>
      </c>
      <c r="O72" s="2041" t="s">
        <v>3109</v>
      </c>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北京市平均增长率1.79%</v>
      </c>
      <c r="C73" s="883">
        <v>100</v>
      </c>
      <c r="D73" s="722">
        <f>C73</f>
        <v>100</v>
      </c>
      <c r="E73" s="722">
        <f t="shared" ref="E73:N73" si="20">D73</f>
        <v>100</v>
      </c>
      <c r="F73" s="722">
        <f t="shared" si="20"/>
        <v>100</v>
      </c>
      <c r="G73" s="722">
        <f t="shared" si="20"/>
        <v>100</v>
      </c>
      <c r="H73" s="722">
        <f t="shared" si="20"/>
        <v>100</v>
      </c>
      <c r="I73" s="722">
        <f t="shared" si="20"/>
        <v>100</v>
      </c>
      <c r="J73" s="722">
        <f t="shared" si="20"/>
        <v>100</v>
      </c>
      <c r="K73" s="722">
        <f t="shared" si="20"/>
        <v>100</v>
      </c>
      <c r="L73" s="722">
        <f t="shared" si="20"/>
        <v>100</v>
      </c>
      <c r="M73" s="722">
        <f t="shared" si="20"/>
        <v>100</v>
      </c>
      <c r="N73" s="722">
        <f t="shared" si="20"/>
        <v>100</v>
      </c>
      <c r="O73" s="2044">
        <v>100</v>
      </c>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3613">
        <v>0.5</v>
      </c>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3290" t="s">
        <v>3038</v>
      </c>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v>100</v>
      </c>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4（含）-5</v>
      </c>
      <c r="H81" s="674" t="str">
        <f t="shared" si="21"/>
        <v>5（含）-</v>
      </c>
      <c r="I81" s="674" t="str">
        <f t="shared" si="21"/>
        <v>（含）-</v>
      </c>
      <c r="J81" s="674" t="str">
        <f t="shared" si="21"/>
        <v>（含）-</v>
      </c>
      <c r="K81" s="674" t="str">
        <f t="shared" si="21"/>
        <v>（含）-</v>
      </c>
      <c r="L81" s="674" t="str">
        <f t="shared" si="21"/>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2</v>
      </c>
      <c r="F82" s="535">
        <v>3</v>
      </c>
      <c r="G82" s="535">
        <v>4</v>
      </c>
      <c r="H82" s="535">
        <v>5</v>
      </c>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95</v>
      </c>
      <c r="E83" s="671">
        <f t="shared" ref="E83:M83" si="22">IF($B$48="单位面积地价",D83+$K13,D83-$K13)</f>
        <v>90</v>
      </c>
      <c r="F83" s="671">
        <f t="shared" si="22"/>
        <v>85</v>
      </c>
      <c r="G83" s="671">
        <f t="shared" si="22"/>
        <v>80</v>
      </c>
      <c r="H83" s="671">
        <f t="shared" si="22"/>
        <v>75</v>
      </c>
      <c r="I83" s="671">
        <f t="shared" si="22"/>
        <v>70</v>
      </c>
      <c r="J83" s="671">
        <f t="shared" si="22"/>
        <v>65</v>
      </c>
      <c r="K83" s="671">
        <f t="shared" si="22"/>
        <v>60</v>
      </c>
      <c r="L83" s="671">
        <f t="shared" si="22"/>
        <v>55</v>
      </c>
      <c r="M83" s="671">
        <f t="shared" si="22"/>
        <v>50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3291" t="s">
        <v>3039</v>
      </c>
      <c r="D84" s="1327" t="s">
        <v>3040</v>
      </c>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v>100</v>
      </c>
      <c r="D85" s="663">
        <v>95</v>
      </c>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97</v>
      </c>
      <c r="E93" s="671">
        <f>D93-$K19</f>
        <v>94</v>
      </c>
      <c r="F93" s="671">
        <f>E93-$K19</f>
        <v>91</v>
      </c>
      <c r="G93" s="671">
        <f>F93-$K19</f>
        <v>88</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97</v>
      </c>
      <c r="E97" s="671">
        <f>D97-$K23</f>
        <v>94</v>
      </c>
      <c r="F97" s="671">
        <f>E97-$K23</f>
        <v>91</v>
      </c>
      <c r="G97" s="671">
        <f>F97-$K23</f>
        <v>88</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98</v>
      </c>
      <c r="E99" s="671">
        <f>D99-$K25</f>
        <v>96</v>
      </c>
      <c r="F99" s="671">
        <f>E99-$K25</f>
        <v>94</v>
      </c>
      <c r="G99" s="671">
        <f>F99-$K25</f>
        <v>92</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97</v>
      </c>
      <c r="E103" s="671">
        <f>D103-$K29</f>
        <v>94</v>
      </c>
      <c r="F103" s="671">
        <f>E103-$K29</f>
        <v>91</v>
      </c>
      <c r="G103" s="671">
        <f>F103-$K29</f>
        <v>88</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98</v>
      </c>
      <c r="E105" s="671">
        <f>D105-$K31</f>
        <v>96</v>
      </c>
      <c r="F105" s="671">
        <f>E105-$K31</f>
        <v>94</v>
      </c>
      <c r="G105" s="671">
        <f>F105-$K31</f>
        <v>92</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31.5" customHeight="1">
      <c r="A118" s="656" t="s">
        <v>545</v>
      </c>
      <c r="B118" s="657" t="s">
        <v>587</v>
      </c>
      <c r="C118" s="696" t="str">
        <f t="shared" ref="C118:L118" si="26">C119&amp;"(含)"&amp;"-"&amp;D119</f>
        <v>0(含)-20000</v>
      </c>
      <c r="D118" s="696" t="str">
        <f t="shared" si="26"/>
        <v>20000(含)-40000</v>
      </c>
      <c r="E118" s="696" t="str">
        <f t="shared" si="26"/>
        <v>40000(含)-60000</v>
      </c>
      <c r="F118" s="696" t="str">
        <f t="shared" si="26"/>
        <v>60000(含)-80000</v>
      </c>
      <c r="G118" s="696" t="str">
        <f t="shared" si="26"/>
        <v>80000(含)-100000</v>
      </c>
      <c r="H118" s="696" t="str">
        <f t="shared" si="26"/>
        <v>100000(含)-</v>
      </c>
      <c r="I118" s="696" t="str">
        <f t="shared" si="26"/>
        <v>(含)-</v>
      </c>
      <c r="J118" s="2781" t="str">
        <f t="shared" si="26"/>
        <v>(含)-</v>
      </c>
      <c r="K118" s="2781" t="str">
        <f t="shared" si="26"/>
        <v>(含)-</v>
      </c>
      <c r="L118" s="2782" t="str">
        <f t="shared" si="26"/>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20000</v>
      </c>
      <c r="E119" s="722">
        <v>40000</v>
      </c>
      <c r="F119" s="722">
        <v>60000</v>
      </c>
      <c r="G119" s="722">
        <v>80000</v>
      </c>
      <c r="H119" s="722">
        <v>100000</v>
      </c>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v>102</v>
      </c>
      <c r="E120" s="718">
        <v>104</v>
      </c>
      <c r="F120" s="718">
        <v>106</v>
      </c>
      <c r="G120" s="718">
        <v>108</v>
      </c>
      <c r="H120" s="718">
        <v>110</v>
      </c>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3292" t="s">
        <v>3041</v>
      </c>
      <c r="D121" s="3292" t="s">
        <v>3042</v>
      </c>
      <c r="E121" s="3292" t="s">
        <v>3043</v>
      </c>
      <c r="F121" s="3292" t="s">
        <v>3044</v>
      </c>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7">C122-$K41</f>
        <v>98</v>
      </c>
      <c r="E122" s="671">
        <f t="shared" si="27"/>
        <v>96</v>
      </c>
      <c r="F122" s="671">
        <f t="shared" si="27"/>
        <v>94</v>
      </c>
      <c r="G122" s="671">
        <f t="shared" si="27"/>
        <v>92</v>
      </c>
      <c r="H122" s="671">
        <f t="shared" si="27"/>
        <v>90</v>
      </c>
      <c r="I122" s="671">
        <f t="shared" si="27"/>
        <v>88</v>
      </c>
      <c r="J122" s="671">
        <f t="shared" si="27"/>
        <v>86</v>
      </c>
      <c r="K122" s="671">
        <f t="shared" si="27"/>
        <v>84</v>
      </c>
      <c r="L122" s="671">
        <f t="shared" si="27"/>
        <v>82</v>
      </c>
      <c r="M122" s="672">
        <f t="shared" si="27"/>
        <v>80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2409</v>
      </c>
      <c r="C125" s="1327" t="s">
        <v>3045</v>
      </c>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99</v>
      </c>
      <c r="E126" s="671">
        <f t="shared" ref="E126:M126" si="29">D126-$K43</f>
        <v>98</v>
      </c>
      <c r="F126" s="671">
        <f t="shared" si="29"/>
        <v>97</v>
      </c>
      <c r="G126" s="671">
        <f t="shared" si="29"/>
        <v>96</v>
      </c>
      <c r="H126" s="671">
        <f t="shared" si="29"/>
        <v>95</v>
      </c>
      <c r="I126" s="671">
        <f t="shared" si="29"/>
        <v>94</v>
      </c>
      <c r="J126" s="671">
        <f t="shared" si="29"/>
        <v>93</v>
      </c>
      <c r="K126" s="671">
        <f t="shared" si="29"/>
        <v>92</v>
      </c>
      <c r="L126" s="671">
        <f t="shared" si="29"/>
        <v>91</v>
      </c>
      <c r="M126" s="672">
        <f t="shared" si="29"/>
        <v>90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3291" t="s">
        <v>3047</v>
      </c>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30">C128-$K44</f>
        <v>100</v>
      </c>
      <c r="E128" s="671">
        <f t="shared" si="30"/>
        <v>100</v>
      </c>
      <c r="F128" s="671">
        <f t="shared" si="30"/>
        <v>100</v>
      </c>
      <c r="G128" s="671">
        <f t="shared" si="30"/>
        <v>100</v>
      </c>
      <c r="H128" s="671">
        <f t="shared" si="30"/>
        <v>100</v>
      </c>
      <c r="I128" s="671">
        <f t="shared" si="30"/>
        <v>100</v>
      </c>
      <c r="J128" s="671">
        <f t="shared" si="30"/>
        <v>100</v>
      </c>
      <c r="K128" s="671">
        <f t="shared" si="30"/>
        <v>100</v>
      </c>
      <c r="L128" s="671">
        <f t="shared" si="30"/>
        <v>100</v>
      </c>
      <c r="M128" s="672">
        <f t="shared" si="30"/>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6" priority="17" stopIfTrue="1" operator="containsText" text="超过">
      <formula>NOT(ISERROR(SEARCH("超过",F53)))</formula>
    </cfRule>
  </conditionalFormatting>
  <conditionalFormatting sqref="J55">
    <cfRule type="containsText" dxfId="165" priority="16" stopIfTrue="1" operator="containsText" text="超过">
      <formula>NOT(ISERROR(SEARCH("超过",J55)))</formula>
    </cfRule>
  </conditionalFormatting>
  <conditionalFormatting sqref="H55">
    <cfRule type="containsText" dxfId="164" priority="15" stopIfTrue="1" operator="containsText" text="超过">
      <formula>NOT(ISERROR(SEARCH("超过",H55)))</formula>
    </cfRule>
  </conditionalFormatting>
  <conditionalFormatting sqref="F55">
    <cfRule type="containsText" dxfId="163" priority="14" stopIfTrue="1" operator="containsText" text="超过">
      <formula>NOT(ISERROR(SEARCH("超过",F55)))</formula>
    </cfRule>
  </conditionalFormatting>
  <conditionalFormatting sqref="F54 H54 J54">
    <cfRule type="containsText" dxfId="162" priority="13" stopIfTrue="1" operator="containsText" text="超过">
      <formula>NOT(ISERROR(SEARCH("超过",F54)))</formula>
    </cfRule>
  </conditionalFormatting>
  <conditionalFormatting sqref="E53">
    <cfRule type="expression" dxfId="161" priority="12" stopIfTrue="1">
      <formula>$F$53="超过30%"</formula>
    </cfRule>
  </conditionalFormatting>
  <conditionalFormatting sqref="G55">
    <cfRule type="expression" dxfId="160" priority="11" stopIfTrue="1">
      <formula>$H$55="超过30%"</formula>
    </cfRule>
  </conditionalFormatting>
  <conditionalFormatting sqref="E54">
    <cfRule type="expression" dxfId="159" priority="10" stopIfTrue="1">
      <formula>$F$54="超过20%"</formula>
    </cfRule>
  </conditionalFormatting>
  <conditionalFormatting sqref="E55">
    <cfRule type="expression" dxfId="158" priority="9" stopIfTrue="1">
      <formula>$F$55="超过30%"</formula>
    </cfRule>
  </conditionalFormatting>
  <conditionalFormatting sqref="G53">
    <cfRule type="expression" dxfId="157" priority="8" stopIfTrue="1">
      <formula>$H$55+$H$53="超过30%"</formula>
    </cfRule>
  </conditionalFormatting>
  <conditionalFormatting sqref="G54">
    <cfRule type="expression" dxfId="156" priority="7" stopIfTrue="1">
      <formula>$H$54="超过20%"</formula>
    </cfRule>
  </conditionalFormatting>
  <conditionalFormatting sqref="I53">
    <cfRule type="expression" dxfId="155" priority="6" stopIfTrue="1">
      <formula>$J$53="超过30%"</formula>
    </cfRule>
  </conditionalFormatting>
  <conditionalFormatting sqref="I54">
    <cfRule type="expression" dxfId="154" priority="5" stopIfTrue="1">
      <formula>$J$54="超过20%"</formula>
    </cfRule>
  </conditionalFormatting>
  <conditionalFormatting sqref="I55">
    <cfRule type="expression" dxfId="153" priority="4" stopIfTrue="1">
      <formula>$J$55="超过30%"</formula>
    </cfRule>
  </conditionalFormatting>
  <conditionalFormatting sqref="F49">
    <cfRule type="expression" dxfId="152" priority="3">
      <formula>$D$49="简单平均"</formula>
    </cfRule>
  </conditionalFormatting>
  <conditionalFormatting sqref="H49">
    <cfRule type="expression" dxfId="151" priority="2">
      <formula>$D$49="简单平均"</formula>
    </cfRule>
  </conditionalFormatting>
  <conditionalFormatting sqref="J49">
    <cfRule type="expression" dxfId="150" priority="1">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63305-4353-4EE8-AA64-9FB563B7F423}">
  <dimension ref="A2:B13"/>
  <sheetViews>
    <sheetView workbookViewId="0">
      <selection activeCell="J26" sqref="J26"/>
    </sheetView>
  </sheetViews>
  <sheetFormatPr defaultRowHeight="13.5"/>
  <cols>
    <col min="2" max="2" width="11.625" bestFit="1" customWidth="1"/>
  </cols>
  <sheetData>
    <row r="2" spans="1:2">
      <c r="A2" s="3248" t="s">
        <v>2989</v>
      </c>
    </row>
    <row r="3" spans="1:2">
      <c r="A3" s="3248" t="s">
        <v>2905</v>
      </c>
      <c r="B3">
        <v>74233.100000000006</v>
      </c>
    </row>
    <row r="4" spans="1:2">
      <c r="A4" s="3248" t="s">
        <v>3081</v>
      </c>
      <c r="B4">
        <v>9500</v>
      </c>
    </row>
    <row r="5" spans="1:2">
      <c r="A5" s="3248" t="s">
        <v>2992</v>
      </c>
      <c r="B5" s="3248" t="s">
        <v>3082</v>
      </c>
    </row>
    <row r="8" spans="1:2">
      <c r="A8" s="3248" t="s">
        <v>3083</v>
      </c>
    </row>
    <row r="9" spans="1:2">
      <c r="A9" s="3248" t="s">
        <v>3084</v>
      </c>
    </row>
    <row r="10" spans="1:2">
      <c r="A10" s="3248" t="s">
        <v>3085</v>
      </c>
    </row>
    <row r="11" spans="1:2">
      <c r="A11" s="3248" t="s">
        <v>3087</v>
      </c>
    </row>
    <row r="12" spans="1:2">
      <c r="A12" s="3248" t="s">
        <v>2905</v>
      </c>
      <c r="B12" s="3606">
        <v>74233.119999999995</v>
      </c>
    </row>
    <row r="13" spans="1:2">
      <c r="A13" s="3248" t="s">
        <v>3088</v>
      </c>
      <c r="B13" s="3605">
        <v>57692</v>
      </c>
    </row>
  </sheetData>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97" t="str">
        <f>项目基本情况!B1</f>
        <v>出让国有建设用地使用权抵押价格预评估</v>
      </c>
      <c r="C37" s="3297"/>
      <c r="D37" s="3297"/>
      <c r="E37" s="3297"/>
      <c r="F37" s="3297"/>
      <c r="G37" s="3297"/>
      <c r="H37" s="3297"/>
      <c r="I37" s="3297"/>
    </row>
    <row r="38" spans="1:9">
      <c r="A38" s="1585"/>
      <c r="B38" s="1585"/>
    </row>
    <row r="39" spans="1:9">
      <c r="A39" s="1583" t="s">
        <v>1892</v>
      </c>
      <c r="B39" s="1583" t="s">
        <v>2034</v>
      </c>
    </row>
    <row r="40" spans="1:9">
      <c r="A40" s="1583"/>
      <c r="B40" s="1583">
        <f>项目基本情况!B5</f>
        <v>0</v>
      </c>
    </row>
    <row r="41" spans="1:9">
      <c r="A41" s="1583"/>
      <c r="B41" s="1583"/>
    </row>
    <row r="42" spans="1:9">
      <c r="A42" s="1583" t="s">
        <v>1892</v>
      </c>
      <c r="B42" s="1583" t="s">
        <v>2035</v>
      </c>
    </row>
    <row r="43" spans="1:9">
      <c r="A43" s="1583"/>
      <c r="B43" s="1583" t="s">
        <v>1894</v>
      </c>
    </row>
    <row r="44" spans="1:9">
      <c r="A44" s="1583"/>
      <c r="B44" s="1583"/>
    </row>
    <row r="45" spans="1:9">
      <c r="A45" s="1583" t="s">
        <v>1892</v>
      </c>
      <c r="B45" s="1583" t="s">
        <v>2033</v>
      </c>
    </row>
    <row r="46" spans="1:9" s="1583" customFormat="1" ht="12.75">
      <c r="B46" s="1583" t="str">
        <f>项目基本情况!K4</f>
        <v>王鹏、郑燚</v>
      </c>
    </row>
    <row r="47" spans="1:9">
      <c r="A47" s="1583"/>
      <c r="B47" s="1583"/>
    </row>
    <row r="48" spans="1:9">
      <c r="A48" s="1583" t="s">
        <v>1892</v>
      </c>
      <c r="B48" s="1583" t="s">
        <v>2036</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E8286-A3BB-475B-836F-03B0B957375A}">
  <dimension ref="A1:S7"/>
  <sheetViews>
    <sheetView workbookViewId="0">
      <selection activeCell="G6" sqref="G6"/>
    </sheetView>
  </sheetViews>
  <sheetFormatPr defaultRowHeight="12"/>
  <cols>
    <col min="1" max="1" width="43.875" style="3288" customWidth="1"/>
    <col min="2" max="2" width="6.25" style="3288" customWidth="1"/>
    <col min="3" max="3" width="11.75" style="3288" customWidth="1"/>
    <col min="4" max="5" width="13.875" style="3288" customWidth="1"/>
    <col min="6" max="7" width="7.5" style="3288" customWidth="1"/>
    <col min="8" max="8" width="7.875" style="3288" customWidth="1"/>
    <col min="9" max="9" width="11.25" style="3288" customWidth="1"/>
    <col min="10" max="11" width="9" style="3288"/>
    <col min="12" max="13" width="10.625" style="3288" customWidth="1"/>
    <col min="14" max="14" width="14.375" style="3288" customWidth="1"/>
    <col min="15" max="15" width="6.25" style="3288" customWidth="1"/>
    <col min="16" max="16" width="24.5" style="3288" customWidth="1"/>
    <col min="17" max="17" width="7.875" style="3288" customWidth="1"/>
    <col min="18" max="19" width="11.25" style="3288" bestFit="1" customWidth="1"/>
    <col min="20" max="257" width="9" style="3288"/>
    <col min="258" max="258" width="43.875" style="3288" customWidth="1"/>
    <col min="259" max="259" width="6.25" style="3288" customWidth="1"/>
    <col min="260" max="260" width="11.75" style="3288" customWidth="1"/>
    <col min="261" max="262" width="13.875" style="3288" customWidth="1"/>
    <col min="263" max="263" width="7.5" style="3288" customWidth="1"/>
    <col min="264" max="264" width="7.875" style="3288" customWidth="1"/>
    <col min="265" max="265" width="11.25" style="3288" customWidth="1"/>
    <col min="266" max="267" width="9" style="3288"/>
    <col min="268" max="269" width="10.625" style="3288" customWidth="1"/>
    <col min="270" max="270" width="14.375" style="3288" customWidth="1"/>
    <col min="271" max="271" width="6.25" style="3288" customWidth="1"/>
    <col min="272" max="272" width="24.5" style="3288" customWidth="1"/>
    <col min="273" max="273" width="7.875" style="3288" customWidth="1"/>
    <col min="274" max="513" width="9" style="3288"/>
    <col min="514" max="514" width="43.875" style="3288" customWidth="1"/>
    <col min="515" max="515" width="6.25" style="3288" customWidth="1"/>
    <col min="516" max="516" width="11.75" style="3288" customWidth="1"/>
    <col min="517" max="518" width="13.875" style="3288" customWidth="1"/>
    <col min="519" max="519" width="7.5" style="3288" customWidth="1"/>
    <col min="520" max="520" width="7.875" style="3288" customWidth="1"/>
    <col min="521" max="521" width="11.25" style="3288" customWidth="1"/>
    <col min="522" max="523" width="9" style="3288"/>
    <col min="524" max="525" width="10.625" style="3288" customWidth="1"/>
    <col min="526" max="526" width="14.375" style="3288" customWidth="1"/>
    <col min="527" max="527" width="6.25" style="3288" customWidth="1"/>
    <col min="528" max="528" width="24.5" style="3288" customWidth="1"/>
    <col min="529" max="529" width="7.875" style="3288" customWidth="1"/>
    <col min="530" max="769" width="9" style="3288"/>
    <col min="770" max="770" width="43.875" style="3288" customWidth="1"/>
    <col min="771" max="771" width="6.25" style="3288" customWidth="1"/>
    <col min="772" max="772" width="11.75" style="3288" customWidth="1"/>
    <col min="773" max="774" width="13.875" style="3288" customWidth="1"/>
    <col min="775" max="775" width="7.5" style="3288" customWidth="1"/>
    <col min="776" max="776" width="7.875" style="3288" customWidth="1"/>
    <col min="777" max="777" width="11.25" style="3288" customWidth="1"/>
    <col min="778" max="779" width="9" style="3288"/>
    <col min="780" max="781" width="10.625" style="3288" customWidth="1"/>
    <col min="782" max="782" width="14.375" style="3288" customWidth="1"/>
    <col min="783" max="783" width="6.25" style="3288" customWidth="1"/>
    <col min="784" max="784" width="24.5" style="3288" customWidth="1"/>
    <col min="785" max="785" width="7.875" style="3288" customWidth="1"/>
    <col min="786" max="1025" width="9" style="3288"/>
    <col min="1026" max="1026" width="43.875" style="3288" customWidth="1"/>
    <col min="1027" max="1027" width="6.25" style="3288" customWidth="1"/>
    <col min="1028" max="1028" width="11.75" style="3288" customWidth="1"/>
    <col min="1029" max="1030" width="13.875" style="3288" customWidth="1"/>
    <col min="1031" max="1031" width="7.5" style="3288" customWidth="1"/>
    <col min="1032" max="1032" width="7.875" style="3288" customWidth="1"/>
    <col min="1033" max="1033" width="11.25" style="3288" customWidth="1"/>
    <col min="1034" max="1035" width="9" style="3288"/>
    <col min="1036" max="1037" width="10.625" style="3288" customWidth="1"/>
    <col min="1038" max="1038" width="14.375" style="3288" customWidth="1"/>
    <col min="1039" max="1039" width="6.25" style="3288" customWidth="1"/>
    <col min="1040" max="1040" width="24.5" style="3288" customWidth="1"/>
    <col min="1041" max="1041" width="7.875" style="3288" customWidth="1"/>
    <col min="1042" max="1281" width="9" style="3288"/>
    <col min="1282" max="1282" width="43.875" style="3288" customWidth="1"/>
    <col min="1283" max="1283" width="6.25" style="3288" customWidth="1"/>
    <col min="1284" max="1284" width="11.75" style="3288" customWidth="1"/>
    <col min="1285" max="1286" width="13.875" style="3288" customWidth="1"/>
    <col min="1287" max="1287" width="7.5" style="3288" customWidth="1"/>
    <col min="1288" max="1288" width="7.875" style="3288" customWidth="1"/>
    <col min="1289" max="1289" width="11.25" style="3288" customWidth="1"/>
    <col min="1290" max="1291" width="9" style="3288"/>
    <col min="1292" max="1293" width="10.625" style="3288" customWidth="1"/>
    <col min="1294" max="1294" width="14.375" style="3288" customWidth="1"/>
    <col min="1295" max="1295" width="6.25" style="3288" customWidth="1"/>
    <col min="1296" max="1296" width="24.5" style="3288" customWidth="1"/>
    <col min="1297" max="1297" width="7.875" style="3288" customWidth="1"/>
    <col min="1298" max="1537" width="9" style="3288"/>
    <col min="1538" max="1538" width="43.875" style="3288" customWidth="1"/>
    <col min="1539" max="1539" width="6.25" style="3288" customWidth="1"/>
    <col min="1540" max="1540" width="11.75" style="3288" customWidth="1"/>
    <col min="1541" max="1542" width="13.875" style="3288" customWidth="1"/>
    <col min="1543" max="1543" width="7.5" style="3288" customWidth="1"/>
    <col min="1544" max="1544" width="7.875" style="3288" customWidth="1"/>
    <col min="1545" max="1545" width="11.25" style="3288" customWidth="1"/>
    <col min="1546" max="1547" width="9" style="3288"/>
    <col min="1548" max="1549" width="10.625" style="3288" customWidth="1"/>
    <col min="1550" max="1550" width="14.375" style="3288" customWidth="1"/>
    <col min="1551" max="1551" width="6.25" style="3288" customWidth="1"/>
    <col min="1552" max="1552" width="24.5" style="3288" customWidth="1"/>
    <col min="1553" max="1553" width="7.875" style="3288" customWidth="1"/>
    <col min="1554" max="1793" width="9" style="3288"/>
    <col min="1794" max="1794" width="43.875" style="3288" customWidth="1"/>
    <col min="1795" max="1795" width="6.25" style="3288" customWidth="1"/>
    <col min="1796" max="1796" width="11.75" style="3288" customWidth="1"/>
    <col min="1797" max="1798" width="13.875" style="3288" customWidth="1"/>
    <col min="1799" max="1799" width="7.5" style="3288" customWidth="1"/>
    <col min="1800" max="1800" width="7.875" style="3288" customWidth="1"/>
    <col min="1801" max="1801" width="11.25" style="3288" customWidth="1"/>
    <col min="1802" max="1803" width="9" style="3288"/>
    <col min="1804" max="1805" width="10.625" style="3288" customWidth="1"/>
    <col min="1806" max="1806" width="14.375" style="3288" customWidth="1"/>
    <col min="1807" max="1807" width="6.25" style="3288" customWidth="1"/>
    <col min="1808" max="1808" width="24.5" style="3288" customWidth="1"/>
    <col min="1809" max="1809" width="7.875" style="3288" customWidth="1"/>
    <col min="1810" max="2049" width="9" style="3288"/>
    <col min="2050" max="2050" width="43.875" style="3288" customWidth="1"/>
    <col min="2051" max="2051" width="6.25" style="3288" customWidth="1"/>
    <col min="2052" max="2052" width="11.75" style="3288" customWidth="1"/>
    <col min="2053" max="2054" width="13.875" style="3288" customWidth="1"/>
    <col min="2055" max="2055" width="7.5" style="3288" customWidth="1"/>
    <col min="2056" max="2056" width="7.875" style="3288" customWidth="1"/>
    <col min="2057" max="2057" width="11.25" style="3288" customWidth="1"/>
    <col min="2058" max="2059" width="9" style="3288"/>
    <col min="2060" max="2061" width="10.625" style="3288" customWidth="1"/>
    <col min="2062" max="2062" width="14.375" style="3288" customWidth="1"/>
    <col min="2063" max="2063" width="6.25" style="3288" customWidth="1"/>
    <col min="2064" max="2064" width="24.5" style="3288" customWidth="1"/>
    <col min="2065" max="2065" width="7.875" style="3288" customWidth="1"/>
    <col min="2066" max="2305" width="9" style="3288"/>
    <col min="2306" max="2306" width="43.875" style="3288" customWidth="1"/>
    <col min="2307" max="2307" width="6.25" style="3288" customWidth="1"/>
    <col min="2308" max="2308" width="11.75" style="3288" customWidth="1"/>
    <col min="2309" max="2310" width="13.875" style="3288" customWidth="1"/>
    <col min="2311" max="2311" width="7.5" style="3288" customWidth="1"/>
    <col min="2312" max="2312" width="7.875" style="3288" customWidth="1"/>
    <col min="2313" max="2313" width="11.25" style="3288" customWidth="1"/>
    <col min="2314" max="2315" width="9" style="3288"/>
    <col min="2316" max="2317" width="10.625" style="3288" customWidth="1"/>
    <col min="2318" max="2318" width="14.375" style="3288" customWidth="1"/>
    <col min="2319" max="2319" width="6.25" style="3288" customWidth="1"/>
    <col min="2320" max="2320" width="24.5" style="3288" customWidth="1"/>
    <col min="2321" max="2321" width="7.875" style="3288" customWidth="1"/>
    <col min="2322" max="2561" width="9" style="3288"/>
    <col min="2562" max="2562" width="43.875" style="3288" customWidth="1"/>
    <col min="2563" max="2563" width="6.25" style="3288" customWidth="1"/>
    <col min="2564" max="2564" width="11.75" style="3288" customWidth="1"/>
    <col min="2565" max="2566" width="13.875" style="3288" customWidth="1"/>
    <col min="2567" max="2567" width="7.5" style="3288" customWidth="1"/>
    <col min="2568" max="2568" width="7.875" style="3288" customWidth="1"/>
    <col min="2569" max="2569" width="11.25" style="3288" customWidth="1"/>
    <col min="2570" max="2571" width="9" style="3288"/>
    <col min="2572" max="2573" width="10.625" style="3288" customWidth="1"/>
    <col min="2574" max="2574" width="14.375" style="3288" customWidth="1"/>
    <col min="2575" max="2575" width="6.25" style="3288" customWidth="1"/>
    <col min="2576" max="2576" width="24.5" style="3288" customWidth="1"/>
    <col min="2577" max="2577" width="7.875" style="3288" customWidth="1"/>
    <col min="2578" max="2817" width="9" style="3288"/>
    <col min="2818" max="2818" width="43.875" style="3288" customWidth="1"/>
    <col min="2819" max="2819" width="6.25" style="3288" customWidth="1"/>
    <col min="2820" max="2820" width="11.75" style="3288" customWidth="1"/>
    <col min="2821" max="2822" width="13.875" style="3288" customWidth="1"/>
    <col min="2823" max="2823" width="7.5" style="3288" customWidth="1"/>
    <col min="2824" max="2824" width="7.875" style="3288" customWidth="1"/>
    <col min="2825" max="2825" width="11.25" style="3288" customWidth="1"/>
    <col min="2826" max="2827" width="9" style="3288"/>
    <col min="2828" max="2829" width="10.625" style="3288" customWidth="1"/>
    <col min="2830" max="2830" width="14.375" style="3288" customWidth="1"/>
    <col min="2831" max="2831" width="6.25" style="3288" customWidth="1"/>
    <col min="2832" max="2832" width="24.5" style="3288" customWidth="1"/>
    <col min="2833" max="2833" width="7.875" style="3288" customWidth="1"/>
    <col min="2834" max="3073" width="9" style="3288"/>
    <col min="3074" max="3074" width="43.875" style="3288" customWidth="1"/>
    <col min="3075" max="3075" width="6.25" style="3288" customWidth="1"/>
    <col min="3076" max="3076" width="11.75" style="3288" customWidth="1"/>
    <col min="3077" max="3078" width="13.875" style="3288" customWidth="1"/>
    <col min="3079" max="3079" width="7.5" style="3288" customWidth="1"/>
    <col min="3080" max="3080" width="7.875" style="3288" customWidth="1"/>
    <col min="3081" max="3081" width="11.25" style="3288" customWidth="1"/>
    <col min="3082" max="3083" width="9" style="3288"/>
    <col min="3084" max="3085" width="10.625" style="3288" customWidth="1"/>
    <col min="3086" max="3086" width="14.375" style="3288" customWidth="1"/>
    <col min="3087" max="3087" width="6.25" style="3288" customWidth="1"/>
    <col min="3088" max="3088" width="24.5" style="3288" customWidth="1"/>
    <col min="3089" max="3089" width="7.875" style="3288" customWidth="1"/>
    <col min="3090" max="3329" width="9" style="3288"/>
    <col min="3330" max="3330" width="43.875" style="3288" customWidth="1"/>
    <col min="3331" max="3331" width="6.25" style="3288" customWidth="1"/>
    <col min="3332" max="3332" width="11.75" style="3288" customWidth="1"/>
    <col min="3333" max="3334" width="13.875" style="3288" customWidth="1"/>
    <col min="3335" max="3335" width="7.5" style="3288" customWidth="1"/>
    <col min="3336" max="3336" width="7.875" style="3288" customWidth="1"/>
    <col min="3337" max="3337" width="11.25" style="3288" customWidth="1"/>
    <col min="3338" max="3339" width="9" style="3288"/>
    <col min="3340" max="3341" width="10.625" style="3288" customWidth="1"/>
    <col min="3342" max="3342" width="14.375" style="3288" customWidth="1"/>
    <col min="3343" max="3343" width="6.25" style="3288" customWidth="1"/>
    <col min="3344" max="3344" width="24.5" style="3288" customWidth="1"/>
    <col min="3345" max="3345" width="7.875" style="3288" customWidth="1"/>
    <col min="3346" max="3585" width="9" style="3288"/>
    <col min="3586" max="3586" width="43.875" style="3288" customWidth="1"/>
    <col min="3587" max="3587" width="6.25" style="3288" customWidth="1"/>
    <col min="3588" max="3588" width="11.75" style="3288" customWidth="1"/>
    <col min="3589" max="3590" width="13.875" style="3288" customWidth="1"/>
    <col min="3591" max="3591" width="7.5" style="3288" customWidth="1"/>
    <col min="3592" max="3592" width="7.875" style="3288" customWidth="1"/>
    <col min="3593" max="3593" width="11.25" style="3288" customWidth="1"/>
    <col min="3594" max="3595" width="9" style="3288"/>
    <col min="3596" max="3597" width="10.625" style="3288" customWidth="1"/>
    <col min="3598" max="3598" width="14.375" style="3288" customWidth="1"/>
    <col min="3599" max="3599" width="6.25" style="3288" customWidth="1"/>
    <col min="3600" max="3600" width="24.5" style="3288" customWidth="1"/>
    <col min="3601" max="3601" width="7.875" style="3288" customWidth="1"/>
    <col min="3602" max="3841" width="9" style="3288"/>
    <col min="3842" max="3842" width="43.875" style="3288" customWidth="1"/>
    <col min="3843" max="3843" width="6.25" style="3288" customWidth="1"/>
    <col min="3844" max="3844" width="11.75" style="3288" customWidth="1"/>
    <col min="3845" max="3846" width="13.875" style="3288" customWidth="1"/>
    <col min="3847" max="3847" width="7.5" style="3288" customWidth="1"/>
    <col min="3848" max="3848" width="7.875" style="3288" customWidth="1"/>
    <col min="3849" max="3849" width="11.25" style="3288" customWidth="1"/>
    <col min="3850" max="3851" width="9" style="3288"/>
    <col min="3852" max="3853" width="10.625" style="3288" customWidth="1"/>
    <col min="3854" max="3854" width="14.375" style="3288" customWidth="1"/>
    <col min="3855" max="3855" width="6.25" style="3288" customWidth="1"/>
    <col min="3856" max="3856" width="24.5" style="3288" customWidth="1"/>
    <col min="3857" max="3857" width="7.875" style="3288" customWidth="1"/>
    <col min="3858" max="4097" width="9" style="3288"/>
    <col min="4098" max="4098" width="43.875" style="3288" customWidth="1"/>
    <col min="4099" max="4099" width="6.25" style="3288" customWidth="1"/>
    <col min="4100" max="4100" width="11.75" style="3288" customWidth="1"/>
    <col min="4101" max="4102" width="13.875" style="3288" customWidth="1"/>
    <col min="4103" max="4103" width="7.5" style="3288" customWidth="1"/>
    <col min="4104" max="4104" width="7.875" style="3288" customWidth="1"/>
    <col min="4105" max="4105" width="11.25" style="3288" customWidth="1"/>
    <col min="4106" max="4107" width="9" style="3288"/>
    <col min="4108" max="4109" width="10.625" style="3288" customWidth="1"/>
    <col min="4110" max="4110" width="14.375" style="3288" customWidth="1"/>
    <col min="4111" max="4111" width="6.25" style="3288" customWidth="1"/>
    <col min="4112" max="4112" width="24.5" style="3288" customWidth="1"/>
    <col min="4113" max="4113" width="7.875" style="3288" customWidth="1"/>
    <col min="4114" max="4353" width="9" style="3288"/>
    <col min="4354" max="4354" width="43.875" style="3288" customWidth="1"/>
    <col min="4355" max="4355" width="6.25" style="3288" customWidth="1"/>
    <col min="4356" max="4356" width="11.75" style="3288" customWidth="1"/>
    <col min="4357" max="4358" width="13.875" style="3288" customWidth="1"/>
    <col min="4359" max="4359" width="7.5" style="3288" customWidth="1"/>
    <col min="4360" max="4360" width="7.875" style="3288" customWidth="1"/>
    <col min="4361" max="4361" width="11.25" style="3288" customWidth="1"/>
    <col min="4362" max="4363" width="9" style="3288"/>
    <col min="4364" max="4365" width="10.625" style="3288" customWidth="1"/>
    <col min="4366" max="4366" width="14.375" style="3288" customWidth="1"/>
    <col min="4367" max="4367" width="6.25" style="3288" customWidth="1"/>
    <col min="4368" max="4368" width="24.5" style="3288" customWidth="1"/>
    <col min="4369" max="4369" width="7.875" style="3288" customWidth="1"/>
    <col min="4370" max="4609" width="9" style="3288"/>
    <col min="4610" max="4610" width="43.875" style="3288" customWidth="1"/>
    <col min="4611" max="4611" width="6.25" style="3288" customWidth="1"/>
    <col min="4612" max="4612" width="11.75" style="3288" customWidth="1"/>
    <col min="4613" max="4614" width="13.875" style="3288" customWidth="1"/>
    <col min="4615" max="4615" width="7.5" style="3288" customWidth="1"/>
    <col min="4616" max="4616" width="7.875" style="3288" customWidth="1"/>
    <col min="4617" max="4617" width="11.25" style="3288" customWidth="1"/>
    <col min="4618" max="4619" width="9" style="3288"/>
    <col min="4620" max="4621" width="10.625" style="3288" customWidth="1"/>
    <col min="4622" max="4622" width="14.375" style="3288" customWidth="1"/>
    <col min="4623" max="4623" width="6.25" style="3288" customWidth="1"/>
    <col min="4624" max="4624" width="24.5" style="3288" customWidth="1"/>
    <col min="4625" max="4625" width="7.875" style="3288" customWidth="1"/>
    <col min="4626" max="4865" width="9" style="3288"/>
    <col min="4866" max="4866" width="43.875" style="3288" customWidth="1"/>
    <col min="4867" max="4867" width="6.25" style="3288" customWidth="1"/>
    <col min="4868" max="4868" width="11.75" style="3288" customWidth="1"/>
    <col min="4869" max="4870" width="13.875" style="3288" customWidth="1"/>
    <col min="4871" max="4871" width="7.5" style="3288" customWidth="1"/>
    <col min="4872" max="4872" width="7.875" style="3288" customWidth="1"/>
    <col min="4873" max="4873" width="11.25" style="3288" customWidth="1"/>
    <col min="4874" max="4875" width="9" style="3288"/>
    <col min="4876" max="4877" width="10.625" style="3288" customWidth="1"/>
    <col min="4878" max="4878" width="14.375" style="3288" customWidth="1"/>
    <col min="4879" max="4879" width="6.25" style="3288" customWidth="1"/>
    <col min="4880" max="4880" width="24.5" style="3288" customWidth="1"/>
    <col min="4881" max="4881" width="7.875" style="3288" customWidth="1"/>
    <col min="4882" max="5121" width="9" style="3288"/>
    <col min="5122" max="5122" width="43.875" style="3288" customWidth="1"/>
    <col min="5123" max="5123" width="6.25" style="3288" customWidth="1"/>
    <col min="5124" max="5124" width="11.75" style="3288" customWidth="1"/>
    <col min="5125" max="5126" width="13.875" style="3288" customWidth="1"/>
    <col min="5127" max="5127" width="7.5" style="3288" customWidth="1"/>
    <col min="5128" max="5128" width="7.875" style="3288" customWidth="1"/>
    <col min="5129" max="5129" width="11.25" style="3288" customWidth="1"/>
    <col min="5130" max="5131" width="9" style="3288"/>
    <col min="5132" max="5133" width="10.625" style="3288" customWidth="1"/>
    <col min="5134" max="5134" width="14.375" style="3288" customWidth="1"/>
    <col min="5135" max="5135" width="6.25" style="3288" customWidth="1"/>
    <col min="5136" max="5136" width="24.5" style="3288" customWidth="1"/>
    <col min="5137" max="5137" width="7.875" style="3288" customWidth="1"/>
    <col min="5138" max="5377" width="9" style="3288"/>
    <col min="5378" max="5378" width="43.875" style="3288" customWidth="1"/>
    <col min="5379" max="5379" width="6.25" style="3288" customWidth="1"/>
    <col min="5380" max="5380" width="11.75" style="3288" customWidth="1"/>
    <col min="5381" max="5382" width="13.875" style="3288" customWidth="1"/>
    <col min="5383" max="5383" width="7.5" style="3288" customWidth="1"/>
    <col min="5384" max="5384" width="7.875" style="3288" customWidth="1"/>
    <col min="5385" max="5385" width="11.25" style="3288" customWidth="1"/>
    <col min="5386" max="5387" width="9" style="3288"/>
    <col min="5388" max="5389" width="10.625" style="3288" customWidth="1"/>
    <col min="5390" max="5390" width="14.375" style="3288" customWidth="1"/>
    <col min="5391" max="5391" width="6.25" style="3288" customWidth="1"/>
    <col min="5392" max="5392" width="24.5" style="3288" customWidth="1"/>
    <col min="5393" max="5393" width="7.875" style="3288" customWidth="1"/>
    <col min="5394" max="5633" width="9" style="3288"/>
    <col min="5634" max="5634" width="43.875" style="3288" customWidth="1"/>
    <col min="5635" max="5635" width="6.25" style="3288" customWidth="1"/>
    <col min="5636" max="5636" width="11.75" style="3288" customWidth="1"/>
    <col min="5637" max="5638" width="13.875" style="3288" customWidth="1"/>
    <col min="5639" max="5639" width="7.5" style="3288" customWidth="1"/>
    <col min="5640" max="5640" width="7.875" style="3288" customWidth="1"/>
    <col min="5641" max="5641" width="11.25" style="3288" customWidth="1"/>
    <col min="5642" max="5643" width="9" style="3288"/>
    <col min="5644" max="5645" width="10.625" style="3288" customWidth="1"/>
    <col min="5646" max="5646" width="14.375" style="3288" customWidth="1"/>
    <col min="5647" max="5647" width="6.25" style="3288" customWidth="1"/>
    <col min="5648" max="5648" width="24.5" style="3288" customWidth="1"/>
    <col min="5649" max="5649" width="7.875" style="3288" customWidth="1"/>
    <col min="5650" max="5889" width="9" style="3288"/>
    <col min="5890" max="5890" width="43.875" style="3288" customWidth="1"/>
    <col min="5891" max="5891" width="6.25" style="3288" customWidth="1"/>
    <col min="5892" max="5892" width="11.75" style="3288" customWidth="1"/>
    <col min="5893" max="5894" width="13.875" style="3288" customWidth="1"/>
    <col min="5895" max="5895" width="7.5" style="3288" customWidth="1"/>
    <col min="5896" max="5896" width="7.875" style="3288" customWidth="1"/>
    <col min="5897" max="5897" width="11.25" style="3288" customWidth="1"/>
    <col min="5898" max="5899" width="9" style="3288"/>
    <col min="5900" max="5901" width="10.625" style="3288" customWidth="1"/>
    <col min="5902" max="5902" width="14.375" style="3288" customWidth="1"/>
    <col min="5903" max="5903" width="6.25" style="3288" customWidth="1"/>
    <col min="5904" max="5904" width="24.5" style="3288" customWidth="1"/>
    <col min="5905" max="5905" width="7.875" style="3288" customWidth="1"/>
    <col min="5906" max="6145" width="9" style="3288"/>
    <col min="6146" max="6146" width="43.875" style="3288" customWidth="1"/>
    <col min="6147" max="6147" width="6.25" style="3288" customWidth="1"/>
    <col min="6148" max="6148" width="11.75" style="3288" customWidth="1"/>
    <col min="6149" max="6150" width="13.875" style="3288" customWidth="1"/>
    <col min="6151" max="6151" width="7.5" style="3288" customWidth="1"/>
    <col min="6152" max="6152" width="7.875" style="3288" customWidth="1"/>
    <col min="6153" max="6153" width="11.25" style="3288" customWidth="1"/>
    <col min="6154" max="6155" width="9" style="3288"/>
    <col min="6156" max="6157" width="10.625" style="3288" customWidth="1"/>
    <col min="6158" max="6158" width="14.375" style="3288" customWidth="1"/>
    <col min="6159" max="6159" width="6.25" style="3288" customWidth="1"/>
    <col min="6160" max="6160" width="24.5" style="3288" customWidth="1"/>
    <col min="6161" max="6161" width="7.875" style="3288" customWidth="1"/>
    <col min="6162" max="6401" width="9" style="3288"/>
    <col min="6402" max="6402" width="43.875" style="3288" customWidth="1"/>
    <col min="6403" max="6403" width="6.25" style="3288" customWidth="1"/>
    <col min="6404" max="6404" width="11.75" style="3288" customWidth="1"/>
    <col min="6405" max="6406" width="13.875" style="3288" customWidth="1"/>
    <col min="6407" max="6407" width="7.5" style="3288" customWidth="1"/>
    <col min="6408" max="6408" width="7.875" style="3288" customWidth="1"/>
    <col min="6409" max="6409" width="11.25" style="3288" customWidth="1"/>
    <col min="6410" max="6411" width="9" style="3288"/>
    <col min="6412" max="6413" width="10.625" style="3288" customWidth="1"/>
    <col min="6414" max="6414" width="14.375" style="3288" customWidth="1"/>
    <col min="6415" max="6415" width="6.25" style="3288" customWidth="1"/>
    <col min="6416" max="6416" width="24.5" style="3288" customWidth="1"/>
    <col min="6417" max="6417" width="7.875" style="3288" customWidth="1"/>
    <col min="6418" max="6657" width="9" style="3288"/>
    <col min="6658" max="6658" width="43.875" style="3288" customWidth="1"/>
    <col min="6659" max="6659" width="6.25" style="3288" customWidth="1"/>
    <col min="6660" max="6660" width="11.75" style="3288" customWidth="1"/>
    <col min="6661" max="6662" width="13.875" style="3288" customWidth="1"/>
    <col min="6663" max="6663" width="7.5" style="3288" customWidth="1"/>
    <col min="6664" max="6664" width="7.875" style="3288" customWidth="1"/>
    <col min="6665" max="6665" width="11.25" style="3288" customWidth="1"/>
    <col min="6666" max="6667" width="9" style="3288"/>
    <col min="6668" max="6669" width="10.625" style="3288" customWidth="1"/>
    <col min="6670" max="6670" width="14.375" style="3288" customWidth="1"/>
    <col min="6671" max="6671" width="6.25" style="3288" customWidth="1"/>
    <col min="6672" max="6672" width="24.5" style="3288" customWidth="1"/>
    <col min="6673" max="6673" width="7.875" style="3288" customWidth="1"/>
    <col min="6674" max="6913" width="9" style="3288"/>
    <col min="6914" max="6914" width="43.875" style="3288" customWidth="1"/>
    <col min="6915" max="6915" width="6.25" style="3288" customWidth="1"/>
    <col min="6916" max="6916" width="11.75" style="3288" customWidth="1"/>
    <col min="6917" max="6918" width="13.875" style="3288" customWidth="1"/>
    <col min="6919" max="6919" width="7.5" style="3288" customWidth="1"/>
    <col min="6920" max="6920" width="7.875" style="3288" customWidth="1"/>
    <col min="6921" max="6921" width="11.25" style="3288" customWidth="1"/>
    <col min="6922" max="6923" width="9" style="3288"/>
    <col min="6924" max="6925" width="10.625" style="3288" customWidth="1"/>
    <col min="6926" max="6926" width="14.375" style="3288" customWidth="1"/>
    <col min="6927" max="6927" width="6.25" style="3288" customWidth="1"/>
    <col min="6928" max="6928" width="24.5" style="3288" customWidth="1"/>
    <col min="6929" max="6929" width="7.875" style="3288" customWidth="1"/>
    <col min="6930" max="7169" width="9" style="3288"/>
    <col min="7170" max="7170" width="43.875" style="3288" customWidth="1"/>
    <col min="7171" max="7171" width="6.25" style="3288" customWidth="1"/>
    <col min="7172" max="7172" width="11.75" style="3288" customWidth="1"/>
    <col min="7173" max="7174" width="13.875" style="3288" customWidth="1"/>
    <col min="7175" max="7175" width="7.5" style="3288" customWidth="1"/>
    <col min="7176" max="7176" width="7.875" style="3288" customWidth="1"/>
    <col min="7177" max="7177" width="11.25" style="3288" customWidth="1"/>
    <col min="7178" max="7179" width="9" style="3288"/>
    <col min="7180" max="7181" width="10.625" style="3288" customWidth="1"/>
    <col min="7182" max="7182" width="14.375" style="3288" customWidth="1"/>
    <col min="7183" max="7183" width="6.25" style="3288" customWidth="1"/>
    <col min="7184" max="7184" width="24.5" style="3288" customWidth="1"/>
    <col min="7185" max="7185" width="7.875" style="3288" customWidth="1"/>
    <col min="7186" max="7425" width="9" style="3288"/>
    <col min="7426" max="7426" width="43.875" style="3288" customWidth="1"/>
    <col min="7427" max="7427" width="6.25" style="3288" customWidth="1"/>
    <col min="7428" max="7428" width="11.75" style="3288" customWidth="1"/>
    <col min="7429" max="7430" width="13.875" style="3288" customWidth="1"/>
    <col min="7431" max="7431" width="7.5" style="3288" customWidth="1"/>
    <col min="7432" max="7432" width="7.875" style="3288" customWidth="1"/>
    <col min="7433" max="7433" width="11.25" style="3288" customWidth="1"/>
    <col min="7434" max="7435" width="9" style="3288"/>
    <col min="7436" max="7437" width="10.625" style="3288" customWidth="1"/>
    <col min="7438" max="7438" width="14.375" style="3288" customWidth="1"/>
    <col min="7439" max="7439" width="6.25" style="3288" customWidth="1"/>
    <col min="7440" max="7440" width="24.5" style="3288" customWidth="1"/>
    <col min="7441" max="7441" width="7.875" style="3288" customWidth="1"/>
    <col min="7442" max="7681" width="9" style="3288"/>
    <col min="7682" max="7682" width="43.875" style="3288" customWidth="1"/>
    <col min="7683" max="7683" width="6.25" style="3288" customWidth="1"/>
    <col min="7684" max="7684" width="11.75" style="3288" customWidth="1"/>
    <col min="7685" max="7686" width="13.875" style="3288" customWidth="1"/>
    <col min="7687" max="7687" width="7.5" style="3288" customWidth="1"/>
    <col min="7688" max="7688" width="7.875" style="3288" customWidth="1"/>
    <col min="7689" max="7689" width="11.25" style="3288" customWidth="1"/>
    <col min="7690" max="7691" width="9" style="3288"/>
    <col min="7692" max="7693" width="10.625" style="3288" customWidth="1"/>
    <col min="7694" max="7694" width="14.375" style="3288" customWidth="1"/>
    <col min="7695" max="7695" width="6.25" style="3288" customWidth="1"/>
    <col min="7696" max="7696" width="24.5" style="3288" customWidth="1"/>
    <col min="7697" max="7697" width="7.875" style="3288" customWidth="1"/>
    <col min="7698" max="7937" width="9" style="3288"/>
    <col min="7938" max="7938" width="43.875" style="3288" customWidth="1"/>
    <col min="7939" max="7939" width="6.25" style="3288" customWidth="1"/>
    <col min="7940" max="7940" width="11.75" style="3288" customWidth="1"/>
    <col min="7941" max="7942" width="13.875" style="3288" customWidth="1"/>
    <col min="7943" max="7943" width="7.5" style="3288" customWidth="1"/>
    <col min="7944" max="7944" width="7.875" style="3288" customWidth="1"/>
    <col min="7945" max="7945" width="11.25" style="3288" customWidth="1"/>
    <col min="7946" max="7947" width="9" style="3288"/>
    <col min="7948" max="7949" width="10.625" style="3288" customWidth="1"/>
    <col min="7950" max="7950" width="14.375" style="3288" customWidth="1"/>
    <col min="7951" max="7951" width="6.25" style="3288" customWidth="1"/>
    <col min="7952" max="7952" width="24.5" style="3288" customWidth="1"/>
    <col min="7953" max="7953" width="7.875" style="3288" customWidth="1"/>
    <col min="7954" max="8193" width="9" style="3288"/>
    <col min="8194" max="8194" width="43.875" style="3288" customWidth="1"/>
    <col min="8195" max="8195" width="6.25" style="3288" customWidth="1"/>
    <col min="8196" max="8196" width="11.75" style="3288" customWidth="1"/>
    <col min="8197" max="8198" width="13.875" style="3288" customWidth="1"/>
    <col min="8199" max="8199" width="7.5" style="3288" customWidth="1"/>
    <col min="8200" max="8200" width="7.875" style="3288" customWidth="1"/>
    <col min="8201" max="8201" width="11.25" style="3288" customWidth="1"/>
    <col min="8202" max="8203" width="9" style="3288"/>
    <col min="8204" max="8205" width="10.625" style="3288" customWidth="1"/>
    <col min="8206" max="8206" width="14.375" style="3288" customWidth="1"/>
    <col min="8207" max="8207" width="6.25" style="3288" customWidth="1"/>
    <col min="8208" max="8208" width="24.5" style="3288" customWidth="1"/>
    <col min="8209" max="8209" width="7.875" style="3288" customWidth="1"/>
    <col min="8210" max="8449" width="9" style="3288"/>
    <col min="8450" max="8450" width="43.875" style="3288" customWidth="1"/>
    <col min="8451" max="8451" width="6.25" style="3288" customWidth="1"/>
    <col min="8452" max="8452" width="11.75" style="3288" customWidth="1"/>
    <col min="8453" max="8454" width="13.875" style="3288" customWidth="1"/>
    <col min="8455" max="8455" width="7.5" style="3288" customWidth="1"/>
    <col min="8456" max="8456" width="7.875" style="3288" customWidth="1"/>
    <col min="8457" max="8457" width="11.25" style="3288" customWidth="1"/>
    <col min="8458" max="8459" width="9" style="3288"/>
    <col min="8460" max="8461" width="10.625" style="3288" customWidth="1"/>
    <col min="8462" max="8462" width="14.375" style="3288" customWidth="1"/>
    <col min="8463" max="8463" width="6.25" style="3288" customWidth="1"/>
    <col min="8464" max="8464" width="24.5" style="3288" customWidth="1"/>
    <col min="8465" max="8465" width="7.875" style="3288" customWidth="1"/>
    <col min="8466" max="8705" width="9" style="3288"/>
    <col min="8706" max="8706" width="43.875" style="3288" customWidth="1"/>
    <col min="8707" max="8707" width="6.25" style="3288" customWidth="1"/>
    <col min="8708" max="8708" width="11.75" style="3288" customWidth="1"/>
    <col min="8709" max="8710" width="13.875" style="3288" customWidth="1"/>
    <col min="8711" max="8711" width="7.5" style="3288" customWidth="1"/>
    <col min="8712" max="8712" width="7.875" style="3288" customWidth="1"/>
    <col min="8713" max="8713" width="11.25" style="3288" customWidth="1"/>
    <col min="8714" max="8715" width="9" style="3288"/>
    <col min="8716" max="8717" width="10.625" style="3288" customWidth="1"/>
    <col min="8718" max="8718" width="14.375" style="3288" customWidth="1"/>
    <col min="8719" max="8719" width="6.25" style="3288" customWidth="1"/>
    <col min="8720" max="8720" width="24.5" style="3288" customWidth="1"/>
    <col min="8721" max="8721" width="7.875" style="3288" customWidth="1"/>
    <col min="8722" max="8961" width="9" style="3288"/>
    <col min="8962" max="8962" width="43.875" style="3288" customWidth="1"/>
    <col min="8963" max="8963" width="6.25" style="3288" customWidth="1"/>
    <col min="8964" max="8964" width="11.75" style="3288" customWidth="1"/>
    <col min="8965" max="8966" width="13.875" style="3288" customWidth="1"/>
    <col min="8967" max="8967" width="7.5" style="3288" customWidth="1"/>
    <col min="8968" max="8968" width="7.875" style="3288" customWidth="1"/>
    <col min="8969" max="8969" width="11.25" style="3288" customWidth="1"/>
    <col min="8970" max="8971" width="9" style="3288"/>
    <col min="8972" max="8973" width="10.625" style="3288" customWidth="1"/>
    <col min="8974" max="8974" width="14.375" style="3288" customWidth="1"/>
    <col min="8975" max="8975" width="6.25" style="3288" customWidth="1"/>
    <col min="8976" max="8976" width="24.5" style="3288" customWidth="1"/>
    <col min="8977" max="8977" width="7.875" style="3288" customWidth="1"/>
    <col min="8978" max="9217" width="9" style="3288"/>
    <col min="9218" max="9218" width="43.875" style="3288" customWidth="1"/>
    <col min="9219" max="9219" width="6.25" style="3288" customWidth="1"/>
    <col min="9220" max="9220" width="11.75" style="3288" customWidth="1"/>
    <col min="9221" max="9222" width="13.875" style="3288" customWidth="1"/>
    <col min="9223" max="9223" width="7.5" style="3288" customWidth="1"/>
    <col min="9224" max="9224" width="7.875" style="3288" customWidth="1"/>
    <col min="9225" max="9225" width="11.25" style="3288" customWidth="1"/>
    <col min="9226" max="9227" width="9" style="3288"/>
    <col min="9228" max="9229" width="10.625" style="3288" customWidth="1"/>
    <col min="9230" max="9230" width="14.375" style="3288" customWidth="1"/>
    <col min="9231" max="9231" width="6.25" style="3288" customWidth="1"/>
    <col min="9232" max="9232" width="24.5" style="3288" customWidth="1"/>
    <col min="9233" max="9233" width="7.875" style="3288" customWidth="1"/>
    <col min="9234" max="9473" width="9" style="3288"/>
    <col min="9474" max="9474" width="43.875" style="3288" customWidth="1"/>
    <col min="9475" max="9475" width="6.25" style="3288" customWidth="1"/>
    <col min="9476" max="9476" width="11.75" style="3288" customWidth="1"/>
    <col min="9477" max="9478" width="13.875" style="3288" customWidth="1"/>
    <col min="9479" max="9479" width="7.5" style="3288" customWidth="1"/>
    <col min="9480" max="9480" width="7.875" style="3288" customWidth="1"/>
    <col min="9481" max="9481" width="11.25" style="3288" customWidth="1"/>
    <col min="9482" max="9483" width="9" style="3288"/>
    <col min="9484" max="9485" width="10.625" style="3288" customWidth="1"/>
    <col min="9486" max="9486" width="14.375" style="3288" customWidth="1"/>
    <col min="9487" max="9487" width="6.25" style="3288" customWidth="1"/>
    <col min="9488" max="9488" width="24.5" style="3288" customWidth="1"/>
    <col min="9489" max="9489" width="7.875" style="3288" customWidth="1"/>
    <col min="9490" max="9729" width="9" style="3288"/>
    <col min="9730" max="9730" width="43.875" style="3288" customWidth="1"/>
    <col min="9731" max="9731" width="6.25" style="3288" customWidth="1"/>
    <col min="9732" max="9732" width="11.75" style="3288" customWidth="1"/>
    <col min="9733" max="9734" width="13.875" style="3288" customWidth="1"/>
    <col min="9735" max="9735" width="7.5" style="3288" customWidth="1"/>
    <col min="9736" max="9736" width="7.875" style="3288" customWidth="1"/>
    <col min="9737" max="9737" width="11.25" style="3288" customWidth="1"/>
    <col min="9738" max="9739" width="9" style="3288"/>
    <col min="9740" max="9741" width="10.625" style="3288" customWidth="1"/>
    <col min="9742" max="9742" width="14.375" style="3288" customWidth="1"/>
    <col min="9743" max="9743" width="6.25" style="3288" customWidth="1"/>
    <col min="9744" max="9744" width="24.5" style="3288" customWidth="1"/>
    <col min="9745" max="9745" width="7.875" style="3288" customWidth="1"/>
    <col min="9746" max="9985" width="9" style="3288"/>
    <col min="9986" max="9986" width="43.875" style="3288" customWidth="1"/>
    <col min="9987" max="9987" width="6.25" style="3288" customWidth="1"/>
    <col min="9988" max="9988" width="11.75" style="3288" customWidth="1"/>
    <col min="9989" max="9990" width="13.875" style="3288" customWidth="1"/>
    <col min="9991" max="9991" width="7.5" style="3288" customWidth="1"/>
    <col min="9992" max="9992" width="7.875" style="3288" customWidth="1"/>
    <col min="9993" max="9993" width="11.25" style="3288" customWidth="1"/>
    <col min="9994" max="9995" width="9" style="3288"/>
    <col min="9996" max="9997" width="10.625" style="3288" customWidth="1"/>
    <col min="9998" max="9998" width="14.375" style="3288" customWidth="1"/>
    <col min="9999" max="9999" width="6.25" style="3288" customWidth="1"/>
    <col min="10000" max="10000" width="24.5" style="3288" customWidth="1"/>
    <col min="10001" max="10001" width="7.875" style="3288" customWidth="1"/>
    <col min="10002" max="10241" width="9" style="3288"/>
    <col min="10242" max="10242" width="43.875" style="3288" customWidth="1"/>
    <col min="10243" max="10243" width="6.25" style="3288" customWidth="1"/>
    <col min="10244" max="10244" width="11.75" style="3288" customWidth="1"/>
    <col min="10245" max="10246" width="13.875" style="3288" customWidth="1"/>
    <col min="10247" max="10247" width="7.5" style="3288" customWidth="1"/>
    <col min="10248" max="10248" width="7.875" style="3288" customWidth="1"/>
    <col min="10249" max="10249" width="11.25" style="3288" customWidth="1"/>
    <col min="10250" max="10251" width="9" style="3288"/>
    <col min="10252" max="10253" width="10.625" style="3288" customWidth="1"/>
    <col min="10254" max="10254" width="14.375" style="3288" customWidth="1"/>
    <col min="10255" max="10255" width="6.25" style="3288" customWidth="1"/>
    <col min="10256" max="10256" width="24.5" style="3288" customWidth="1"/>
    <col min="10257" max="10257" width="7.875" style="3288" customWidth="1"/>
    <col min="10258" max="10497" width="9" style="3288"/>
    <col min="10498" max="10498" width="43.875" style="3288" customWidth="1"/>
    <col min="10499" max="10499" width="6.25" style="3288" customWidth="1"/>
    <col min="10500" max="10500" width="11.75" style="3288" customWidth="1"/>
    <col min="10501" max="10502" width="13.875" style="3288" customWidth="1"/>
    <col min="10503" max="10503" width="7.5" style="3288" customWidth="1"/>
    <col min="10504" max="10504" width="7.875" style="3288" customWidth="1"/>
    <col min="10505" max="10505" width="11.25" style="3288" customWidth="1"/>
    <col min="10506" max="10507" width="9" style="3288"/>
    <col min="10508" max="10509" width="10.625" style="3288" customWidth="1"/>
    <col min="10510" max="10510" width="14.375" style="3288" customWidth="1"/>
    <col min="10511" max="10511" width="6.25" style="3288" customWidth="1"/>
    <col min="10512" max="10512" width="24.5" style="3288" customWidth="1"/>
    <col min="10513" max="10513" width="7.875" style="3288" customWidth="1"/>
    <col min="10514" max="10753" width="9" style="3288"/>
    <col min="10754" max="10754" width="43.875" style="3288" customWidth="1"/>
    <col min="10755" max="10755" width="6.25" style="3288" customWidth="1"/>
    <col min="10756" max="10756" width="11.75" style="3288" customWidth="1"/>
    <col min="10757" max="10758" width="13.875" style="3288" customWidth="1"/>
    <col min="10759" max="10759" width="7.5" style="3288" customWidth="1"/>
    <col min="10760" max="10760" width="7.875" style="3288" customWidth="1"/>
    <col min="10761" max="10761" width="11.25" style="3288" customWidth="1"/>
    <col min="10762" max="10763" width="9" style="3288"/>
    <col min="10764" max="10765" width="10.625" style="3288" customWidth="1"/>
    <col min="10766" max="10766" width="14.375" style="3288" customWidth="1"/>
    <col min="10767" max="10767" width="6.25" style="3288" customWidth="1"/>
    <col min="10768" max="10768" width="24.5" style="3288" customWidth="1"/>
    <col min="10769" max="10769" width="7.875" style="3288" customWidth="1"/>
    <col min="10770" max="11009" width="9" style="3288"/>
    <col min="11010" max="11010" width="43.875" style="3288" customWidth="1"/>
    <col min="11011" max="11011" width="6.25" style="3288" customWidth="1"/>
    <col min="11012" max="11012" width="11.75" style="3288" customWidth="1"/>
    <col min="11013" max="11014" width="13.875" style="3288" customWidth="1"/>
    <col min="11015" max="11015" width="7.5" style="3288" customWidth="1"/>
    <col min="11016" max="11016" width="7.875" style="3288" customWidth="1"/>
    <col min="11017" max="11017" width="11.25" style="3288" customWidth="1"/>
    <col min="11018" max="11019" width="9" style="3288"/>
    <col min="11020" max="11021" width="10.625" style="3288" customWidth="1"/>
    <col min="11022" max="11022" width="14.375" style="3288" customWidth="1"/>
    <col min="11023" max="11023" width="6.25" style="3288" customWidth="1"/>
    <col min="11024" max="11024" width="24.5" style="3288" customWidth="1"/>
    <col min="11025" max="11025" width="7.875" style="3288" customWidth="1"/>
    <col min="11026" max="11265" width="9" style="3288"/>
    <col min="11266" max="11266" width="43.875" style="3288" customWidth="1"/>
    <col min="11267" max="11267" width="6.25" style="3288" customWidth="1"/>
    <col min="11268" max="11268" width="11.75" style="3288" customWidth="1"/>
    <col min="11269" max="11270" width="13.875" style="3288" customWidth="1"/>
    <col min="11271" max="11271" width="7.5" style="3288" customWidth="1"/>
    <col min="11272" max="11272" width="7.875" style="3288" customWidth="1"/>
    <col min="11273" max="11273" width="11.25" style="3288" customWidth="1"/>
    <col min="11274" max="11275" width="9" style="3288"/>
    <col min="11276" max="11277" width="10.625" style="3288" customWidth="1"/>
    <col min="11278" max="11278" width="14.375" style="3288" customWidth="1"/>
    <col min="11279" max="11279" width="6.25" style="3288" customWidth="1"/>
    <col min="11280" max="11280" width="24.5" style="3288" customWidth="1"/>
    <col min="11281" max="11281" width="7.875" style="3288" customWidth="1"/>
    <col min="11282" max="11521" width="9" style="3288"/>
    <col min="11522" max="11522" width="43.875" style="3288" customWidth="1"/>
    <col min="11523" max="11523" width="6.25" style="3288" customWidth="1"/>
    <col min="11524" max="11524" width="11.75" style="3288" customWidth="1"/>
    <col min="11525" max="11526" width="13.875" style="3288" customWidth="1"/>
    <col min="11527" max="11527" width="7.5" style="3288" customWidth="1"/>
    <col min="11528" max="11528" width="7.875" style="3288" customWidth="1"/>
    <col min="11529" max="11529" width="11.25" style="3288" customWidth="1"/>
    <col min="11530" max="11531" width="9" style="3288"/>
    <col min="11532" max="11533" width="10.625" style="3288" customWidth="1"/>
    <col min="11534" max="11534" width="14.375" style="3288" customWidth="1"/>
    <col min="11535" max="11535" width="6.25" style="3288" customWidth="1"/>
    <col min="11536" max="11536" width="24.5" style="3288" customWidth="1"/>
    <col min="11537" max="11537" width="7.875" style="3288" customWidth="1"/>
    <col min="11538" max="11777" width="9" style="3288"/>
    <col min="11778" max="11778" width="43.875" style="3288" customWidth="1"/>
    <col min="11779" max="11779" width="6.25" style="3288" customWidth="1"/>
    <col min="11780" max="11780" width="11.75" style="3288" customWidth="1"/>
    <col min="11781" max="11782" width="13.875" style="3288" customWidth="1"/>
    <col min="11783" max="11783" width="7.5" style="3288" customWidth="1"/>
    <col min="11784" max="11784" width="7.875" style="3288" customWidth="1"/>
    <col min="11785" max="11785" width="11.25" style="3288" customWidth="1"/>
    <col min="11786" max="11787" width="9" style="3288"/>
    <col min="11788" max="11789" width="10.625" style="3288" customWidth="1"/>
    <col min="11790" max="11790" width="14.375" style="3288" customWidth="1"/>
    <col min="11791" max="11791" width="6.25" style="3288" customWidth="1"/>
    <col min="11792" max="11792" width="24.5" style="3288" customWidth="1"/>
    <col min="11793" max="11793" width="7.875" style="3288" customWidth="1"/>
    <col min="11794" max="12033" width="9" style="3288"/>
    <col min="12034" max="12034" width="43.875" style="3288" customWidth="1"/>
    <col min="12035" max="12035" width="6.25" style="3288" customWidth="1"/>
    <col min="12036" max="12036" width="11.75" style="3288" customWidth="1"/>
    <col min="12037" max="12038" width="13.875" style="3288" customWidth="1"/>
    <col min="12039" max="12039" width="7.5" style="3288" customWidth="1"/>
    <col min="12040" max="12040" width="7.875" style="3288" customWidth="1"/>
    <col min="12041" max="12041" width="11.25" style="3288" customWidth="1"/>
    <col min="12042" max="12043" width="9" style="3288"/>
    <col min="12044" max="12045" width="10.625" style="3288" customWidth="1"/>
    <col min="12046" max="12046" width="14.375" style="3288" customWidth="1"/>
    <col min="12047" max="12047" width="6.25" style="3288" customWidth="1"/>
    <col min="12048" max="12048" width="24.5" style="3288" customWidth="1"/>
    <col min="12049" max="12049" width="7.875" style="3288" customWidth="1"/>
    <col min="12050" max="12289" width="9" style="3288"/>
    <col min="12290" max="12290" width="43.875" style="3288" customWidth="1"/>
    <col min="12291" max="12291" width="6.25" style="3288" customWidth="1"/>
    <col min="12292" max="12292" width="11.75" style="3288" customWidth="1"/>
    <col min="12293" max="12294" width="13.875" style="3288" customWidth="1"/>
    <col min="12295" max="12295" width="7.5" style="3288" customWidth="1"/>
    <col min="12296" max="12296" width="7.875" style="3288" customWidth="1"/>
    <col min="12297" max="12297" width="11.25" style="3288" customWidth="1"/>
    <col min="12298" max="12299" width="9" style="3288"/>
    <col min="12300" max="12301" width="10.625" style="3288" customWidth="1"/>
    <col min="12302" max="12302" width="14.375" style="3288" customWidth="1"/>
    <col min="12303" max="12303" width="6.25" style="3288" customWidth="1"/>
    <col min="12304" max="12304" width="24.5" style="3288" customWidth="1"/>
    <col min="12305" max="12305" width="7.875" style="3288" customWidth="1"/>
    <col min="12306" max="12545" width="9" style="3288"/>
    <col min="12546" max="12546" width="43.875" style="3288" customWidth="1"/>
    <col min="12547" max="12547" width="6.25" style="3288" customWidth="1"/>
    <col min="12548" max="12548" width="11.75" style="3288" customWidth="1"/>
    <col min="12549" max="12550" width="13.875" style="3288" customWidth="1"/>
    <col min="12551" max="12551" width="7.5" style="3288" customWidth="1"/>
    <col min="12552" max="12552" width="7.875" style="3288" customWidth="1"/>
    <col min="12553" max="12553" width="11.25" style="3288" customWidth="1"/>
    <col min="12554" max="12555" width="9" style="3288"/>
    <col min="12556" max="12557" width="10.625" style="3288" customWidth="1"/>
    <col min="12558" max="12558" width="14.375" style="3288" customWidth="1"/>
    <col min="12559" max="12559" width="6.25" style="3288" customWidth="1"/>
    <col min="12560" max="12560" width="24.5" style="3288" customWidth="1"/>
    <col min="12561" max="12561" width="7.875" style="3288" customWidth="1"/>
    <col min="12562" max="12801" width="9" style="3288"/>
    <col min="12802" max="12802" width="43.875" style="3288" customWidth="1"/>
    <col min="12803" max="12803" width="6.25" style="3288" customWidth="1"/>
    <col min="12804" max="12804" width="11.75" style="3288" customWidth="1"/>
    <col min="12805" max="12806" width="13.875" style="3288" customWidth="1"/>
    <col min="12807" max="12807" width="7.5" style="3288" customWidth="1"/>
    <col min="12808" max="12808" width="7.875" style="3288" customWidth="1"/>
    <col min="12809" max="12809" width="11.25" style="3288" customWidth="1"/>
    <col min="12810" max="12811" width="9" style="3288"/>
    <col min="12812" max="12813" width="10.625" style="3288" customWidth="1"/>
    <col min="12814" max="12814" width="14.375" style="3288" customWidth="1"/>
    <col min="12815" max="12815" width="6.25" style="3288" customWidth="1"/>
    <col min="12816" max="12816" width="24.5" style="3288" customWidth="1"/>
    <col min="12817" max="12817" width="7.875" style="3288" customWidth="1"/>
    <col min="12818" max="13057" width="9" style="3288"/>
    <col min="13058" max="13058" width="43.875" style="3288" customWidth="1"/>
    <col min="13059" max="13059" width="6.25" style="3288" customWidth="1"/>
    <col min="13060" max="13060" width="11.75" style="3288" customWidth="1"/>
    <col min="13061" max="13062" width="13.875" style="3288" customWidth="1"/>
    <col min="13063" max="13063" width="7.5" style="3288" customWidth="1"/>
    <col min="13064" max="13064" width="7.875" style="3288" customWidth="1"/>
    <col min="13065" max="13065" width="11.25" style="3288" customWidth="1"/>
    <col min="13066" max="13067" width="9" style="3288"/>
    <col min="13068" max="13069" width="10.625" style="3288" customWidth="1"/>
    <col min="13070" max="13070" width="14.375" style="3288" customWidth="1"/>
    <col min="13071" max="13071" width="6.25" style="3288" customWidth="1"/>
    <col min="13072" max="13072" width="24.5" style="3288" customWidth="1"/>
    <col min="13073" max="13073" width="7.875" style="3288" customWidth="1"/>
    <col min="13074" max="13313" width="9" style="3288"/>
    <col min="13314" max="13314" width="43.875" style="3288" customWidth="1"/>
    <col min="13315" max="13315" width="6.25" style="3288" customWidth="1"/>
    <col min="13316" max="13316" width="11.75" style="3288" customWidth="1"/>
    <col min="13317" max="13318" width="13.875" style="3288" customWidth="1"/>
    <col min="13319" max="13319" width="7.5" style="3288" customWidth="1"/>
    <col min="13320" max="13320" width="7.875" style="3288" customWidth="1"/>
    <col min="13321" max="13321" width="11.25" style="3288" customWidth="1"/>
    <col min="13322" max="13323" width="9" style="3288"/>
    <col min="13324" max="13325" width="10.625" style="3288" customWidth="1"/>
    <col min="13326" max="13326" width="14.375" style="3288" customWidth="1"/>
    <col min="13327" max="13327" width="6.25" style="3288" customWidth="1"/>
    <col min="13328" max="13328" width="24.5" style="3288" customWidth="1"/>
    <col min="13329" max="13329" width="7.875" style="3288" customWidth="1"/>
    <col min="13330" max="13569" width="9" style="3288"/>
    <col min="13570" max="13570" width="43.875" style="3288" customWidth="1"/>
    <col min="13571" max="13571" width="6.25" style="3288" customWidth="1"/>
    <col min="13572" max="13572" width="11.75" style="3288" customWidth="1"/>
    <col min="13573" max="13574" width="13.875" style="3288" customWidth="1"/>
    <col min="13575" max="13575" width="7.5" style="3288" customWidth="1"/>
    <col min="13576" max="13576" width="7.875" style="3288" customWidth="1"/>
    <col min="13577" max="13577" width="11.25" style="3288" customWidth="1"/>
    <col min="13578" max="13579" width="9" style="3288"/>
    <col min="13580" max="13581" width="10.625" style="3288" customWidth="1"/>
    <col min="13582" max="13582" width="14.375" style="3288" customWidth="1"/>
    <col min="13583" max="13583" width="6.25" style="3288" customWidth="1"/>
    <col min="13584" max="13584" width="24.5" style="3288" customWidth="1"/>
    <col min="13585" max="13585" width="7.875" style="3288" customWidth="1"/>
    <col min="13586" max="13825" width="9" style="3288"/>
    <col min="13826" max="13826" width="43.875" style="3288" customWidth="1"/>
    <col min="13827" max="13827" width="6.25" style="3288" customWidth="1"/>
    <col min="13828" max="13828" width="11.75" style="3288" customWidth="1"/>
    <col min="13829" max="13830" width="13.875" style="3288" customWidth="1"/>
    <col min="13831" max="13831" width="7.5" style="3288" customWidth="1"/>
    <col min="13832" max="13832" width="7.875" style="3288" customWidth="1"/>
    <col min="13833" max="13833" width="11.25" style="3288" customWidth="1"/>
    <col min="13834" max="13835" width="9" style="3288"/>
    <col min="13836" max="13837" width="10.625" style="3288" customWidth="1"/>
    <col min="13838" max="13838" width="14.375" style="3288" customWidth="1"/>
    <col min="13839" max="13839" width="6.25" style="3288" customWidth="1"/>
    <col min="13840" max="13840" width="24.5" style="3288" customWidth="1"/>
    <col min="13841" max="13841" width="7.875" style="3288" customWidth="1"/>
    <col min="13842" max="14081" width="9" style="3288"/>
    <col min="14082" max="14082" width="43.875" style="3288" customWidth="1"/>
    <col min="14083" max="14083" width="6.25" style="3288" customWidth="1"/>
    <col min="14084" max="14084" width="11.75" style="3288" customWidth="1"/>
    <col min="14085" max="14086" width="13.875" style="3288" customWidth="1"/>
    <col min="14087" max="14087" width="7.5" style="3288" customWidth="1"/>
    <col min="14088" max="14088" width="7.875" style="3288" customWidth="1"/>
    <col min="14089" max="14089" width="11.25" style="3288" customWidth="1"/>
    <col min="14090" max="14091" width="9" style="3288"/>
    <col min="14092" max="14093" width="10.625" style="3288" customWidth="1"/>
    <col min="14094" max="14094" width="14.375" style="3288" customWidth="1"/>
    <col min="14095" max="14095" width="6.25" style="3288" customWidth="1"/>
    <col min="14096" max="14096" width="24.5" style="3288" customWidth="1"/>
    <col min="14097" max="14097" width="7.875" style="3288" customWidth="1"/>
    <col min="14098" max="14337" width="9" style="3288"/>
    <col min="14338" max="14338" width="43.875" style="3288" customWidth="1"/>
    <col min="14339" max="14339" width="6.25" style="3288" customWidth="1"/>
    <col min="14340" max="14340" width="11.75" style="3288" customWidth="1"/>
    <col min="14341" max="14342" width="13.875" style="3288" customWidth="1"/>
    <col min="14343" max="14343" width="7.5" style="3288" customWidth="1"/>
    <col min="14344" max="14344" width="7.875" style="3288" customWidth="1"/>
    <col min="14345" max="14345" width="11.25" style="3288" customWidth="1"/>
    <col min="14346" max="14347" width="9" style="3288"/>
    <col min="14348" max="14349" width="10.625" style="3288" customWidth="1"/>
    <col min="14350" max="14350" width="14.375" style="3288" customWidth="1"/>
    <col min="14351" max="14351" width="6.25" style="3288" customWidth="1"/>
    <col min="14352" max="14352" width="24.5" style="3288" customWidth="1"/>
    <col min="14353" max="14353" width="7.875" style="3288" customWidth="1"/>
    <col min="14354" max="14593" width="9" style="3288"/>
    <col min="14594" max="14594" width="43.875" style="3288" customWidth="1"/>
    <col min="14595" max="14595" width="6.25" style="3288" customWidth="1"/>
    <col min="14596" max="14596" width="11.75" style="3288" customWidth="1"/>
    <col min="14597" max="14598" width="13.875" style="3288" customWidth="1"/>
    <col min="14599" max="14599" width="7.5" style="3288" customWidth="1"/>
    <col min="14600" max="14600" width="7.875" style="3288" customWidth="1"/>
    <col min="14601" max="14601" width="11.25" style="3288" customWidth="1"/>
    <col min="14602" max="14603" width="9" style="3288"/>
    <col min="14604" max="14605" width="10.625" style="3288" customWidth="1"/>
    <col min="14606" max="14606" width="14.375" style="3288" customWidth="1"/>
    <col min="14607" max="14607" width="6.25" style="3288" customWidth="1"/>
    <col min="14608" max="14608" width="24.5" style="3288" customWidth="1"/>
    <col min="14609" max="14609" width="7.875" style="3288" customWidth="1"/>
    <col min="14610" max="14849" width="9" style="3288"/>
    <col min="14850" max="14850" width="43.875" style="3288" customWidth="1"/>
    <col min="14851" max="14851" width="6.25" style="3288" customWidth="1"/>
    <col min="14852" max="14852" width="11.75" style="3288" customWidth="1"/>
    <col min="14853" max="14854" width="13.875" style="3288" customWidth="1"/>
    <col min="14855" max="14855" width="7.5" style="3288" customWidth="1"/>
    <col min="14856" max="14856" width="7.875" style="3288" customWidth="1"/>
    <col min="14857" max="14857" width="11.25" style="3288" customWidth="1"/>
    <col min="14858" max="14859" width="9" style="3288"/>
    <col min="14860" max="14861" width="10.625" style="3288" customWidth="1"/>
    <col min="14862" max="14862" width="14.375" style="3288" customWidth="1"/>
    <col min="14863" max="14863" width="6.25" style="3288" customWidth="1"/>
    <col min="14864" max="14864" width="24.5" style="3288" customWidth="1"/>
    <col min="14865" max="14865" width="7.875" style="3288" customWidth="1"/>
    <col min="14866" max="15105" width="9" style="3288"/>
    <col min="15106" max="15106" width="43.875" style="3288" customWidth="1"/>
    <col min="15107" max="15107" width="6.25" style="3288" customWidth="1"/>
    <col min="15108" max="15108" width="11.75" style="3288" customWidth="1"/>
    <col min="15109" max="15110" width="13.875" style="3288" customWidth="1"/>
    <col min="15111" max="15111" width="7.5" style="3288" customWidth="1"/>
    <col min="15112" max="15112" width="7.875" style="3288" customWidth="1"/>
    <col min="15113" max="15113" width="11.25" style="3288" customWidth="1"/>
    <col min="15114" max="15115" width="9" style="3288"/>
    <col min="15116" max="15117" width="10.625" style="3288" customWidth="1"/>
    <col min="15118" max="15118" width="14.375" style="3288" customWidth="1"/>
    <col min="15119" max="15119" width="6.25" style="3288" customWidth="1"/>
    <col min="15120" max="15120" width="24.5" style="3288" customWidth="1"/>
    <col min="15121" max="15121" width="7.875" style="3288" customWidth="1"/>
    <col min="15122" max="15361" width="9" style="3288"/>
    <col min="15362" max="15362" width="43.875" style="3288" customWidth="1"/>
    <col min="15363" max="15363" width="6.25" style="3288" customWidth="1"/>
    <col min="15364" max="15364" width="11.75" style="3288" customWidth="1"/>
    <col min="15365" max="15366" width="13.875" style="3288" customWidth="1"/>
    <col min="15367" max="15367" width="7.5" style="3288" customWidth="1"/>
    <col min="15368" max="15368" width="7.875" style="3288" customWidth="1"/>
    <col min="15369" max="15369" width="11.25" style="3288" customWidth="1"/>
    <col min="15370" max="15371" width="9" style="3288"/>
    <col min="15372" max="15373" width="10.625" style="3288" customWidth="1"/>
    <col min="15374" max="15374" width="14.375" style="3288" customWidth="1"/>
    <col min="15375" max="15375" width="6.25" style="3288" customWidth="1"/>
    <col min="15376" max="15376" width="24.5" style="3288" customWidth="1"/>
    <col min="15377" max="15377" width="7.875" style="3288" customWidth="1"/>
    <col min="15378" max="15617" width="9" style="3288"/>
    <col min="15618" max="15618" width="43.875" style="3288" customWidth="1"/>
    <col min="15619" max="15619" width="6.25" style="3288" customWidth="1"/>
    <col min="15620" max="15620" width="11.75" style="3288" customWidth="1"/>
    <col min="15621" max="15622" width="13.875" style="3288" customWidth="1"/>
    <col min="15623" max="15623" width="7.5" style="3288" customWidth="1"/>
    <col min="15624" max="15624" width="7.875" style="3288" customWidth="1"/>
    <col min="15625" max="15625" width="11.25" style="3288" customWidth="1"/>
    <col min="15626" max="15627" width="9" style="3288"/>
    <col min="15628" max="15629" width="10.625" style="3288" customWidth="1"/>
    <col min="15630" max="15630" width="14.375" style="3288" customWidth="1"/>
    <col min="15631" max="15631" width="6.25" style="3288" customWidth="1"/>
    <col min="15632" max="15632" width="24.5" style="3288" customWidth="1"/>
    <col min="15633" max="15633" width="7.875" style="3288" customWidth="1"/>
    <col min="15634" max="15873" width="9" style="3288"/>
    <col min="15874" max="15874" width="43.875" style="3288" customWidth="1"/>
    <col min="15875" max="15875" width="6.25" style="3288" customWidth="1"/>
    <col min="15876" max="15876" width="11.75" style="3288" customWidth="1"/>
    <col min="15877" max="15878" width="13.875" style="3288" customWidth="1"/>
    <col min="15879" max="15879" width="7.5" style="3288" customWidth="1"/>
    <col min="15880" max="15880" width="7.875" style="3288" customWidth="1"/>
    <col min="15881" max="15881" width="11.25" style="3288" customWidth="1"/>
    <col min="15882" max="15883" width="9" style="3288"/>
    <col min="15884" max="15885" width="10.625" style="3288" customWidth="1"/>
    <col min="15886" max="15886" width="14.375" style="3288" customWidth="1"/>
    <col min="15887" max="15887" width="6.25" style="3288" customWidth="1"/>
    <col min="15888" max="15888" width="24.5" style="3288" customWidth="1"/>
    <col min="15889" max="15889" width="7.875" style="3288" customWidth="1"/>
    <col min="15890" max="16129" width="9" style="3288"/>
    <col min="16130" max="16130" width="43.875" style="3288" customWidth="1"/>
    <col min="16131" max="16131" width="6.25" style="3288" customWidth="1"/>
    <col min="16132" max="16132" width="11.75" style="3288" customWidth="1"/>
    <col min="16133" max="16134" width="13.875" style="3288" customWidth="1"/>
    <col min="16135" max="16135" width="7.5" style="3288" customWidth="1"/>
    <col min="16136" max="16136" width="7.875" style="3288" customWidth="1"/>
    <col min="16137" max="16137" width="11.25" style="3288" customWidth="1"/>
    <col min="16138" max="16139" width="9" style="3288"/>
    <col min="16140" max="16141" width="10.625" style="3288" customWidth="1"/>
    <col min="16142" max="16142" width="14.375" style="3288" customWidth="1"/>
    <col min="16143" max="16143" width="6.25" style="3288" customWidth="1"/>
    <col min="16144" max="16144" width="24.5" style="3288" customWidth="1"/>
    <col min="16145" max="16145" width="7.875" style="3288" customWidth="1"/>
    <col min="16146" max="16384" width="9" style="3288"/>
  </cols>
  <sheetData>
    <row r="1" spans="1:19" ht="24">
      <c r="A1" s="3288" t="s">
        <v>3017</v>
      </c>
      <c r="B1" s="3288" t="s">
        <v>3018</v>
      </c>
      <c r="C1" s="3288" t="s">
        <v>3019</v>
      </c>
      <c r="D1" s="3288" t="s">
        <v>3020</v>
      </c>
      <c r="E1" s="3288" t="s">
        <v>3021</v>
      </c>
      <c r="F1" s="3288" t="s">
        <v>2020</v>
      </c>
      <c r="H1" s="3288" t="s">
        <v>3022</v>
      </c>
      <c r="I1" s="3288" t="s">
        <v>3023</v>
      </c>
      <c r="J1" s="3288" t="s">
        <v>3024</v>
      </c>
      <c r="K1" s="3288" t="s">
        <v>3025</v>
      </c>
      <c r="L1" s="3288" t="s">
        <v>3026</v>
      </c>
      <c r="M1" s="3288" t="s">
        <v>3027</v>
      </c>
      <c r="N1" s="3288" t="s">
        <v>3089</v>
      </c>
      <c r="O1" s="3288" t="s">
        <v>3028</v>
      </c>
      <c r="P1" s="3288" t="s">
        <v>3029</v>
      </c>
      <c r="Q1" s="3288" t="s">
        <v>3030</v>
      </c>
    </row>
    <row r="2" spans="1:19" ht="24">
      <c r="A2" s="3288" t="s">
        <v>3090</v>
      </c>
      <c r="B2" s="3288" t="s">
        <v>3031</v>
      </c>
      <c r="C2" s="3288" t="s">
        <v>3091</v>
      </c>
      <c r="D2" s="3288">
        <v>8000</v>
      </c>
      <c r="E2" s="3288">
        <v>15520</v>
      </c>
      <c r="F2" s="3288" t="s">
        <v>3092</v>
      </c>
      <c r="G2" s="3288">
        <f>E2/D2</f>
        <v>1.94</v>
      </c>
      <c r="H2" s="3288" t="s">
        <v>3034</v>
      </c>
      <c r="I2" s="3288" t="s">
        <v>3093</v>
      </c>
      <c r="J2" s="3288" t="s">
        <v>3035</v>
      </c>
      <c r="K2" s="3288" t="s">
        <v>3035</v>
      </c>
      <c r="L2" s="3288">
        <v>1900</v>
      </c>
      <c r="M2" s="3288">
        <v>1900</v>
      </c>
      <c r="N2" s="3288">
        <v>1224</v>
      </c>
      <c r="O2" s="3288">
        <v>0</v>
      </c>
      <c r="P2" s="3288" t="s">
        <v>3094</v>
      </c>
      <c r="Q2" s="3288" t="s">
        <v>3033</v>
      </c>
    </row>
    <row r="3" spans="1:19" s="3289" customFormat="1" ht="24">
      <c r="A3" s="3289" t="s">
        <v>3095</v>
      </c>
      <c r="B3" s="3289" t="s">
        <v>3031</v>
      </c>
      <c r="C3" s="3289" t="s">
        <v>3091</v>
      </c>
      <c r="D3" s="3289">
        <v>74233.100000000006</v>
      </c>
      <c r="E3" s="3289">
        <v>89079.72</v>
      </c>
      <c r="F3" s="3289" t="s">
        <v>3096</v>
      </c>
      <c r="G3" s="3289">
        <f t="shared" ref="G3:G7" si="0">E3/D3</f>
        <v>1.2</v>
      </c>
      <c r="H3" s="3289" t="s">
        <v>3032</v>
      </c>
      <c r="I3" s="3289" t="s">
        <v>3086</v>
      </c>
      <c r="J3" s="3289" t="s">
        <v>3037</v>
      </c>
      <c r="K3" s="3289" t="s">
        <v>3037</v>
      </c>
      <c r="L3" s="3289">
        <v>9500</v>
      </c>
      <c r="M3" s="3289">
        <v>9500</v>
      </c>
      <c r="N3" s="3289">
        <v>1066.46</v>
      </c>
      <c r="O3" s="3289">
        <v>0</v>
      </c>
      <c r="P3" s="3289" t="s">
        <v>3001</v>
      </c>
      <c r="Q3" s="3289" t="s">
        <v>3036</v>
      </c>
    </row>
    <row r="4" spans="1:19" ht="24">
      <c r="A4" s="3288" t="s">
        <v>3097</v>
      </c>
      <c r="B4" s="3288" t="s">
        <v>3031</v>
      </c>
      <c r="C4" s="3288" t="s">
        <v>3091</v>
      </c>
      <c r="D4" s="3288">
        <v>116893.6</v>
      </c>
      <c r="E4" s="3288">
        <v>163651.1</v>
      </c>
      <c r="F4" s="3288" t="s">
        <v>3098</v>
      </c>
      <c r="G4" s="3288">
        <v>1.4</v>
      </c>
      <c r="H4" s="3288" t="s">
        <v>3034</v>
      </c>
      <c r="I4" s="3288" t="s">
        <v>3086</v>
      </c>
      <c r="J4" s="3288" t="s">
        <v>3099</v>
      </c>
      <c r="K4" s="3288" t="s">
        <v>3099</v>
      </c>
      <c r="L4" s="3288" t="s">
        <v>2797</v>
      </c>
      <c r="M4" s="3288">
        <v>28238</v>
      </c>
      <c r="N4" s="3288">
        <v>1726</v>
      </c>
      <c r="O4" s="3288" t="s">
        <v>2797</v>
      </c>
      <c r="P4" s="3288" t="s">
        <v>3100</v>
      </c>
      <c r="Q4" s="3288" t="s">
        <v>3036</v>
      </c>
    </row>
    <row r="5" spans="1:19" ht="24">
      <c r="A5" s="3288" t="s">
        <v>3101</v>
      </c>
      <c r="B5" s="3288" t="s">
        <v>3031</v>
      </c>
      <c r="C5" s="3288" t="s">
        <v>3091</v>
      </c>
      <c r="D5" s="3288">
        <v>23104.69</v>
      </c>
      <c r="E5" s="3288">
        <v>34657.03</v>
      </c>
      <c r="F5" s="3288" t="s">
        <v>3102</v>
      </c>
      <c r="G5" s="3288">
        <v>1.5</v>
      </c>
      <c r="H5" s="3288" t="s">
        <v>3032</v>
      </c>
      <c r="I5" s="3288" t="s">
        <v>3103</v>
      </c>
      <c r="J5" s="3288" t="s">
        <v>3104</v>
      </c>
      <c r="K5" s="3288" t="s">
        <v>3104</v>
      </c>
      <c r="L5" s="3288">
        <v>5510</v>
      </c>
      <c r="M5" s="3288">
        <v>5510</v>
      </c>
      <c r="N5" s="3288">
        <v>1590</v>
      </c>
      <c r="O5" s="3288">
        <v>0</v>
      </c>
      <c r="P5" s="3288" t="s">
        <v>3105</v>
      </c>
      <c r="Q5" s="3288" t="s">
        <v>3036</v>
      </c>
      <c r="R5" s="3288">
        <f>(M5+M6+M7)/(E5+E6+E7)*10000</f>
        <v>969.59344196264226</v>
      </c>
      <c r="S5" s="3288">
        <f>(E5+E6+E7)/(D5+D6+D7)</f>
        <v>3.0531108964376195</v>
      </c>
    </row>
    <row r="6" spans="1:19" ht="24">
      <c r="A6" s="3288" t="s">
        <v>3101</v>
      </c>
      <c r="B6" s="3288" t="s">
        <v>3031</v>
      </c>
      <c r="C6" s="3288" t="s">
        <v>3091</v>
      </c>
      <c r="D6" s="3288">
        <v>44541.81</v>
      </c>
      <c r="E6" s="3288">
        <v>155896.29999999999</v>
      </c>
      <c r="F6" s="3288" t="s">
        <v>3106</v>
      </c>
      <c r="G6" s="3288">
        <f t="shared" si="0"/>
        <v>3.4999992142214249</v>
      </c>
      <c r="H6" s="3288" t="s">
        <v>3032</v>
      </c>
      <c r="I6" s="3288" t="s">
        <v>3103</v>
      </c>
      <c r="J6" s="3288" t="s">
        <v>3104</v>
      </c>
      <c r="K6" s="3288" t="s">
        <v>3104</v>
      </c>
      <c r="L6" s="3288">
        <v>13960</v>
      </c>
      <c r="M6" s="3288">
        <v>13960</v>
      </c>
      <c r="N6" s="3288">
        <v>895.47</v>
      </c>
      <c r="O6" s="3288">
        <v>0</v>
      </c>
      <c r="P6" s="3288" t="s">
        <v>3105</v>
      </c>
      <c r="Q6" s="3288" t="s">
        <v>3036</v>
      </c>
    </row>
    <row r="7" spans="1:19" ht="24">
      <c r="A7" s="3288" t="s">
        <v>3101</v>
      </c>
      <c r="B7" s="3288" t="s">
        <v>3031</v>
      </c>
      <c r="C7" s="3288" t="s">
        <v>3091</v>
      </c>
      <c r="D7" s="3288">
        <v>35756.01</v>
      </c>
      <c r="E7" s="3288">
        <v>125146</v>
      </c>
      <c r="F7" s="3288" t="s">
        <v>3106</v>
      </c>
      <c r="G7" s="3288">
        <f t="shared" si="0"/>
        <v>3.4999990211435783</v>
      </c>
      <c r="H7" s="3288" t="s">
        <v>3032</v>
      </c>
      <c r="I7" s="3288" t="s">
        <v>3103</v>
      </c>
      <c r="J7" s="3288" t="s">
        <v>3104</v>
      </c>
      <c r="K7" s="3288" t="s">
        <v>3104</v>
      </c>
      <c r="L7" s="3288">
        <v>11140</v>
      </c>
      <c r="M7" s="3288">
        <v>11140</v>
      </c>
      <c r="N7" s="3288">
        <v>890.15</v>
      </c>
      <c r="O7" s="3288">
        <v>0</v>
      </c>
      <c r="P7" s="3288" t="s">
        <v>3105</v>
      </c>
      <c r="Q7" s="3288" t="s">
        <v>3036</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Normal="80" zoomScaleSheetLayoutView="100" workbookViewId="0">
      <selection activeCell="E23" sqref="E23"/>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31" s="1925" customFormat="1" ht="18" customHeight="1">
      <c r="A2" s="1984" t="s">
        <v>461</v>
      </c>
      <c r="B2" s="1988">
        <f ca="1">C36</f>
        <v>12785</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1722</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1722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115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 ca="1">SUM(C10:K10)</f>
        <v>67439</v>
      </c>
      <c r="D6" s="2547"/>
      <c r="E6" s="2547"/>
      <c r="F6" s="2547"/>
      <c r="G6" s="2547"/>
      <c r="H6" s="2547"/>
      <c r="I6" s="2547"/>
      <c r="J6" s="2547"/>
      <c r="K6" s="2549"/>
      <c r="L6" s="3197"/>
      <c r="M6" s="3197"/>
      <c r="N6" s="3197"/>
      <c r="O6" s="3197"/>
      <c r="P6" s="3197"/>
      <c r="Q6" s="3197"/>
      <c r="R6" s="3197"/>
      <c r="S6" s="3197"/>
      <c r="T6" s="3197"/>
      <c r="U6" s="3197"/>
      <c r="V6" s="3197"/>
      <c r="W6" s="3197"/>
      <c r="X6" s="3197"/>
      <c r="Y6" s="3197"/>
      <c r="Z6" s="3197"/>
    </row>
    <row r="7" spans="1:31" s="1996" customFormat="1" ht="15">
      <c r="A7" s="2550" t="s">
        <v>464</v>
      </c>
      <c r="B7" s="2551" t="s">
        <v>465</v>
      </c>
      <c r="C7" s="430" t="s">
        <v>914</v>
      </c>
      <c r="D7" s="430" t="s">
        <v>3002</v>
      </c>
      <c r="E7" s="430" t="s">
        <v>35</v>
      </c>
      <c r="F7" s="430"/>
      <c r="G7" s="430"/>
      <c r="H7" s="430"/>
      <c r="I7" s="430"/>
      <c r="J7" s="430"/>
      <c r="K7" s="431"/>
      <c r="AA7" s="1995"/>
      <c r="AB7" s="1995"/>
      <c r="AC7" s="1995"/>
      <c r="AD7" s="1995"/>
      <c r="AE7" s="1995"/>
    </row>
    <row r="8" spans="1:31" s="1998" customFormat="1" ht="13.5" customHeight="1">
      <c r="A8" s="793" t="s">
        <v>1836</v>
      </c>
      <c r="B8" s="259" t="s">
        <v>466</v>
      </c>
      <c r="C8" s="2552"/>
      <c r="D8" s="2552">
        <f ca="1">不动产收益法!B3</f>
        <v>9085</v>
      </c>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0</v>
      </c>
      <c r="D9" s="435">
        <f>SUMIF('数据-汇总表'!$C19:$C33,'剩余法-待开发'!D7,'数据-汇总表'!$E19:$E33)</f>
        <v>74233.119999999995</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c r="D10" s="2743">
        <f ca="1">不动产收益法!B2</f>
        <v>67439</v>
      </c>
      <c r="E10" s="2743"/>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7"/>
      <c r="M11" s="3197"/>
      <c r="N11" s="3197"/>
      <c r="O11" s="3197"/>
      <c r="P11" s="3197"/>
      <c r="Q11" s="3197"/>
      <c r="R11" s="3197"/>
      <c r="S11" s="3197"/>
      <c r="T11" s="3197"/>
      <c r="U11" s="3197"/>
      <c r="V11" s="3197"/>
      <c r="W11" s="3197"/>
      <c r="X11" s="3197"/>
      <c r="Y11" s="3197"/>
      <c r="Z11" s="3197"/>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8"/>
      <c r="M12" s="3198"/>
      <c r="N12" s="3198"/>
      <c r="O12" s="3198"/>
      <c r="P12" s="3198"/>
      <c r="Q12" s="3198"/>
      <c r="R12" s="3198"/>
      <c r="S12" s="3198"/>
      <c r="T12" s="3198"/>
      <c r="U12" s="3198"/>
      <c r="V12" s="3198"/>
      <c r="W12" s="3198"/>
      <c r="X12" s="3198"/>
      <c r="Y12" s="3198"/>
      <c r="Z12" s="3198"/>
    </row>
    <row r="13" spans="1:31" s="1999" customFormat="1" ht="13.5" customHeight="1">
      <c r="A13" s="2560" t="s">
        <v>1839</v>
      </c>
      <c r="B13" s="2561" t="s">
        <v>473</v>
      </c>
      <c r="C13" s="444">
        <f ca="1">IF(B1="",'数据-取费表'!P16,INDIRECT("'数据-取费表'!p"&amp;$K$1)+INDIRECT("'数据-取费表'!t"&amp;$K$1))</f>
        <v>27466</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1373</v>
      </c>
      <c r="D14" s="2562"/>
      <c r="E14" s="2563"/>
      <c r="F14" s="2565">
        <f>'数据-取费表'!B33</f>
        <v>0.05</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0.1</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1485</v>
      </c>
      <c r="D16" s="2562">
        <f ca="1">IF(B1="",'数据-汇总表'!E3,INDIRECT("'数据-取费表'!K"&amp;$K$1)+INDIRECT("'数据-取费表'!S"&amp;$K$1))</f>
        <v>74233.119999999995</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412</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30736</v>
      </c>
      <c r="D18" s="2571"/>
      <c r="E18" s="462"/>
      <c r="F18" s="462"/>
      <c r="G18" s="2534" t="s">
        <v>2413</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742</v>
      </c>
      <c r="D19" s="2572">
        <f ca="1">D16</f>
        <v>74233.119999999995</v>
      </c>
      <c r="E19" s="2526">
        <f>'数据-取费表'!B32</f>
        <v>100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1113</v>
      </c>
      <c r="D20" s="2572"/>
      <c r="E20" s="2526"/>
      <c r="F20" s="2573"/>
      <c r="G20" s="2777"/>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150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1113</v>
      </c>
      <c r="D22" s="2562">
        <f ca="1">IF(B1="",'数据-汇总表'!E6,IF(INDIRECT("'数据-取费表'!c"&amp;$K$1)="住宅",INDIRECT("'数据-取费表'!s"&amp;$K$1),INDIRECT("'数据-取费表'!k"&amp;$K$1)+INDIRECT("'数据-取费表'!s"&amp;$K$1)))</f>
        <v>74233.119999999995</v>
      </c>
      <c r="E22" s="53">
        <f>'数据-取费表'!B28</f>
        <v>150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2813</v>
      </c>
      <c r="C23" s="2570">
        <f ca="1">ROUND((C18+C19+C20)*F23,0)</f>
        <v>978</v>
      </c>
      <c r="D23" s="462"/>
      <c r="E23" s="462"/>
      <c r="F23" s="2574">
        <f>'数据-取费表'!B37</f>
        <v>0.03</v>
      </c>
      <c r="G23" s="2530" t="s">
        <v>2414</v>
      </c>
      <c r="H23" s="2531"/>
      <c r="I23" s="2531"/>
      <c r="J23" s="2531"/>
      <c r="K23" s="2532"/>
      <c r="L23" s="3199"/>
      <c r="M23" s="3199"/>
      <c r="N23" s="3199"/>
      <c r="O23" s="2000"/>
      <c r="P23" s="2000"/>
      <c r="Q23" s="2000"/>
      <c r="R23" s="2000"/>
      <c r="S23" s="2000"/>
      <c r="T23" s="2000"/>
      <c r="U23" s="2000"/>
      <c r="V23" s="2000"/>
      <c r="W23" s="2000"/>
      <c r="X23" s="2000"/>
      <c r="Y23" s="2000"/>
      <c r="Z23" s="2000"/>
    </row>
    <row r="24" spans="1:26" s="1999" customFormat="1" ht="13.5" customHeight="1">
      <c r="A24" s="2568" t="s">
        <v>1850</v>
      </c>
      <c r="B24" s="2749" t="s">
        <v>2816</v>
      </c>
      <c r="C24" s="2570">
        <f ca="1">ROUND(C6*F24,0)</f>
        <v>2023</v>
      </c>
      <c r="D24" s="469"/>
      <c r="E24" s="467"/>
      <c r="F24" s="2574">
        <f>'数据-取费表'!B38</f>
        <v>0.03</v>
      </c>
      <c r="G24" s="2539" t="s">
        <v>493</v>
      </c>
      <c r="H24" s="2533"/>
      <c r="I24" s="2533"/>
      <c r="J24" s="2533"/>
      <c r="K24" s="277"/>
      <c r="L24" s="3199"/>
      <c r="M24" s="3199"/>
      <c r="N24" s="3199"/>
      <c r="O24" s="2000"/>
      <c r="P24" s="2000"/>
      <c r="Q24" s="2000"/>
      <c r="R24" s="2000"/>
      <c r="S24" s="2000"/>
      <c r="T24" s="2000"/>
      <c r="U24" s="2000"/>
      <c r="V24" s="2000"/>
      <c r="W24" s="2000"/>
      <c r="X24" s="2000"/>
      <c r="Y24" s="2000"/>
      <c r="Z24" s="2000"/>
    </row>
    <row r="25" spans="1:26" s="2002" customFormat="1" ht="13.5" customHeight="1">
      <c r="A25" s="2568" t="s">
        <v>1851</v>
      </c>
      <c r="B25" s="2749" t="s">
        <v>2814</v>
      </c>
      <c r="C25" s="461">
        <f>ROUND(F25/(1+'数据-取费表'!C42),4)</f>
        <v>2.9000000000000001E-2</v>
      </c>
      <c r="D25" s="456" t="s">
        <v>2808</v>
      </c>
      <c r="E25" s="463"/>
      <c r="F25" s="2574">
        <f>IF(项目基本情况!B8="出让",0,'数据-取费表'!B48+'数据-取费表'!B49)</f>
        <v>3.0499999999999999E-2</v>
      </c>
      <c r="G25" s="2538" t="s">
        <v>2276</v>
      </c>
      <c r="H25" s="2531"/>
      <c r="I25" s="2531"/>
      <c r="J25" s="2531"/>
      <c r="K25" s="2532"/>
      <c r="L25" s="3200"/>
      <c r="M25" s="3200"/>
      <c r="N25" s="3200"/>
      <c r="O25" s="3200"/>
      <c r="P25" s="3200"/>
      <c r="Q25" s="3200"/>
      <c r="R25" s="3200"/>
      <c r="S25" s="3200"/>
      <c r="T25" s="3200"/>
      <c r="U25" s="3200"/>
      <c r="V25" s="3200"/>
      <c r="W25" s="3200"/>
      <c r="X25" s="3200"/>
      <c r="Y25" s="3200"/>
      <c r="Z25" s="3200"/>
    </row>
    <row r="26" spans="1:26" s="2001" customFormat="1" ht="13.5" customHeight="1">
      <c r="A26" s="2568" t="s">
        <v>1852</v>
      </c>
      <c r="B26" s="2750" t="s">
        <v>2815</v>
      </c>
      <c r="C26" s="2575">
        <f ca="1">C28</f>
        <v>1691</v>
      </c>
      <c r="D26" s="461">
        <f ca="1">C27</f>
        <v>0.10009999999999999</v>
      </c>
      <c r="E26" s="463" t="s">
        <v>489</v>
      </c>
      <c r="F26" s="465">
        <f ca="1">'数据-取费表'!B40</f>
        <v>4.7500000000000001E-2</v>
      </c>
      <c r="G26" s="2425" t="str">
        <f>IF('数据-取费表'!B22&lt;=1,"单利计息。","复利计息。")&amp;"后续开发成本、管理费用及销售费用产生的利息。"</f>
        <v>复利计息。后续开发成本、管理费用及销售费用产生的利息。</v>
      </c>
      <c r="H26" s="2535"/>
      <c r="I26" s="2535"/>
      <c r="J26" s="2535"/>
      <c r="K26" s="2536"/>
      <c r="L26" s="3199"/>
      <c r="M26" s="3199"/>
      <c r="N26" s="3199"/>
      <c r="O26" s="3199"/>
      <c r="P26" s="3199"/>
      <c r="Q26" s="3199"/>
      <c r="R26" s="3199"/>
      <c r="S26" s="3199"/>
      <c r="T26" s="3199"/>
      <c r="U26" s="3199"/>
      <c r="V26" s="3199"/>
      <c r="W26" s="3199"/>
      <c r="X26" s="3199"/>
      <c r="Y26" s="3199"/>
      <c r="Z26" s="3199"/>
    </row>
    <row r="27" spans="1:26" s="2003" customFormat="1" ht="13.5" customHeight="1">
      <c r="A27" s="793" t="s">
        <v>1847</v>
      </c>
      <c r="B27" s="2576" t="s">
        <v>490</v>
      </c>
      <c r="C27" s="2577">
        <f ca="1">ROUND(IF('数据-取费表'!B22&lt;=1,(1+C25)*F26*'数据-取费表'!B24,(1+C25)*(POWER((1+F26),'数据-取费表'!B24)-1)),4)</f>
        <v>0.10009999999999999</v>
      </c>
      <c r="D27" s="466"/>
      <c r="E27" s="467"/>
      <c r="F27" s="468"/>
      <c r="G27" s="2425" t="str">
        <f>IF('数据-取费表'!B22&lt;=1,"（1+取得税费率/(1+5%)）×年利率×建设期","（1+取得税费率）/(1+5%)×((1+年利率)^建设期-1)")</f>
        <v>（1+取得税费率）/(1+5%)×((1+年利率)^建设期-1)</v>
      </c>
      <c r="H27" s="2533"/>
      <c r="I27" s="2533"/>
      <c r="J27" s="2533"/>
      <c r="K27" s="277"/>
      <c r="L27" s="3201"/>
      <c r="M27" s="3201"/>
      <c r="N27" s="3201"/>
      <c r="O27" s="3201"/>
      <c r="P27" s="3201"/>
      <c r="Q27" s="3201"/>
      <c r="R27" s="3201"/>
      <c r="S27" s="3201"/>
      <c r="T27" s="3201"/>
      <c r="U27" s="3201"/>
      <c r="V27" s="3201"/>
      <c r="W27" s="3201"/>
      <c r="X27" s="3201"/>
      <c r="Y27" s="3201"/>
      <c r="Z27" s="3201"/>
    </row>
    <row r="28" spans="1:26" s="2003" customFormat="1" ht="13.5" customHeight="1">
      <c r="A28" s="793" t="s">
        <v>1848</v>
      </c>
      <c r="B28" s="2576" t="s">
        <v>2817</v>
      </c>
      <c r="C28" s="2578">
        <f ca="1">ROUND(IF('数据-取费表'!B22&lt;=1,(C18+C19+C20+C23+C24)*F26*'数据-取费表'!B24/2,(C18+C19+C20+C23+C24)*(POWER((1+F26),'数据-取费表'!B24/2)-1)),0)</f>
        <v>1691</v>
      </c>
      <c r="D28" s="466"/>
      <c r="E28" s="467"/>
      <c r="F28" s="468"/>
      <c r="G28" s="2425" t="str">
        <f>IF('数据-取费表'!B22&lt;=1,"（1）-（4）项×年利率×建设期÷2","（1）-（4）项×((1+年利率)^(建设期÷2)-1)")</f>
        <v>（1）-（4）项×((1+年利率)^(建设期÷2)-1)</v>
      </c>
      <c r="H28" s="2533"/>
      <c r="I28" s="2533"/>
      <c r="J28" s="2533"/>
      <c r="K28" s="277"/>
      <c r="L28" s="3201"/>
      <c r="M28" s="3201"/>
      <c r="N28" s="3201"/>
      <c r="O28" s="3201"/>
      <c r="P28" s="3201"/>
      <c r="Q28" s="3201"/>
      <c r="R28" s="3201"/>
      <c r="S28" s="3201"/>
      <c r="T28" s="3201"/>
      <c r="U28" s="3201"/>
      <c r="V28" s="3201"/>
      <c r="W28" s="3201"/>
      <c r="X28" s="3201"/>
      <c r="Y28" s="3201"/>
      <c r="Z28" s="3201"/>
    </row>
    <row r="29" spans="1:26" s="2003" customFormat="1" ht="13.5" customHeight="1">
      <c r="A29" s="2579" t="s">
        <v>1853</v>
      </c>
      <c r="B29" s="2569" t="s">
        <v>491</v>
      </c>
      <c r="C29" s="2570">
        <f ca="1">ROUND(C6*F29/(1+'数据-取费表'!C42),0)</f>
        <v>3533</v>
      </c>
      <c r="D29" s="462"/>
      <c r="E29" s="462"/>
      <c r="F29" s="2751">
        <f>'数据-取费表'!B41</f>
        <v>5.5000000000000007E-2</v>
      </c>
      <c r="G29" s="2539" t="s">
        <v>492</v>
      </c>
      <c r="H29" s="2531"/>
      <c r="I29" s="2531"/>
      <c r="J29" s="2531"/>
      <c r="K29" s="2532"/>
      <c r="L29" s="3201"/>
      <c r="M29" s="3201"/>
      <c r="N29" s="3201"/>
      <c r="O29" s="3201"/>
      <c r="P29" s="3201"/>
      <c r="Q29" s="3201"/>
      <c r="R29" s="3201"/>
      <c r="S29" s="3201"/>
      <c r="T29" s="3201"/>
      <c r="U29" s="3201"/>
      <c r="V29" s="3201"/>
      <c r="W29" s="3201"/>
      <c r="X29" s="3201"/>
      <c r="Y29" s="3201"/>
      <c r="Z29" s="3201"/>
    </row>
    <row r="30" spans="1:26" s="2004" customFormat="1" ht="13.5" customHeight="1">
      <c r="A30" s="1564" t="s">
        <v>1854</v>
      </c>
      <c r="B30" s="2580" t="s">
        <v>494</v>
      </c>
      <c r="C30" s="2575">
        <f ca="1">C31</f>
        <v>40816</v>
      </c>
      <c r="D30" s="471">
        <f ca="1">C32</f>
        <v>0.12909999999999999</v>
      </c>
      <c r="E30" s="463" t="s">
        <v>489</v>
      </c>
      <c r="F30" s="465"/>
      <c r="G30" s="2538" t="s">
        <v>2923</v>
      </c>
      <c r="H30" s="2531"/>
      <c r="I30" s="2531"/>
      <c r="J30" s="2531"/>
      <c r="K30" s="2532"/>
      <c r="L30" s="3202"/>
      <c r="M30" s="3202"/>
      <c r="N30" s="3202"/>
      <c r="O30" s="3202"/>
      <c r="P30" s="3202"/>
      <c r="Q30" s="3202"/>
      <c r="R30" s="3202"/>
      <c r="S30" s="3202"/>
      <c r="T30" s="3202"/>
      <c r="U30" s="3202"/>
      <c r="V30" s="3202"/>
      <c r="W30" s="3202"/>
      <c r="X30" s="3202"/>
      <c r="Y30" s="3202"/>
      <c r="Z30" s="3202"/>
    </row>
    <row r="31" spans="1:26" s="2003" customFormat="1" ht="13.5" customHeight="1">
      <c r="A31" s="793" t="s">
        <v>1847</v>
      </c>
      <c r="B31" s="2576"/>
      <c r="C31" s="444">
        <f ca="1">C18+C19+C20+C23+C24+C26+C29</f>
        <v>40816</v>
      </c>
      <c r="D31" s="466"/>
      <c r="E31" s="467"/>
      <c r="F31" s="468"/>
      <c r="G31" s="259"/>
      <c r="H31" s="2533"/>
      <c r="I31" s="2533"/>
      <c r="J31" s="2533"/>
      <c r="K31" s="277"/>
      <c r="L31" s="3201"/>
      <c r="M31" s="3201"/>
      <c r="N31" s="3201"/>
      <c r="O31" s="3201"/>
      <c r="P31" s="3201"/>
      <c r="Q31" s="3201"/>
      <c r="R31" s="3201"/>
      <c r="S31" s="3201"/>
      <c r="T31" s="3201"/>
      <c r="U31" s="3201"/>
      <c r="V31" s="3201"/>
      <c r="W31" s="3201"/>
      <c r="X31" s="3201"/>
      <c r="Y31" s="3201"/>
      <c r="Z31" s="3201"/>
    </row>
    <row r="32" spans="1:26" s="2003" customFormat="1" ht="13.5" customHeight="1">
      <c r="A32" s="793" t="s">
        <v>1848</v>
      </c>
      <c r="B32" s="2576"/>
      <c r="C32" s="53">
        <f ca="1">ROUND(C25+D26,4)</f>
        <v>0.12909999999999999</v>
      </c>
      <c r="D32" s="466"/>
      <c r="E32" s="467"/>
      <c r="F32" s="468"/>
      <c r="G32" s="259"/>
      <c r="H32" s="2533"/>
      <c r="I32" s="2533"/>
      <c r="J32" s="2533"/>
      <c r="K32" s="277"/>
      <c r="L32" s="3201"/>
      <c r="M32" s="3201"/>
      <c r="N32" s="3201"/>
      <c r="O32" s="3201"/>
      <c r="P32" s="3201"/>
      <c r="Q32" s="3201"/>
      <c r="R32" s="3201"/>
      <c r="S32" s="3201"/>
      <c r="T32" s="3201"/>
      <c r="U32" s="3201"/>
      <c r="V32" s="3201"/>
      <c r="W32" s="3201"/>
      <c r="X32" s="3201"/>
      <c r="Y32" s="3201"/>
      <c r="Z32" s="3201"/>
    </row>
    <row r="33" spans="1:26" s="2005" customFormat="1" ht="13.5" customHeight="1">
      <c r="A33" s="2748" t="s">
        <v>2812</v>
      </c>
      <c r="B33" s="2746" t="s">
        <v>2810</v>
      </c>
      <c r="C33" s="472">
        <f ca="1">C35</f>
        <v>8898</v>
      </c>
      <c r="D33" s="461">
        <f ca="1">C34</f>
        <v>0.25729999999999997</v>
      </c>
      <c r="E33" s="463" t="s">
        <v>489</v>
      </c>
      <c r="F33" s="473">
        <f ca="1">IF(B1="",'数据-取费表'!Q16,INDIRECT("'数据-取费表'!q"&amp;$K$1))</f>
        <v>0.25</v>
      </c>
      <c r="G33" s="2534"/>
      <c r="H33" s="2535"/>
      <c r="I33" s="2535"/>
      <c r="J33" s="2535"/>
      <c r="K33" s="2536"/>
      <c r="L33" s="3203"/>
      <c r="M33" s="3203"/>
      <c r="N33" s="3203"/>
      <c r="O33" s="3203"/>
      <c r="P33" s="3203"/>
      <c r="Q33" s="3203"/>
      <c r="R33" s="3203"/>
      <c r="S33" s="3203"/>
      <c r="T33" s="3203"/>
      <c r="U33" s="3203"/>
      <c r="V33" s="3203"/>
      <c r="W33" s="3203"/>
      <c r="X33" s="3203"/>
      <c r="Y33" s="3203"/>
      <c r="Z33" s="3203"/>
    </row>
    <row r="34" spans="1:26" s="2006" customFormat="1" ht="13.5" customHeight="1">
      <c r="A34" s="369" t="s">
        <v>1847</v>
      </c>
      <c r="B34" s="2581" t="s">
        <v>495</v>
      </c>
      <c r="C34" s="466">
        <f ca="1">ROUND((1+C25)*F33,4)</f>
        <v>0.25729999999999997</v>
      </c>
      <c r="D34" s="466"/>
      <c r="E34" s="467"/>
      <c r="F34" s="474"/>
      <c r="G34" s="259" t="s">
        <v>2277</v>
      </c>
      <c r="H34" s="2533"/>
      <c r="I34" s="2533"/>
      <c r="J34" s="2533"/>
      <c r="K34" s="277"/>
      <c r="L34" s="3204"/>
      <c r="M34" s="3204"/>
      <c r="N34" s="3204"/>
      <c r="O34" s="3204"/>
      <c r="P34" s="3204"/>
      <c r="Q34" s="3204"/>
      <c r="R34" s="3204"/>
      <c r="S34" s="3204"/>
      <c r="T34" s="3204"/>
      <c r="U34" s="3204"/>
      <c r="V34" s="3204"/>
      <c r="W34" s="3204"/>
      <c r="X34" s="3204"/>
      <c r="Y34" s="3204"/>
      <c r="Z34" s="3204"/>
    </row>
    <row r="35" spans="1:26" s="2006" customFormat="1" ht="13.5" customHeight="1" thickBot="1">
      <c r="A35" s="1565" t="s">
        <v>1848</v>
      </c>
      <c r="B35" s="2747" t="s">
        <v>2818</v>
      </c>
      <c r="C35" s="1557">
        <f ca="1">ROUND((C18+C19+C20+C23+C24)*F33,0)</f>
        <v>8898</v>
      </c>
      <c r="D35" s="1558"/>
      <c r="E35" s="2582"/>
      <c r="F35" s="1559"/>
      <c r="G35" s="2540"/>
      <c r="H35" s="2541"/>
      <c r="I35" s="2541"/>
      <c r="J35" s="2541"/>
      <c r="K35" s="2542"/>
      <c r="L35" s="3204"/>
      <c r="M35" s="3204"/>
      <c r="N35" s="3204"/>
      <c r="O35" s="3204"/>
      <c r="P35" s="3204"/>
      <c r="Q35" s="3204"/>
      <c r="R35" s="3204"/>
      <c r="S35" s="3204"/>
      <c r="T35" s="3204"/>
      <c r="U35" s="3204"/>
      <c r="V35" s="3204"/>
      <c r="W35" s="3204"/>
      <c r="X35" s="3204"/>
      <c r="Y35" s="3204"/>
      <c r="Z35" s="3204"/>
    </row>
    <row r="36" spans="1:26" s="1968" customFormat="1" ht="13.5" customHeight="1" thickBot="1">
      <c r="A36" s="282" t="s">
        <v>1835</v>
      </c>
      <c r="B36" s="2544"/>
      <c r="C36" s="2583">
        <f ca="1">ROUND((C6-C30-C33)/(1+D30+D33),0)</f>
        <v>12785</v>
      </c>
      <c r="D36" s="2544"/>
      <c r="E36" s="2544"/>
      <c r="F36" s="2544"/>
      <c r="G36" s="2543" t="s">
        <v>2819</v>
      </c>
      <c r="H36" s="2544"/>
      <c r="I36" s="2544"/>
      <c r="J36" s="2544"/>
      <c r="K36" s="2545"/>
      <c r="L36" s="3198"/>
      <c r="M36" s="3198"/>
      <c r="N36" s="3198"/>
      <c r="O36" s="3198"/>
      <c r="P36" s="3198"/>
      <c r="Q36" s="3198"/>
      <c r="R36" s="3198"/>
      <c r="S36" s="3198"/>
      <c r="T36" s="3198"/>
      <c r="U36" s="3198"/>
      <c r="V36" s="3198"/>
      <c r="W36" s="3198"/>
      <c r="X36" s="3198"/>
      <c r="Y36" s="3198"/>
      <c r="Z36" s="3198"/>
    </row>
    <row r="37" spans="1:26" s="1998" customFormat="1">
      <c r="A37" s="3205"/>
      <c r="C37" s="3206"/>
      <c r="E37" s="3205"/>
    </row>
    <row r="38" spans="1:26" s="1998" customFormat="1" ht="12.75" customHeight="1">
      <c r="A38" s="3205"/>
      <c r="C38" s="3206"/>
      <c r="E38" s="3205"/>
    </row>
    <row r="39" spans="1:26" s="1998" customFormat="1">
      <c r="A39" s="3205"/>
      <c r="C39" s="3206"/>
      <c r="E39" s="3205"/>
    </row>
    <row r="40" spans="1:26" s="1998" customFormat="1">
      <c r="A40" s="3205"/>
      <c r="C40" s="3206"/>
      <c r="E40" s="3205"/>
    </row>
    <row r="41" spans="1:26" s="1998" customFormat="1">
      <c r="A41" s="3205"/>
      <c r="C41" s="3206"/>
      <c r="E41" s="3205"/>
    </row>
    <row r="42" spans="1:26" s="1998" customFormat="1">
      <c r="A42" s="3205"/>
      <c r="C42" s="3206"/>
      <c r="E42" s="3205"/>
    </row>
    <row r="43" spans="1:26" s="1998" customFormat="1">
      <c r="A43" s="3205"/>
      <c r="C43" s="3206"/>
      <c r="E43" s="3205"/>
    </row>
    <row r="44" spans="1:26" s="1998" customFormat="1">
      <c r="A44" s="3205"/>
      <c r="C44" s="3206"/>
      <c r="E44" s="3205"/>
    </row>
    <row r="45" spans="1:26" s="1998" customFormat="1">
      <c r="A45" s="3205"/>
      <c r="C45" s="3206"/>
      <c r="E45" s="3205"/>
    </row>
    <row r="46" spans="1:26" s="1998" customFormat="1">
      <c r="A46" s="3205"/>
      <c r="C46" s="3206"/>
      <c r="E46" s="3205"/>
    </row>
    <row r="47" spans="1:26" s="1998" customFormat="1">
      <c r="A47" s="3205"/>
      <c r="C47" s="3206"/>
      <c r="E47" s="3205"/>
    </row>
    <row r="48" spans="1:26"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row r="226" spans="1:5" s="1998" customFormat="1">
      <c r="A226" s="3205"/>
      <c r="C226" s="3206"/>
      <c r="E226" s="3205"/>
    </row>
    <row r="227" spans="1:5" s="1998" customFormat="1">
      <c r="A227" s="3205"/>
      <c r="C227" s="3206"/>
      <c r="E227" s="3205"/>
    </row>
    <row r="228" spans="1:5" s="1998" customFormat="1">
      <c r="A228" s="3205"/>
      <c r="C228" s="3206"/>
      <c r="E228" s="3205"/>
    </row>
    <row r="229" spans="1:5" s="1998" customFormat="1">
      <c r="A229" s="3205"/>
      <c r="C229" s="3206"/>
      <c r="E229" s="3205"/>
    </row>
    <row r="230" spans="1:5" s="1998" customFormat="1">
      <c r="A230" s="3205"/>
      <c r="C230" s="3206"/>
      <c r="E230" s="3205"/>
    </row>
    <row r="231" spans="1:5" s="1998" customFormat="1">
      <c r="A231" s="3205"/>
      <c r="C231" s="3206"/>
      <c r="E231" s="3205"/>
    </row>
    <row r="232" spans="1:5" s="1998" customFormat="1">
      <c r="A232" s="3205"/>
      <c r="C232" s="3206"/>
      <c r="E232" s="3205"/>
    </row>
    <row r="233" spans="1:5" s="1998" customFormat="1">
      <c r="A233" s="3205"/>
      <c r="C233" s="3206"/>
      <c r="E233" s="3205"/>
    </row>
    <row r="234" spans="1:5" s="1998" customFormat="1">
      <c r="A234" s="3205"/>
      <c r="C234" s="3206"/>
      <c r="E234" s="3205"/>
    </row>
    <row r="235" spans="1:5" s="1998" customFormat="1">
      <c r="A235" s="3205"/>
      <c r="C235" s="3206"/>
      <c r="E235" s="3205"/>
    </row>
    <row r="236" spans="1:5" s="1998" customFormat="1">
      <c r="A236" s="3205"/>
      <c r="C236" s="3206"/>
      <c r="E236" s="3205"/>
    </row>
    <row r="237" spans="1:5" s="1998" customFormat="1">
      <c r="A237" s="3205"/>
      <c r="C237" s="3206"/>
      <c r="E237" s="3205"/>
    </row>
    <row r="238" spans="1:5" s="1998" customFormat="1">
      <c r="A238" s="3205"/>
      <c r="C238" s="3206"/>
      <c r="E238" s="3205"/>
    </row>
    <row r="239" spans="1:5" s="1998" customFormat="1">
      <c r="A239" s="3205"/>
      <c r="C239" s="3206"/>
      <c r="E239" s="3205"/>
    </row>
    <row r="240" spans="1:5" s="1998" customFormat="1">
      <c r="A240" s="3205"/>
      <c r="C240" s="3206"/>
      <c r="E240" s="3205"/>
    </row>
    <row r="241" spans="1:5" s="1998" customFormat="1">
      <c r="A241" s="3205"/>
      <c r="C241" s="3206"/>
      <c r="E241" s="3205"/>
    </row>
    <row r="242" spans="1:5" s="1998" customFormat="1">
      <c r="A242" s="3205"/>
      <c r="C242" s="3206"/>
      <c r="E242" s="3205"/>
    </row>
    <row r="243" spans="1:5" s="1998" customFormat="1">
      <c r="A243" s="3205"/>
      <c r="C243" s="3206"/>
      <c r="E243" s="3205"/>
    </row>
    <row r="244" spans="1:5" s="1998" customFormat="1">
      <c r="A244" s="3205"/>
      <c r="C244" s="3206"/>
      <c r="E244" s="3205"/>
    </row>
    <row r="245" spans="1:5" s="1998" customFormat="1">
      <c r="A245" s="3205"/>
      <c r="C245" s="3206"/>
      <c r="E245" s="3205"/>
    </row>
    <row r="246" spans="1:5" s="1998" customFormat="1">
      <c r="A246" s="3205"/>
      <c r="C246" s="3206"/>
      <c r="E246" s="3205"/>
    </row>
    <row r="247" spans="1:5" s="1998" customFormat="1">
      <c r="A247" s="3205"/>
      <c r="C247" s="3206"/>
      <c r="E247" s="3205"/>
    </row>
    <row r="248" spans="1:5" s="1998" customFormat="1">
      <c r="A248" s="3205"/>
      <c r="C248" s="3206"/>
      <c r="E248" s="3205"/>
    </row>
    <row r="249" spans="1:5" s="1998" customFormat="1">
      <c r="A249" s="3205"/>
      <c r="C249" s="3206"/>
      <c r="E249" s="3205"/>
    </row>
    <row r="250" spans="1:5" s="1998" customFormat="1">
      <c r="A250" s="3205"/>
      <c r="C250" s="3206"/>
      <c r="E250" s="3205"/>
    </row>
    <row r="251" spans="1:5" s="1998" customFormat="1">
      <c r="A251" s="3205"/>
      <c r="C251" s="3206"/>
      <c r="E251" s="3205"/>
    </row>
    <row r="252" spans="1:5" s="1998" customFormat="1">
      <c r="A252" s="3205"/>
      <c r="C252" s="3206"/>
      <c r="E252" s="3205"/>
    </row>
    <row r="253" spans="1:5" s="1998" customFormat="1">
      <c r="A253" s="3205"/>
      <c r="C253" s="3206"/>
      <c r="E253" s="3205"/>
    </row>
    <row r="254" spans="1:5" s="1998" customFormat="1">
      <c r="A254" s="3205"/>
      <c r="C254" s="3206"/>
      <c r="E254" s="3205"/>
    </row>
    <row r="255" spans="1:5" s="1998" customFormat="1">
      <c r="A255" s="3205"/>
      <c r="C255" s="3206"/>
      <c r="E255" s="3205"/>
    </row>
    <row r="256" spans="1:5" s="1998" customFormat="1">
      <c r="A256" s="3205"/>
      <c r="C256" s="3206"/>
      <c r="E256" s="3205"/>
    </row>
    <row r="257" spans="1:5" s="1998" customFormat="1">
      <c r="A257" s="3205"/>
      <c r="C257" s="3206"/>
      <c r="E257" s="3205"/>
    </row>
    <row r="258" spans="1:5" s="1998" customFormat="1">
      <c r="A258" s="3205"/>
      <c r="C258" s="3206"/>
      <c r="E258" s="3205"/>
    </row>
    <row r="259" spans="1:5" s="1998" customFormat="1">
      <c r="A259" s="3205"/>
      <c r="C259" s="3206"/>
      <c r="E259" s="3205"/>
    </row>
    <row r="260" spans="1:5" s="1998" customFormat="1">
      <c r="A260" s="3205"/>
      <c r="C260" s="3206"/>
      <c r="E260" s="3205"/>
    </row>
    <row r="261" spans="1:5" s="1998" customFormat="1">
      <c r="A261" s="3205"/>
      <c r="C261" s="3206"/>
      <c r="E261" s="3205"/>
    </row>
    <row r="262" spans="1:5" s="1998" customFormat="1">
      <c r="A262" s="3205"/>
      <c r="C262" s="3206"/>
      <c r="E262" s="3205"/>
    </row>
    <row r="263" spans="1:5" s="1998" customFormat="1">
      <c r="A263" s="3205"/>
      <c r="C263" s="3206"/>
      <c r="E263" s="3205"/>
    </row>
    <row r="264" spans="1:5" s="1998" customFormat="1">
      <c r="A264" s="3205"/>
      <c r="C264" s="3206"/>
      <c r="E264" s="3205"/>
    </row>
    <row r="265" spans="1:5" s="1998" customFormat="1">
      <c r="A265" s="3205"/>
      <c r="C265" s="3206"/>
      <c r="E265" s="3205"/>
    </row>
    <row r="266" spans="1:5" s="1998" customFormat="1">
      <c r="A266" s="3205"/>
      <c r="C266" s="3206"/>
      <c r="E266" s="3205"/>
    </row>
    <row r="267" spans="1:5" s="1998" customFormat="1">
      <c r="A267" s="3205"/>
      <c r="C267" s="3206"/>
      <c r="E267" s="3205"/>
    </row>
    <row r="268" spans="1:5" s="1998" customFormat="1">
      <c r="A268" s="3205"/>
      <c r="C268" s="3206"/>
      <c r="E268" s="3205"/>
    </row>
    <row r="269" spans="1:5" s="1998" customFormat="1">
      <c r="A269" s="3205"/>
      <c r="C269" s="3206"/>
      <c r="E269" s="3205"/>
    </row>
    <row r="270" spans="1:5" s="1998" customFormat="1">
      <c r="A270" s="3205"/>
      <c r="C270" s="3206"/>
      <c r="E270" s="3205"/>
    </row>
    <row r="271" spans="1:5" s="1998" customFormat="1">
      <c r="A271" s="3205"/>
      <c r="C271" s="3206"/>
      <c r="E271" s="3205"/>
    </row>
    <row r="272" spans="1:5" s="1998" customFormat="1">
      <c r="A272" s="3205"/>
      <c r="C272" s="3206"/>
      <c r="E272" s="3205"/>
    </row>
    <row r="273" spans="1:5" s="1998" customFormat="1">
      <c r="A273" s="3205"/>
      <c r="C273" s="3206"/>
      <c r="E273" s="3205"/>
    </row>
    <row r="274" spans="1:5" s="1998" customFormat="1">
      <c r="A274" s="3205"/>
      <c r="C274" s="3206"/>
      <c r="E274" s="3205"/>
    </row>
    <row r="275" spans="1:5" s="1998" customFormat="1">
      <c r="A275" s="3205"/>
      <c r="C275" s="3206"/>
      <c r="E275" s="3205"/>
    </row>
    <row r="276" spans="1:5" s="1998" customFormat="1">
      <c r="A276" s="3205"/>
      <c r="C276" s="3206"/>
      <c r="E276" s="3205"/>
    </row>
    <row r="277" spans="1:5" s="1998" customFormat="1">
      <c r="A277" s="3205"/>
      <c r="C277" s="3206"/>
      <c r="E277" s="3205"/>
    </row>
    <row r="278" spans="1:5" s="1998" customFormat="1">
      <c r="A278" s="3205"/>
      <c r="C278" s="3206"/>
      <c r="E278" s="3205"/>
    </row>
    <row r="279" spans="1:5" s="1998" customFormat="1">
      <c r="A279" s="3205"/>
      <c r="C279" s="3206"/>
      <c r="E279" s="3205"/>
    </row>
    <row r="280" spans="1:5" s="1998" customFormat="1">
      <c r="A280" s="3205"/>
      <c r="C280" s="3206"/>
      <c r="E280" s="3205"/>
    </row>
    <row r="281" spans="1:5" s="1998" customFormat="1">
      <c r="A281" s="3205"/>
      <c r="C281" s="3206"/>
      <c r="E281" s="3205"/>
    </row>
    <row r="282" spans="1:5" s="1998" customFormat="1">
      <c r="A282" s="3205"/>
      <c r="C282" s="3206"/>
      <c r="E282" s="3205"/>
    </row>
    <row r="283" spans="1:5" s="1998" customFormat="1">
      <c r="A283" s="3205"/>
      <c r="C283" s="3206"/>
      <c r="E283" s="3205"/>
    </row>
    <row r="284" spans="1:5" s="1998" customFormat="1">
      <c r="A284" s="3205"/>
      <c r="C284" s="3206"/>
      <c r="E284" s="3205"/>
    </row>
    <row r="285" spans="1:5" s="1998" customFormat="1">
      <c r="A285" s="3205"/>
      <c r="C285" s="3206"/>
      <c r="E285" s="3205"/>
    </row>
    <row r="286" spans="1:5" s="1998" customFormat="1">
      <c r="A286" s="3205"/>
      <c r="C286" s="3206"/>
      <c r="E286" s="3205"/>
    </row>
    <row r="287" spans="1:5" s="1998" customFormat="1">
      <c r="A287" s="3205"/>
      <c r="C287" s="3206"/>
      <c r="E287" s="3205"/>
    </row>
    <row r="288" spans="1:5" s="1998" customFormat="1">
      <c r="A288" s="3205"/>
      <c r="C288" s="3206"/>
      <c r="E288" s="3205"/>
    </row>
    <row r="289" spans="1:5" s="1998" customFormat="1">
      <c r="A289" s="3205"/>
      <c r="C289" s="3206"/>
      <c r="E289" s="3205"/>
    </row>
    <row r="290" spans="1:5" s="1998" customFormat="1">
      <c r="A290" s="3205"/>
      <c r="C290" s="3206"/>
      <c r="E290" s="3205"/>
    </row>
    <row r="291" spans="1:5" s="1998" customFormat="1">
      <c r="A291" s="3205"/>
      <c r="C291" s="3206"/>
      <c r="E291" s="3205"/>
    </row>
    <row r="292" spans="1:5" s="1998" customFormat="1">
      <c r="A292" s="3205"/>
      <c r="C292" s="3206"/>
      <c r="E292" s="3205"/>
    </row>
    <row r="293" spans="1:5" s="1998" customFormat="1">
      <c r="A293" s="3205"/>
      <c r="C293" s="3206"/>
      <c r="E293" s="3205"/>
    </row>
    <row r="294" spans="1:5" s="1998" customFormat="1">
      <c r="A294" s="3205"/>
      <c r="C294" s="3206"/>
      <c r="E294" s="3205"/>
    </row>
    <row r="295" spans="1:5" s="1998" customFormat="1">
      <c r="A295" s="3205"/>
      <c r="C295" s="3206"/>
      <c r="E295" s="3205"/>
    </row>
    <row r="296" spans="1:5" s="1998" customFormat="1">
      <c r="A296" s="3205"/>
      <c r="C296" s="3206"/>
      <c r="E296" s="3205"/>
    </row>
    <row r="297" spans="1:5" s="1998" customFormat="1">
      <c r="A297" s="3205"/>
      <c r="C297" s="3206"/>
      <c r="E297" s="3205"/>
    </row>
    <row r="298" spans="1:5" s="1998" customFormat="1">
      <c r="A298" s="3205"/>
      <c r="C298" s="3206"/>
      <c r="E298" s="3205"/>
    </row>
    <row r="299" spans="1:5" s="1998" customFormat="1">
      <c r="A299" s="3205"/>
      <c r="C299" s="3206"/>
      <c r="E299" s="3205"/>
    </row>
    <row r="300" spans="1:5" s="1998" customFormat="1">
      <c r="A300" s="3205"/>
      <c r="C300" s="3206"/>
      <c r="E300" s="3205"/>
    </row>
    <row r="301" spans="1:5" s="1998" customFormat="1">
      <c r="A301" s="3205"/>
      <c r="C301" s="3206"/>
      <c r="E301" s="3205"/>
    </row>
    <row r="302" spans="1:5" s="1998" customFormat="1">
      <c r="A302" s="3205"/>
      <c r="C302" s="3206"/>
      <c r="E302" s="3205"/>
    </row>
    <row r="303" spans="1:5" s="1998" customFormat="1">
      <c r="A303" s="3205"/>
      <c r="C303" s="3206"/>
      <c r="E303" s="3205"/>
    </row>
    <row r="304" spans="1:5" s="1998" customFormat="1">
      <c r="A304" s="3205"/>
      <c r="C304" s="3206"/>
      <c r="E304" s="3205"/>
    </row>
    <row r="305" spans="1:5" s="1998" customFormat="1">
      <c r="A305" s="3205"/>
      <c r="C305" s="3206"/>
      <c r="E305" s="3205"/>
    </row>
    <row r="306" spans="1:5" s="1998" customFormat="1">
      <c r="A306" s="3205"/>
      <c r="C306" s="3206"/>
      <c r="E306" s="3205"/>
    </row>
    <row r="307" spans="1:5" s="1998" customFormat="1">
      <c r="A307" s="3205"/>
      <c r="C307" s="3206"/>
      <c r="E307" s="3205"/>
    </row>
    <row r="308" spans="1:5" s="1998" customFormat="1">
      <c r="A308" s="3205"/>
      <c r="C308" s="3206"/>
      <c r="E308" s="3205"/>
    </row>
    <row r="309" spans="1:5" s="1998" customFormat="1">
      <c r="A309" s="3205"/>
      <c r="C309" s="3206"/>
      <c r="E309" s="3205"/>
    </row>
    <row r="310" spans="1:5" s="1998" customFormat="1">
      <c r="A310" s="3205"/>
      <c r="C310" s="3206"/>
      <c r="E310" s="3205"/>
    </row>
    <row r="311" spans="1:5" s="1998" customFormat="1">
      <c r="A311" s="3205"/>
      <c r="C311" s="3206"/>
      <c r="E311" s="3205"/>
    </row>
    <row r="312" spans="1:5" s="1998" customFormat="1">
      <c r="A312" s="3205"/>
      <c r="C312" s="3206"/>
      <c r="E312" s="3205"/>
    </row>
    <row r="313" spans="1:5" s="1998" customFormat="1">
      <c r="A313" s="3205"/>
      <c r="C313" s="3206"/>
      <c r="E313" s="3205"/>
    </row>
    <row r="314" spans="1:5" s="1998" customFormat="1">
      <c r="A314" s="3205"/>
      <c r="C314" s="3206"/>
      <c r="E314" s="3205"/>
    </row>
    <row r="315" spans="1:5" s="1998" customFormat="1">
      <c r="A315" s="3205"/>
      <c r="C315" s="3206"/>
      <c r="E315" s="3205"/>
    </row>
    <row r="316" spans="1:5" s="1998" customFormat="1">
      <c r="A316" s="3205"/>
      <c r="C316" s="3206"/>
      <c r="E316" s="3205"/>
    </row>
    <row r="317" spans="1:5" s="1998" customFormat="1">
      <c r="A317" s="3205"/>
      <c r="C317" s="3206"/>
      <c r="E317" s="3205"/>
    </row>
    <row r="318" spans="1:5" s="1998" customFormat="1">
      <c r="A318" s="3205"/>
      <c r="C318" s="3206"/>
      <c r="E318" s="3205"/>
    </row>
    <row r="319" spans="1:5" s="1998" customFormat="1">
      <c r="A319" s="3205"/>
      <c r="C319" s="3206"/>
      <c r="E319" s="3205"/>
    </row>
    <row r="320" spans="1:5" s="1998" customFormat="1">
      <c r="A320" s="3205"/>
      <c r="C320" s="3206"/>
      <c r="E320" s="3205"/>
    </row>
    <row r="321" spans="1:5" s="1998" customFormat="1">
      <c r="A321" s="3205"/>
      <c r="C321" s="3206"/>
      <c r="E321" s="3205"/>
    </row>
    <row r="322" spans="1:5" s="1998" customFormat="1">
      <c r="A322" s="3205"/>
      <c r="C322" s="3206"/>
      <c r="E322" s="3205"/>
    </row>
    <row r="323" spans="1:5" s="1998" customFormat="1">
      <c r="A323" s="3205"/>
      <c r="C323" s="3206"/>
      <c r="E323" s="3205"/>
    </row>
    <row r="324" spans="1:5" s="1998" customFormat="1">
      <c r="A324" s="3205"/>
      <c r="C324" s="3206"/>
      <c r="E324" s="3205"/>
    </row>
    <row r="325" spans="1:5" s="1998" customFormat="1">
      <c r="A325" s="3205"/>
      <c r="C325" s="3206"/>
      <c r="E325" s="3205"/>
    </row>
    <row r="326" spans="1:5" s="1998" customFormat="1">
      <c r="A326" s="3205"/>
      <c r="C326" s="3206"/>
      <c r="E326" s="3205"/>
    </row>
    <row r="327" spans="1:5" s="1998" customFormat="1">
      <c r="A327" s="3205"/>
      <c r="C327" s="3206"/>
      <c r="E327" s="3205"/>
    </row>
    <row r="328" spans="1:5" s="1998" customFormat="1">
      <c r="A328" s="3205"/>
      <c r="C328" s="3206"/>
      <c r="E328" s="3205"/>
    </row>
    <row r="329" spans="1:5" s="1998" customFormat="1">
      <c r="A329" s="3205"/>
      <c r="C329" s="3206"/>
      <c r="E329" s="3205"/>
    </row>
    <row r="330" spans="1:5" s="1998" customFormat="1">
      <c r="A330" s="3205"/>
      <c r="C330" s="3206"/>
      <c r="E330" s="3205"/>
    </row>
    <row r="331" spans="1:5" s="1998" customFormat="1">
      <c r="A331" s="3205"/>
      <c r="C331" s="3206"/>
      <c r="E331" s="3205"/>
    </row>
    <row r="332" spans="1:5" s="1998" customFormat="1">
      <c r="A332" s="3205"/>
      <c r="C332" s="3206"/>
      <c r="E332" s="3205"/>
    </row>
    <row r="333" spans="1:5" s="1998" customFormat="1">
      <c r="A333" s="3205"/>
      <c r="C333" s="3206"/>
      <c r="E333" s="3205"/>
    </row>
    <row r="334" spans="1:5" s="1998" customFormat="1">
      <c r="A334" s="3205"/>
      <c r="C334" s="3206"/>
      <c r="E334" s="3205"/>
    </row>
    <row r="335" spans="1:5" s="1998" customFormat="1">
      <c r="A335" s="3205"/>
      <c r="C335" s="3206"/>
      <c r="E335" s="3205"/>
    </row>
    <row r="336" spans="1:5" s="1998" customFormat="1">
      <c r="A336" s="3205"/>
      <c r="C336" s="3206"/>
      <c r="E336" s="3205"/>
    </row>
    <row r="337" spans="1:5" s="1998" customFormat="1">
      <c r="A337" s="3205"/>
      <c r="C337" s="3206"/>
      <c r="E337" s="3205"/>
    </row>
    <row r="338" spans="1:5" s="1998" customFormat="1">
      <c r="A338" s="3205"/>
      <c r="C338" s="3206"/>
      <c r="E338" s="3205"/>
    </row>
    <row r="339" spans="1:5" s="1998" customFormat="1">
      <c r="A339" s="3205"/>
      <c r="C339" s="3206"/>
      <c r="E339" s="3205"/>
    </row>
    <row r="340" spans="1:5" s="1998" customFormat="1">
      <c r="A340" s="3205"/>
      <c r="C340" s="3206"/>
      <c r="E340" s="3205"/>
    </row>
    <row r="341" spans="1:5" s="1998" customFormat="1">
      <c r="A341" s="3205"/>
      <c r="C341" s="3206"/>
      <c r="E341" s="3205"/>
    </row>
    <row r="342" spans="1:5" s="1998" customFormat="1">
      <c r="A342" s="3205"/>
      <c r="C342" s="3206"/>
      <c r="E342" s="3205"/>
    </row>
    <row r="343" spans="1:5" s="1998" customFormat="1">
      <c r="A343" s="3205"/>
      <c r="C343" s="3206"/>
      <c r="E343" s="3205"/>
    </row>
    <row r="344" spans="1:5" s="1998" customFormat="1">
      <c r="A344" s="3205"/>
      <c r="C344" s="3206"/>
      <c r="E344" s="3205"/>
    </row>
    <row r="345" spans="1:5" s="1998" customFormat="1">
      <c r="A345" s="3205"/>
      <c r="C345" s="3206"/>
      <c r="E345" s="3205"/>
    </row>
    <row r="346" spans="1:5" s="1998" customFormat="1">
      <c r="A346" s="3205"/>
      <c r="C346" s="3206"/>
      <c r="E346" s="3205"/>
    </row>
    <row r="347" spans="1:5" s="1998" customFormat="1">
      <c r="A347" s="3205"/>
      <c r="C347" s="3206"/>
      <c r="E347" s="3205"/>
    </row>
    <row r="348" spans="1:5" s="1998" customFormat="1">
      <c r="A348" s="3205"/>
      <c r="C348" s="3206"/>
      <c r="E348" s="3205"/>
    </row>
    <row r="349" spans="1:5" s="1998" customFormat="1">
      <c r="A349" s="3205"/>
      <c r="C349" s="3206"/>
      <c r="E349" s="3205"/>
    </row>
    <row r="350" spans="1:5" s="1998" customFormat="1">
      <c r="A350" s="3205"/>
      <c r="C350" s="3206"/>
      <c r="E350" s="3205"/>
    </row>
    <row r="351" spans="1:5" s="1998" customFormat="1">
      <c r="A351" s="3205"/>
      <c r="C351" s="3206"/>
      <c r="E351" s="3205"/>
    </row>
    <row r="352" spans="1:5" s="1998" customFormat="1">
      <c r="A352" s="3205"/>
      <c r="C352" s="3206"/>
      <c r="E352" s="3205"/>
    </row>
    <row r="353" spans="1:5" s="1998" customFormat="1">
      <c r="A353" s="3205"/>
      <c r="C353" s="3206"/>
      <c r="E353" s="3205"/>
    </row>
    <row r="354" spans="1:5" s="1998" customFormat="1">
      <c r="A354" s="3205"/>
      <c r="C354" s="3206"/>
      <c r="E354" s="3205"/>
    </row>
    <row r="355" spans="1:5" s="1998" customFormat="1">
      <c r="A355" s="3205"/>
      <c r="C355" s="3206"/>
      <c r="E355" s="3205"/>
    </row>
    <row r="356" spans="1:5" s="1998" customFormat="1">
      <c r="A356" s="3205"/>
      <c r="C356" s="3206"/>
      <c r="E356" s="3205"/>
    </row>
    <row r="357" spans="1:5" s="1998" customFormat="1">
      <c r="A357" s="3205"/>
      <c r="C357" s="3206"/>
      <c r="E357" s="3205"/>
    </row>
    <row r="358" spans="1:5" s="1998" customFormat="1">
      <c r="A358" s="3205"/>
      <c r="C358" s="3206"/>
      <c r="E358" s="3205"/>
    </row>
    <row r="359" spans="1:5" s="1998" customFormat="1">
      <c r="A359" s="3205"/>
      <c r="C359" s="3206"/>
      <c r="E359" s="3205"/>
    </row>
    <row r="360" spans="1:5" s="1998" customFormat="1">
      <c r="A360" s="3205"/>
      <c r="C360" s="3206"/>
      <c r="E360" s="3205"/>
    </row>
    <row r="361" spans="1:5" s="1998" customFormat="1">
      <c r="A361" s="3205"/>
      <c r="C361" s="3206"/>
      <c r="E361" s="3205"/>
    </row>
    <row r="362" spans="1:5" s="1998" customFormat="1">
      <c r="A362" s="3205"/>
      <c r="C362" s="3206"/>
      <c r="E362" s="3205"/>
    </row>
    <row r="363" spans="1:5" s="1998" customFormat="1">
      <c r="A363" s="3205"/>
      <c r="C363" s="3206"/>
      <c r="E363" s="3205"/>
    </row>
    <row r="364" spans="1:5" s="1998" customFormat="1">
      <c r="A364" s="3205"/>
      <c r="C364" s="3206"/>
      <c r="E364" s="3205"/>
    </row>
    <row r="365" spans="1:5" s="1998" customFormat="1">
      <c r="A365" s="3205"/>
      <c r="C365" s="3206"/>
      <c r="E365" s="3205"/>
    </row>
    <row r="366" spans="1:5" s="1998" customFormat="1">
      <c r="A366" s="3205"/>
      <c r="C366" s="3206"/>
      <c r="E366" s="3205"/>
    </row>
    <row r="367" spans="1:5" s="1998" customFormat="1">
      <c r="A367" s="3205"/>
      <c r="C367" s="3206"/>
      <c r="E367" s="3205"/>
    </row>
    <row r="368" spans="1:5" s="1998" customFormat="1">
      <c r="A368" s="3205"/>
      <c r="C368" s="3206"/>
      <c r="E368" s="3205"/>
    </row>
    <row r="369" spans="1:5" s="1998" customFormat="1">
      <c r="A369" s="3205"/>
      <c r="C369" s="3206"/>
      <c r="E369" s="3205"/>
    </row>
    <row r="370" spans="1:5" s="1998" customFormat="1">
      <c r="A370" s="3205"/>
      <c r="C370" s="3206"/>
      <c r="E370" s="3205"/>
    </row>
    <row r="371" spans="1:5" s="1998" customFormat="1">
      <c r="A371" s="3205"/>
      <c r="C371" s="3206"/>
      <c r="E371" s="3205"/>
    </row>
    <row r="372" spans="1:5" s="1998" customFormat="1">
      <c r="A372" s="3205"/>
      <c r="C372" s="3206"/>
      <c r="E372" s="3205"/>
    </row>
    <row r="373" spans="1:5" s="1998" customFormat="1">
      <c r="A373" s="3205"/>
      <c r="C373" s="3206"/>
      <c r="E373" s="3205"/>
    </row>
    <row r="374" spans="1:5" s="1998" customFormat="1">
      <c r="A374" s="3205"/>
      <c r="C374" s="3206"/>
      <c r="E374" s="3205"/>
    </row>
    <row r="375" spans="1:5" s="1998" customFormat="1">
      <c r="A375" s="3205"/>
      <c r="C375" s="3206"/>
      <c r="E375" s="3205"/>
    </row>
    <row r="376" spans="1:5" s="1998" customFormat="1">
      <c r="A376" s="3205"/>
      <c r="C376" s="3206"/>
      <c r="E376" s="3205"/>
    </row>
    <row r="377" spans="1:5" s="1998" customFormat="1">
      <c r="A377" s="3205"/>
      <c r="C377" s="3206"/>
      <c r="E377" s="3205"/>
    </row>
    <row r="378" spans="1:5" s="1998" customFormat="1">
      <c r="A378" s="3205"/>
      <c r="C378" s="3206"/>
      <c r="E378" s="3205"/>
    </row>
    <row r="379" spans="1:5" s="1998" customFormat="1">
      <c r="A379" s="3205"/>
      <c r="C379" s="3206"/>
      <c r="E379" s="3205"/>
    </row>
    <row r="380" spans="1:5" s="1998" customFormat="1">
      <c r="A380" s="3205"/>
      <c r="C380" s="3206"/>
      <c r="E380" s="3205"/>
    </row>
    <row r="381" spans="1:5" s="1998" customFormat="1">
      <c r="A381" s="3205"/>
      <c r="C381" s="3206"/>
      <c r="E381" s="3205"/>
    </row>
    <row r="382" spans="1:5" s="1998" customFormat="1">
      <c r="A382" s="3205"/>
      <c r="C382" s="3206"/>
      <c r="E382" s="3205"/>
    </row>
    <row r="383" spans="1:5" s="1998" customFormat="1">
      <c r="A383" s="3205"/>
      <c r="C383" s="3206"/>
      <c r="E383" s="3205"/>
    </row>
    <row r="384" spans="1:5" s="1998" customFormat="1">
      <c r="A384" s="3205"/>
      <c r="C384" s="3206"/>
      <c r="E384" s="3205"/>
    </row>
    <row r="385" spans="1:5" s="1998" customFormat="1">
      <c r="A385" s="3205"/>
      <c r="C385" s="3206"/>
      <c r="E385" s="3205"/>
    </row>
    <row r="386" spans="1:5" s="1998" customFormat="1">
      <c r="A386" s="3205"/>
      <c r="C386" s="3206"/>
      <c r="E386" s="3205"/>
    </row>
    <row r="387" spans="1:5" s="1998" customFormat="1">
      <c r="A387" s="3205"/>
      <c r="C387" s="3206"/>
      <c r="E387" s="3205"/>
    </row>
    <row r="388" spans="1:5" s="1998" customFormat="1">
      <c r="A388" s="3205"/>
      <c r="C388" s="3206"/>
      <c r="E388" s="3205"/>
    </row>
    <row r="389" spans="1:5" s="1998" customFormat="1">
      <c r="A389" s="3205"/>
      <c r="C389" s="3206"/>
      <c r="E389" s="3205"/>
    </row>
    <row r="390" spans="1:5" s="1998" customFormat="1">
      <c r="A390" s="3205"/>
      <c r="C390" s="3206"/>
      <c r="E390" s="3205"/>
    </row>
    <row r="391" spans="1:5" s="1998" customFormat="1">
      <c r="A391" s="3205"/>
      <c r="C391" s="3206"/>
      <c r="E391" s="3205"/>
    </row>
    <row r="392" spans="1:5" s="1998" customFormat="1">
      <c r="A392" s="3205"/>
      <c r="C392" s="3206"/>
      <c r="E392" s="3205"/>
    </row>
    <row r="393" spans="1:5" s="1998" customFormat="1">
      <c r="A393" s="3205"/>
      <c r="C393" s="3206"/>
      <c r="E393" s="3205"/>
    </row>
    <row r="394" spans="1:5" s="1998" customFormat="1">
      <c r="A394" s="3205"/>
      <c r="C394" s="3206"/>
      <c r="E394" s="3205"/>
    </row>
    <row r="395" spans="1:5" s="1998" customFormat="1">
      <c r="A395" s="3205"/>
      <c r="C395" s="3206"/>
      <c r="E395" s="3205"/>
    </row>
    <row r="396" spans="1:5" s="1998" customFormat="1">
      <c r="A396" s="3205"/>
      <c r="C396" s="3206"/>
      <c r="E396" s="3205"/>
    </row>
    <row r="397" spans="1:5" s="1998" customFormat="1">
      <c r="A397" s="3205"/>
      <c r="C397" s="3206"/>
      <c r="E397" s="3205"/>
    </row>
    <row r="398" spans="1:5" s="1998" customFormat="1">
      <c r="A398" s="3205"/>
      <c r="C398" s="3206"/>
      <c r="E398" s="3205"/>
    </row>
    <row r="399" spans="1:5" s="1998" customFormat="1">
      <c r="A399" s="3205"/>
      <c r="C399" s="3206"/>
      <c r="E399" s="3205"/>
    </row>
    <row r="400" spans="1:5" s="1998" customFormat="1">
      <c r="A400" s="3205"/>
      <c r="C400" s="3206"/>
      <c r="E400" s="3205"/>
    </row>
    <row r="401" spans="1:5" s="1998" customFormat="1">
      <c r="A401" s="3205"/>
      <c r="C401" s="3206"/>
      <c r="E401" s="3205"/>
    </row>
    <row r="402" spans="1:5" s="1998" customFormat="1">
      <c r="A402" s="3205"/>
      <c r="C402" s="3206"/>
      <c r="E402" s="3205"/>
    </row>
    <row r="403" spans="1:5" s="1998" customFormat="1">
      <c r="A403" s="3205"/>
      <c r="C403" s="3206"/>
      <c r="E403" s="3205"/>
    </row>
    <row r="404" spans="1:5" s="1998" customFormat="1">
      <c r="A404" s="3205"/>
      <c r="C404" s="3206"/>
      <c r="E404" s="3205"/>
    </row>
    <row r="405" spans="1:5" s="1998" customFormat="1">
      <c r="A405" s="3205"/>
      <c r="C405" s="3206"/>
      <c r="E405" s="3205"/>
    </row>
    <row r="406" spans="1:5" s="1998" customFormat="1">
      <c r="A406" s="3205"/>
      <c r="C406" s="3206"/>
      <c r="E406" s="3205"/>
    </row>
    <row r="407" spans="1:5" s="1998" customFormat="1">
      <c r="A407" s="3205"/>
      <c r="C407" s="3206"/>
      <c r="E407" s="3205"/>
    </row>
    <row r="408" spans="1:5" s="1998" customFormat="1">
      <c r="A408" s="3205"/>
      <c r="C408" s="3206"/>
      <c r="E408" s="3205"/>
    </row>
    <row r="409" spans="1:5" s="1998" customFormat="1">
      <c r="A409" s="3205"/>
      <c r="C409" s="3206"/>
      <c r="E409" s="3205"/>
    </row>
    <row r="410" spans="1:5" s="1998" customFormat="1">
      <c r="A410" s="3205"/>
      <c r="C410" s="3206"/>
      <c r="E410" s="3205"/>
    </row>
    <row r="411" spans="1:5" s="1998" customFormat="1">
      <c r="A411" s="3205"/>
      <c r="C411" s="3206"/>
      <c r="E411" s="3205"/>
    </row>
    <row r="412" spans="1:5" s="1998" customFormat="1">
      <c r="A412" s="3205"/>
      <c r="C412" s="3206"/>
      <c r="E412" s="3205"/>
    </row>
    <row r="413" spans="1:5" s="1998" customFormat="1">
      <c r="A413" s="3205"/>
      <c r="C413" s="3206"/>
      <c r="E413" s="3205"/>
    </row>
    <row r="414" spans="1:5" s="1998" customFormat="1">
      <c r="A414" s="3205"/>
      <c r="C414" s="3206"/>
      <c r="E414" s="3205"/>
    </row>
    <row r="415" spans="1:5" s="1998" customFormat="1">
      <c r="A415" s="3205"/>
      <c r="C415" s="3206"/>
      <c r="E415" s="3205"/>
    </row>
    <row r="416" spans="1:5" s="1998" customFormat="1">
      <c r="A416" s="3205"/>
      <c r="C416" s="3206"/>
      <c r="E416" s="3205"/>
    </row>
    <row r="417" spans="1:5" s="1998" customFormat="1">
      <c r="A417" s="3205"/>
      <c r="C417" s="3206"/>
      <c r="E417" s="3205"/>
    </row>
    <row r="418" spans="1:5" s="1998" customFormat="1">
      <c r="A418" s="3205"/>
      <c r="C418" s="3206"/>
      <c r="E418" s="3205"/>
    </row>
    <row r="419" spans="1:5" s="1998" customFormat="1">
      <c r="A419" s="3205"/>
      <c r="C419" s="3206"/>
      <c r="E419" s="3205"/>
    </row>
    <row r="420" spans="1:5" s="1998" customFormat="1">
      <c r="A420" s="3205"/>
      <c r="C420" s="3206"/>
      <c r="E420" s="3205"/>
    </row>
    <row r="421" spans="1:5" s="1998" customFormat="1">
      <c r="A421" s="3205"/>
      <c r="C421" s="3206"/>
      <c r="E421" s="3205"/>
    </row>
    <row r="422" spans="1:5" s="1998" customFormat="1">
      <c r="A422" s="3205"/>
      <c r="C422" s="3206"/>
      <c r="E422" s="3205"/>
    </row>
    <row r="423" spans="1:5" s="1998" customFormat="1">
      <c r="A423" s="3205"/>
      <c r="C423" s="3206"/>
      <c r="E423" s="3205"/>
    </row>
    <row r="424" spans="1:5" s="1998" customFormat="1">
      <c r="A424" s="3205"/>
      <c r="C424" s="3206"/>
      <c r="E424" s="3205"/>
    </row>
    <row r="425" spans="1:5" s="1998" customFormat="1">
      <c r="A425" s="3205"/>
      <c r="C425" s="3206"/>
      <c r="E425" s="3205"/>
    </row>
    <row r="426" spans="1:5" s="1998" customFormat="1">
      <c r="A426" s="3205"/>
      <c r="C426" s="3206"/>
      <c r="E426" s="3205"/>
    </row>
    <row r="427" spans="1:5" s="1998" customFormat="1">
      <c r="A427" s="3205"/>
      <c r="C427" s="3206"/>
      <c r="E427" s="3205"/>
    </row>
    <row r="428" spans="1:5" s="1998" customFormat="1">
      <c r="A428" s="3205"/>
      <c r="C428" s="3206"/>
      <c r="E428" s="3205"/>
    </row>
    <row r="429" spans="1:5" s="1998" customFormat="1">
      <c r="A429" s="3205"/>
      <c r="C429" s="3206"/>
      <c r="E429" s="3205"/>
    </row>
    <row r="430" spans="1:5" s="1998" customFormat="1">
      <c r="A430" s="3205"/>
      <c r="C430" s="3206"/>
      <c r="E430" s="3205"/>
    </row>
    <row r="431" spans="1:5" s="1998" customFormat="1">
      <c r="A431" s="3205"/>
      <c r="C431" s="3206"/>
      <c r="E431" s="3205"/>
    </row>
    <row r="432" spans="1:5" s="1998" customFormat="1">
      <c r="A432" s="3205"/>
      <c r="C432" s="3206"/>
      <c r="E432" s="3205"/>
    </row>
    <row r="433" spans="1:5" s="1998" customFormat="1">
      <c r="A433" s="3205"/>
      <c r="C433" s="3206"/>
      <c r="E433" s="3205"/>
    </row>
    <row r="434" spans="1:5" s="1998" customFormat="1">
      <c r="A434" s="3205"/>
      <c r="C434" s="3206"/>
      <c r="E434" s="3205"/>
    </row>
    <row r="435" spans="1:5" s="1998" customFormat="1">
      <c r="A435" s="3205"/>
      <c r="C435" s="3206"/>
      <c r="E435" s="3205"/>
    </row>
    <row r="436" spans="1:5" s="1998" customFormat="1">
      <c r="A436" s="3205"/>
      <c r="C436" s="3206"/>
      <c r="E436" s="3205"/>
    </row>
    <row r="437" spans="1:5" s="1998" customFormat="1">
      <c r="A437" s="3205"/>
      <c r="C437" s="3206"/>
      <c r="E437" s="3205"/>
    </row>
    <row r="438" spans="1:5" s="1998" customFormat="1">
      <c r="A438" s="3205"/>
      <c r="C438" s="3206"/>
      <c r="E438" s="3205"/>
    </row>
    <row r="439" spans="1:5" s="1998" customFormat="1">
      <c r="A439" s="3205"/>
      <c r="C439" s="3206"/>
      <c r="E439" s="3205"/>
    </row>
    <row r="440" spans="1:5" s="1998" customFormat="1">
      <c r="A440" s="3205"/>
      <c r="C440" s="3206"/>
      <c r="E440" s="3205"/>
    </row>
    <row r="441" spans="1:5" s="1998" customFormat="1">
      <c r="A441" s="3205"/>
      <c r="C441" s="3206"/>
      <c r="E441" s="3205"/>
    </row>
    <row r="442" spans="1:5" s="1998" customFormat="1">
      <c r="A442" s="3205"/>
      <c r="C442" s="3206"/>
      <c r="E442" s="3205"/>
    </row>
    <row r="443" spans="1:5" s="1998" customFormat="1">
      <c r="A443" s="3205"/>
      <c r="C443" s="3206"/>
      <c r="E443" s="3205"/>
    </row>
    <row r="444" spans="1:5" s="1998" customFormat="1">
      <c r="A444" s="3205"/>
      <c r="C444" s="3206"/>
      <c r="E444" s="3205"/>
    </row>
    <row r="445" spans="1:5" s="1998" customFormat="1">
      <c r="A445" s="3205"/>
      <c r="C445" s="3206"/>
      <c r="E445" s="3205"/>
    </row>
    <row r="446" spans="1:5" s="1998" customFormat="1">
      <c r="A446" s="3205"/>
      <c r="C446" s="3206"/>
      <c r="E446" s="3205"/>
    </row>
    <row r="447" spans="1:5" s="1998" customFormat="1">
      <c r="A447" s="3205"/>
      <c r="C447" s="3206"/>
      <c r="E447" s="3205"/>
    </row>
    <row r="448" spans="1:5" s="1998" customFormat="1">
      <c r="A448" s="3205"/>
      <c r="C448" s="3206"/>
      <c r="E448" s="3205"/>
    </row>
    <row r="449" spans="1:5" s="1998" customFormat="1">
      <c r="A449" s="3205"/>
      <c r="C449" s="3206"/>
      <c r="E449" s="3205"/>
    </row>
    <row r="450" spans="1:5" s="1998" customFormat="1">
      <c r="A450" s="3205"/>
      <c r="C450" s="3206"/>
      <c r="E450" s="3205"/>
    </row>
    <row r="451" spans="1:5" s="1998" customFormat="1">
      <c r="A451" s="3205"/>
      <c r="C451" s="3206"/>
      <c r="E451" s="3205"/>
    </row>
    <row r="452" spans="1:5" s="1998" customFormat="1">
      <c r="A452" s="3205"/>
      <c r="C452" s="3206"/>
      <c r="E452" s="3205"/>
    </row>
    <row r="453" spans="1:5" s="1998" customFormat="1">
      <c r="A453" s="3205"/>
      <c r="C453" s="3206"/>
      <c r="E453" s="3205"/>
    </row>
    <row r="454" spans="1:5" s="1998" customFormat="1">
      <c r="A454" s="3205"/>
      <c r="C454" s="3206"/>
      <c r="E454" s="3205"/>
    </row>
    <row r="455" spans="1:5" s="1998" customFormat="1">
      <c r="A455" s="3205"/>
      <c r="C455" s="3206"/>
      <c r="E455" s="3205"/>
    </row>
    <row r="456" spans="1:5" s="1998" customFormat="1">
      <c r="A456" s="3205"/>
      <c r="C456" s="3206"/>
      <c r="E456" s="3205"/>
    </row>
    <row r="457" spans="1:5" s="1998" customFormat="1">
      <c r="A457" s="3205"/>
      <c r="C457" s="3206"/>
      <c r="E457" s="3205"/>
    </row>
    <row r="458" spans="1:5" s="1998" customFormat="1">
      <c r="A458" s="3205"/>
      <c r="C458" s="3206"/>
      <c r="E458" s="3205"/>
    </row>
    <row r="459" spans="1:5" s="1998" customFormat="1">
      <c r="A459" s="3205"/>
      <c r="C459" s="3206"/>
      <c r="E459" s="3205"/>
    </row>
    <row r="460" spans="1:5" s="1998" customFormat="1">
      <c r="A460" s="3205"/>
      <c r="C460" s="3206"/>
      <c r="E460" s="3205"/>
    </row>
    <row r="461" spans="1:5" s="1998" customFormat="1">
      <c r="A461" s="3205"/>
      <c r="C461" s="3206"/>
      <c r="E461" s="3205"/>
    </row>
    <row r="462" spans="1:5" s="1998" customFormat="1">
      <c r="A462" s="3205"/>
      <c r="C462" s="3206"/>
      <c r="E462" s="3205"/>
    </row>
    <row r="463" spans="1:5" s="1998" customFormat="1">
      <c r="A463" s="3205"/>
      <c r="C463" s="3206"/>
      <c r="E463" s="3205"/>
    </row>
    <row r="464" spans="1:5" s="1998" customFormat="1">
      <c r="A464" s="3205"/>
      <c r="C464" s="3206"/>
      <c r="E464" s="3205"/>
    </row>
    <row r="465" spans="1:5" s="1998" customFormat="1">
      <c r="A465" s="3205"/>
      <c r="C465" s="3206"/>
      <c r="E465" s="3205"/>
    </row>
    <row r="466" spans="1:5" s="1998" customFormat="1">
      <c r="A466" s="3205"/>
      <c r="C466" s="3206"/>
      <c r="E466" s="3205"/>
    </row>
    <row r="467" spans="1:5" s="1998" customFormat="1">
      <c r="A467" s="3205"/>
      <c r="C467" s="3206"/>
      <c r="E467" s="3205"/>
    </row>
    <row r="468" spans="1:5" s="1998" customFormat="1">
      <c r="A468" s="3205"/>
      <c r="C468" s="3206"/>
      <c r="E468" s="3205"/>
    </row>
    <row r="469" spans="1:5" s="1998" customFormat="1">
      <c r="A469" s="3205"/>
      <c r="C469" s="3206"/>
      <c r="E469" s="3205"/>
    </row>
    <row r="470" spans="1:5" s="1998" customFormat="1">
      <c r="A470" s="3205"/>
      <c r="C470" s="3206"/>
      <c r="E470" s="3205"/>
    </row>
    <row r="471" spans="1:5" s="1998" customFormat="1">
      <c r="A471" s="3205"/>
      <c r="C471" s="3206"/>
      <c r="E471" s="3205"/>
    </row>
    <row r="472" spans="1:5" s="1998" customFormat="1">
      <c r="A472" s="3205"/>
      <c r="C472" s="3206"/>
      <c r="E472" s="3205"/>
    </row>
    <row r="473" spans="1:5" s="1998" customFormat="1">
      <c r="A473" s="3205"/>
      <c r="C473" s="3206"/>
      <c r="E473" s="3205"/>
    </row>
    <row r="474" spans="1:5" s="1998" customFormat="1">
      <c r="A474" s="3205"/>
      <c r="C474" s="3206"/>
      <c r="E474" s="3205"/>
    </row>
    <row r="475" spans="1:5" s="1998" customFormat="1">
      <c r="A475" s="3205"/>
      <c r="C475" s="3206"/>
      <c r="E475" s="3205"/>
    </row>
    <row r="476" spans="1:5" s="1998" customFormat="1">
      <c r="A476" s="3205"/>
      <c r="C476" s="3206"/>
      <c r="E476" s="3205"/>
    </row>
    <row r="477" spans="1:5" s="1998" customFormat="1">
      <c r="A477" s="3205"/>
      <c r="C477" s="3206"/>
      <c r="E477" s="3205"/>
    </row>
    <row r="478" spans="1:5" s="1998" customFormat="1">
      <c r="A478" s="3205"/>
      <c r="C478" s="3206"/>
      <c r="E478" s="3205"/>
    </row>
    <row r="479" spans="1:5" s="1998" customFormat="1">
      <c r="A479" s="3205"/>
      <c r="C479" s="3206"/>
      <c r="E479" s="3205"/>
    </row>
    <row r="480" spans="1:5" s="1998" customFormat="1">
      <c r="A480" s="3205"/>
      <c r="C480" s="3206"/>
      <c r="E480" s="3205"/>
    </row>
    <row r="481" spans="1:5" s="1998" customFormat="1">
      <c r="A481" s="3205"/>
      <c r="C481" s="3206"/>
      <c r="E481" s="3205"/>
    </row>
    <row r="482" spans="1:5" s="1998" customFormat="1">
      <c r="A482" s="3205"/>
      <c r="C482" s="3206"/>
      <c r="E482" s="3205"/>
    </row>
    <row r="483" spans="1:5" s="1998" customFormat="1">
      <c r="A483" s="3205"/>
      <c r="C483" s="3206"/>
      <c r="E483" s="3205"/>
    </row>
    <row r="484" spans="1:5" s="1998" customFormat="1">
      <c r="A484" s="3205"/>
      <c r="C484" s="3206"/>
      <c r="E484" s="3205"/>
    </row>
    <row r="485" spans="1:5" s="1998" customFormat="1">
      <c r="A485" s="3205"/>
      <c r="C485" s="3206"/>
      <c r="E485" s="3205"/>
    </row>
    <row r="486" spans="1:5" s="1998" customFormat="1">
      <c r="A486" s="3205"/>
      <c r="C486" s="3206"/>
      <c r="E486" s="3205"/>
    </row>
    <row r="487" spans="1:5" s="1998" customFormat="1">
      <c r="A487" s="3205"/>
      <c r="C487" s="3206"/>
      <c r="E487" s="3205"/>
    </row>
    <row r="488" spans="1:5" s="1998" customFormat="1">
      <c r="A488" s="3205"/>
      <c r="C488" s="3206"/>
      <c r="E488" s="3205"/>
    </row>
    <row r="489" spans="1:5" s="1998" customFormat="1">
      <c r="A489" s="3205"/>
      <c r="C489" s="3206"/>
      <c r="E489" s="3205"/>
    </row>
    <row r="490" spans="1:5" s="1998"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7"/>
      <c r="M6" s="3197"/>
      <c r="N6" s="3197"/>
      <c r="O6" s="3197"/>
      <c r="P6" s="3197"/>
      <c r="Q6" s="3197"/>
      <c r="R6" s="3197"/>
      <c r="S6" s="3197"/>
      <c r="T6" s="3197"/>
      <c r="U6" s="3197"/>
      <c r="V6" s="3197"/>
      <c r="W6" s="3197"/>
      <c r="X6" s="3197"/>
      <c r="Y6" s="3197"/>
      <c r="Z6" s="3197"/>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8"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9" customFormat="1" ht="13.5" customHeight="1">
      <c r="A13" s="1562" t="s">
        <v>1839</v>
      </c>
      <c r="B13" s="443" t="s">
        <v>473</v>
      </c>
      <c r="C13" s="444">
        <f ca="1">IF(B1="",'数据-取费表'!M16,INDIRECT("'数据-取费表'!M"&amp;$K$1)+INDIRECT("'数据-取费表'!t"&amp;$K$1))</f>
        <v>27466</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1373</v>
      </c>
      <c r="D14" s="445"/>
      <c r="E14" s="363"/>
      <c r="F14" s="447">
        <f>'数据-取费表'!B33</f>
        <v>0.05</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0.1</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1485</v>
      </c>
      <c r="D16" s="445">
        <f ca="1">IF(B1="",'数据-汇总表'!E3,INDIRECT("'数据-取费表'!K"&amp;$K$1)+INDIRECT("'数据-取费表'!S"&amp;$K$1))</f>
        <v>74233.119999999995</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412</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30736</v>
      </c>
      <c r="D18" s="455"/>
      <c r="E18" s="456"/>
      <c r="F18" s="456"/>
      <c r="G18" s="1281" t="s">
        <v>2415</v>
      </c>
      <c r="H18" s="441"/>
      <c r="I18" s="441"/>
      <c r="J18" s="441"/>
      <c r="K18" s="442"/>
      <c r="L18" s="3200"/>
      <c r="M18" s="3200"/>
      <c r="N18" s="3200"/>
      <c r="O18" s="3200"/>
      <c r="P18" s="3200"/>
      <c r="Q18" s="3200"/>
      <c r="R18" s="3200"/>
      <c r="S18" s="3200"/>
      <c r="T18" s="3200"/>
      <c r="U18" s="3200"/>
      <c r="V18" s="3200"/>
      <c r="W18" s="3200"/>
      <c r="X18" s="3200"/>
      <c r="Y18" s="3200"/>
      <c r="Z18" s="3200"/>
    </row>
    <row r="19" spans="1:26" s="2002" customFormat="1" ht="13.5" customHeight="1">
      <c r="A19" s="1563" t="s">
        <v>1845</v>
      </c>
      <c r="B19" s="453" t="s">
        <v>487</v>
      </c>
      <c r="C19" s="454">
        <f ca="1">ROUND(C18*F19,0)</f>
        <v>922</v>
      </c>
      <c r="D19" s="456"/>
      <c r="E19" s="456"/>
      <c r="F19" s="460">
        <f>'数据-取费表'!B37</f>
        <v>0.03</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2" customFormat="1" ht="13.5" customHeight="1">
      <c r="A20" s="1563" t="s">
        <v>1846</v>
      </c>
      <c r="B20" s="453" t="s">
        <v>498</v>
      </c>
      <c r="C20" s="2744">
        <f>F20</f>
        <v>0.03</v>
      </c>
      <c r="D20" s="463" t="s">
        <v>499</v>
      </c>
      <c r="E20" s="463"/>
      <c r="F20" s="480">
        <f>'数据-取费表'!B38</f>
        <v>0.03</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4" customFormat="1" ht="13.5" customHeight="1">
      <c r="A21" s="1563" t="s">
        <v>1849</v>
      </c>
      <c r="B21" s="455" t="s">
        <v>488</v>
      </c>
      <c r="C21" s="464">
        <f ca="1">C22</f>
        <v>1504</v>
      </c>
      <c r="D21" s="461">
        <f ca="1">C23</f>
        <v>1.4E-3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2436</v>
      </c>
      <c r="M21" s="3209"/>
      <c r="N21" s="3209"/>
      <c r="O21" s="3209"/>
      <c r="P21" s="3209"/>
      <c r="Q21" s="3202"/>
      <c r="R21" s="3202"/>
      <c r="S21" s="3202"/>
      <c r="T21" s="3202"/>
      <c r="U21" s="3202"/>
      <c r="V21" s="3202"/>
      <c r="W21" s="3202"/>
      <c r="X21" s="3202"/>
      <c r="Y21" s="3202"/>
      <c r="Z21" s="3202"/>
    </row>
    <row r="22" spans="1:26" s="2003" customFormat="1" ht="13.5" customHeight="1">
      <c r="A22" s="1562" t="s">
        <v>1839</v>
      </c>
      <c r="B22" s="1282" t="s">
        <v>2418</v>
      </c>
      <c r="C22" s="481">
        <f ca="1">ROUND(IF('数据-取费表'!B22&lt;=1,(C18+C19)*F21*'数据-取费表'!B20/2,(C18+C19)*(POWER((1+F21),'数据-取费表'!B20/2)-1)),0)</f>
        <v>1504</v>
      </c>
      <c r="D22" s="466"/>
      <c r="E22" s="467"/>
      <c r="F22" s="468"/>
      <c r="G22" s="2421"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3" customFormat="1" ht="13.5" customHeight="1">
      <c r="A23" s="1562" t="s">
        <v>1840</v>
      </c>
      <c r="B23" s="1282" t="s">
        <v>502</v>
      </c>
      <c r="C23" s="482">
        <f ca="1">ROUND(IF('数据-取费表'!B22&lt;=1,F20*F21*'数据-取费表'!B20/2,F20*(POWER((1+F21),'数据-取费表'!B20/2)-1)),4)</f>
        <v>1.4E-3</v>
      </c>
      <c r="D23" s="466"/>
      <c r="E23" s="467"/>
      <c r="F23" s="468"/>
      <c r="G23" s="2421"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3" customFormat="1" ht="13.5" customHeight="1">
      <c r="A24" s="1563" t="s">
        <v>1850</v>
      </c>
      <c r="B24" s="2746" t="s">
        <v>2811</v>
      </c>
      <c r="C24" s="472">
        <f ca="1">C25</f>
        <v>7915</v>
      </c>
      <c r="D24" s="483">
        <f ca="1">C26</f>
        <v>7.4999999999999997E-3</v>
      </c>
      <c r="E24" s="463" t="s">
        <v>501</v>
      </c>
      <c r="F24" s="473">
        <f ca="1">IF(B1="",'数据-取费表'!Q16,INDIRECT("'数据-取费表'!q"&amp;$K$1))</f>
        <v>0.25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3" customFormat="1" ht="13.5" customHeight="1">
      <c r="A25" s="1562" t="s">
        <v>1839</v>
      </c>
      <c r="B25" s="1282" t="s">
        <v>2419</v>
      </c>
      <c r="C25" s="484">
        <f ca="1">ROUND((C18+C19)*F24,0)</f>
        <v>7915</v>
      </c>
      <c r="D25" s="466"/>
      <c r="E25" s="467"/>
      <c r="F25" s="474"/>
      <c r="G25" s="1280" t="s">
        <v>2416</v>
      </c>
      <c r="H25" s="451"/>
      <c r="I25" s="451"/>
      <c r="J25" s="451"/>
      <c r="K25" s="452"/>
      <c r="L25" s="3201"/>
      <c r="M25" s="3201"/>
      <c r="N25" s="3201"/>
      <c r="O25" s="3201"/>
      <c r="P25" s="3201"/>
      <c r="Q25" s="3201"/>
      <c r="R25" s="3201"/>
      <c r="S25" s="3201"/>
      <c r="T25" s="3201"/>
      <c r="U25" s="3201"/>
      <c r="V25" s="3201"/>
      <c r="W25" s="3201"/>
      <c r="X25" s="3201"/>
      <c r="Y25" s="3201"/>
      <c r="Z25" s="3201"/>
    </row>
    <row r="26" spans="1:26" s="2003" customFormat="1" ht="13.5" customHeight="1">
      <c r="A26" s="1562" t="s">
        <v>1840</v>
      </c>
      <c r="B26" s="1282" t="s">
        <v>503</v>
      </c>
      <c r="C26" s="485">
        <f ca="1">ROUND(F20*F24,4)</f>
        <v>7.4999999999999997E-3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3" customFormat="1" ht="13.5" customHeight="1">
      <c r="A27" s="1566" t="s">
        <v>1858</v>
      </c>
      <c r="B27" s="453" t="s">
        <v>505</v>
      </c>
      <c r="C27" s="2745">
        <f>ROUND(F27/(1+'数据-取费表'!C42),4)</f>
        <v>5.2400000000000002E-2</v>
      </c>
      <c r="D27" s="456" t="s">
        <v>2809</v>
      </c>
      <c r="E27" s="456"/>
      <c r="F27" s="460">
        <f>'数据-取费表'!B41</f>
        <v>5.5000000000000007E-2</v>
      </c>
      <c r="G27" s="1875" t="s">
        <v>2278</v>
      </c>
      <c r="H27" s="441"/>
      <c r="I27" s="441"/>
      <c r="J27" s="441"/>
      <c r="K27" s="442"/>
      <c r="L27" s="3201"/>
      <c r="M27" s="3201"/>
      <c r="N27" s="3201"/>
      <c r="O27" s="3201"/>
      <c r="P27" s="3201"/>
      <c r="Q27" s="3201"/>
      <c r="R27" s="3201"/>
      <c r="S27" s="3201"/>
      <c r="T27" s="3201"/>
      <c r="U27" s="3201"/>
      <c r="V27" s="3201"/>
      <c r="W27" s="3201"/>
      <c r="X27" s="3201"/>
      <c r="Y27" s="3201"/>
      <c r="Z27" s="3201"/>
    </row>
    <row r="28" spans="1:26" s="2004" customFormat="1" ht="13.5" customHeight="1">
      <c r="A28" s="1566" t="s">
        <v>1859</v>
      </c>
      <c r="B28" s="470" t="s">
        <v>506</v>
      </c>
      <c r="C28" s="464">
        <f ca="1">ROUND((C18+C19+C21+C24)/(1-C20-D21-D24-C27),0)</f>
        <v>45204</v>
      </c>
      <c r="D28" s="471"/>
      <c r="E28" s="463"/>
      <c r="F28" s="465"/>
      <c r="G28" s="1281" t="s">
        <v>2417</v>
      </c>
      <c r="H28" s="441"/>
      <c r="I28" s="441"/>
      <c r="J28" s="441"/>
      <c r="K28" s="442"/>
      <c r="L28" s="3202"/>
      <c r="M28" s="3202"/>
      <c r="N28" s="3202"/>
      <c r="O28" s="3202"/>
      <c r="P28" s="3202"/>
      <c r="Q28" s="3202"/>
      <c r="R28" s="3202"/>
      <c r="S28" s="3202"/>
      <c r="T28" s="3202"/>
      <c r="U28" s="3202"/>
      <c r="V28" s="3202"/>
      <c r="W28" s="3202"/>
      <c r="X28" s="3202"/>
      <c r="Y28" s="3202"/>
      <c r="Z28" s="3202"/>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4"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9" customFormat="1" ht="13.5" customHeight="1">
      <c r="A31" s="2336"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2924</v>
      </c>
      <c r="H32" s="477"/>
      <c r="I32" s="477"/>
      <c r="J32" s="477"/>
      <c r="K32" s="479"/>
      <c r="L32" s="3198"/>
      <c r="M32" s="3198"/>
      <c r="N32" s="3198"/>
      <c r="O32" s="3198"/>
      <c r="P32" s="3198"/>
      <c r="Q32" s="3198"/>
      <c r="R32" s="3198"/>
      <c r="S32" s="3198"/>
      <c r="T32" s="3198"/>
      <c r="U32" s="3198"/>
      <c r="V32" s="3198"/>
      <c r="W32" s="3198"/>
      <c r="X32" s="3198"/>
      <c r="Y32" s="3198"/>
      <c r="Z32" s="3198"/>
    </row>
    <row r="33" spans="1:5" s="1998" customFormat="1">
      <c r="A33" s="3205"/>
      <c r="C33" s="3206"/>
      <c r="E33" s="3205"/>
    </row>
    <row r="34" spans="1:5" s="1998" customFormat="1" ht="12.75" customHeight="1">
      <c r="A34" s="3205"/>
      <c r="C34" s="3206"/>
      <c r="E34" s="3205"/>
    </row>
    <row r="35" spans="1:5" s="1998" customFormat="1">
      <c r="A35" s="3205"/>
      <c r="C35" s="3206"/>
      <c r="E35" s="3205"/>
    </row>
    <row r="36" spans="1:5" s="1998" customFormat="1">
      <c r="A36" s="3205"/>
      <c r="C36" s="3206"/>
      <c r="E36" s="3205"/>
    </row>
    <row r="37" spans="1:5" s="1998" customFormat="1">
      <c r="A37" s="3205"/>
      <c r="C37" s="3206"/>
      <c r="E37" s="3205"/>
    </row>
    <row r="38" spans="1:5" s="1998" customFormat="1">
      <c r="A38" s="3205"/>
      <c r="C38" s="3206"/>
      <c r="E38" s="3205"/>
    </row>
    <row r="39" spans="1:5" s="1998" customFormat="1">
      <c r="A39" s="3205"/>
      <c r="C39" s="3206"/>
      <c r="E39" s="3205"/>
    </row>
    <row r="40" spans="1:5" s="1998" customFormat="1">
      <c r="A40" s="3205"/>
      <c r="C40" s="3206"/>
      <c r="E40" s="3205"/>
    </row>
    <row r="41" spans="1:5" s="1998" customFormat="1">
      <c r="A41" s="3205"/>
      <c r="C41" s="3206"/>
      <c r="E41" s="3205"/>
    </row>
    <row r="42" spans="1:5" s="1998" customFormat="1">
      <c r="A42" s="3205"/>
      <c r="C42" s="3206"/>
      <c r="E42" s="3205"/>
    </row>
    <row r="43" spans="1:5" s="1998" customFormat="1">
      <c r="A43" s="3205"/>
      <c r="C43" s="3206"/>
      <c r="E43" s="3205"/>
    </row>
    <row r="44" spans="1:5" s="1998" customFormat="1">
      <c r="A44" s="3205"/>
      <c r="C44" s="3206"/>
      <c r="E44" s="3205"/>
    </row>
    <row r="45" spans="1:5" s="1998" customFormat="1">
      <c r="A45" s="3205"/>
      <c r="C45" s="3206"/>
      <c r="E45" s="3205"/>
    </row>
    <row r="46" spans="1:5" s="1998" customFormat="1">
      <c r="A46" s="3205"/>
      <c r="C46" s="3206"/>
      <c r="E46" s="3205"/>
    </row>
    <row r="47" spans="1:5" s="1998" customFormat="1">
      <c r="A47" s="3205"/>
      <c r="C47" s="3206"/>
      <c r="E47" s="3205"/>
    </row>
    <row r="48" spans="1:5"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view="pageBreakPreview" topLeftCell="A7" zoomScale="60" zoomScaleNormal="50" workbookViewId="0">
      <selection activeCell="Q41" sqref="Q41"/>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502" t="e">
        <f>F63</f>
        <v>#DIV/0!</v>
      </c>
      <c r="C2" s="3222"/>
      <c r="D2" s="3222"/>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c r="A3" s="1332" t="s">
        <v>1676</v>
      </c>
      <c r="B3" s="504" t="e">
        <f>ROUND(B2*10000/'数据-汇总表'!E3,0)</f>
        <v>#DIV/0!</v>
      </c>
      <c r="C3" s="3221"/>
      <c r="D3" s="3221"/>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3213"/>
      <c r="AC5" s="1945"/>
    </row>
    <row r="6" spans="1:29" ht="15">
      <c r="A6" s="506" t="s">
        <v>515</v>
      </c>
      <c r="B6" s="507"/>
      <c r="C6" s="3479" t="s">
        <v>516</v>
      </c>
      <c r="D6" s="3480"/>
      <c r="E6" s="3513" t="s">
        <v>517</v>
      </c>
      <c r="F6" s="3514"/>
      <c r="G6" s="3479" t="s">
        <v>518</v>
      </c>
      <c r="H6" s="3480"/>
      <c r="I6" s="3479" t="s">
        <v>519</v>
      </c>
      <c r="J6" s="3480"/>
      <c r="K6" s="508" t="s">
        <v>520</v>
      </c>
      <c r="L6" s="2016"/>
      <c r="M6" s="2017"/>
      <c r="N6" s="2017"/>
      <c r="O6" s="2017"/>
      <c r="P6" s="3481" t="s">
        <v>521</v>
      </c>
      <c r="Q6" s="3482"/>
      <c r="R6" s="3487" t="s">
        <v>517</v>
      </c>
      <c r="S6" s="3488"/>
      <c r="T6" s="3487" t="s">
        <v>518</v>
      </c>
      <c r="U6" s="3488"/>
      <c r="V6" s="3474" t="s">
        <v>519</v>
      </c>
      <c r="W6" s="3474"/>
      <c r="X6" s="1502"/>
      <c r="Y6" s="3487" t="s">
        <v>521</v>
      </c>
      <c r="Z6" s="3488"/>
      <c r="AA6" s="3476" t="s">
        <v>517</v>
      </c>
      <c r="AB6" s="3477" t="s">
        <v>518</v>
      </c>
      <c r="AC6" s="3476" t="s">
        <v>519</v>
      </c>
    </row>
    <row r="7" spans="1:29" ht="15">
      <c r="A7" s="509"/>
      <c r="B7" s="510"/>
      <c r="C7" s="3495" t="s">
        <v>2884</v>
      </c>
      <c r="D7" s="3496"/>
      <c r="E7" s="3515" t="s">
        <v>2885</v>
      </c>
      <c r="F7" s="3516"/>
      <c r="G7" s="3495" t="s">
        <v>2886</v>
      </c>
      <c r="H7" s="3496"/>
      <c r="I7" s="3495" t="s">
        <v>2887</v>
      </c>
      <c r="J7" s="3496"/>
      <c r="K7" s="508"/>
      <c r="L7" s="2016"/>
      <c r="M7" s="2017"/>
      <c r="N7" s="2017"/>
      <c r="O7" s="2017"/>
      <c r="P7" s="3483"/>
      <c r="Q7" s="3484"/>
      <c r="R7" s="3489"/>
      <c r="S7" s="3490"/>
      <c r="T7" s="3489"/>
      <c r="U7" s="3490"/>
      <c r="V7" s="3474"/>
      <c r="W7" s="3474"/>
      <c r="X7" s="1502"/>
      <c r="Y7" s="3489"/>
      <c r="Z7" s="3490"/>
      <c r="AA7" s="3477"/>
      <c r="AB7" s="3477"/>
      <c r="AC7" s="3477"/>
    </row>
    <row r="8" spans="1:29" ht="15.75" thickBot="1">
      <c r="A8" s="511"/>
      <c r="B8" s="512"/>
      <c r="C8" s="3493" t="s">
        <v>2888</v>
      </c>
      <c r="D8" s="3494"/>
      <c r="E8" s="3511" t="s">
        <v>2888</v>
      </c>
      <c r="F8" s="3512"/>
      <c r="G8" s="3493" t="s">
        <v>2888</v>
      </c>
      <c r="H8" s="3494"/>
      <c r="I8" s="3493" t="s">
        <v>2888</v>
      </c>
      <c r="J8" s="3494"/>
      <c r="K8" s="508" t="s">
        <v>522</v>
      </c>
      <c r="L8" s="2016"/>
      <c r="M8" s="2017"/>
      <c r="N8" s="2017"/>
      <c r="O8" s="2017"/>
      <c r="P8" s="3485"/>
      <c r="Q8" s="3486"/>
      <c r="R8" s="3489"/>
      <c r="S8" s="3490"/>
      <c r="T8" s="3491"/>
      <c r="U8" s="3492"/>
      <c r="V8" s="3474"/>
      <c r="W8" s="3474"/>
      <c r="X8" s="1502"/>
      <c r="Y8" s="3491"/>
      <c r="Z8" s="3492"/>
      <c r="AA8" s="3478"/>
      <c r="AB8" s="3478"/>
      <c r="AC8" s="3478"/>
    </row>
    <row r="9" spans="1:29" s="1203" customFormat="1" ht="15.75" thickBot="1">
      <c r="A9" s="2630"/>
      <c r="B9" s="2637" t="s">
        <v>523</v>
      </c>
      <c r="C9" s="513">
        <f>'数据-取费表'!B2</f>
        <v>44070</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504" t="s">
        <v>524</v>
      </c>
      <c r="Q9" s="3506"/>
      <c r="R9" s="1503" t="s">
        <v>8</v>
      </c>
      <c r="S9" s="1504">
        <f t="shared" ref="S9:S17" si="0">F9</f>
        <v>0</v>
      </c>
      <c r="T9" s="1503" t="s">
        <v>8</v>
      </c>
      <c r="U9" s="1504">
        <f t="shared" ref="U9:U17" si="1">H9</f>
        <v>0</v>
      </c>
      <c r="V9" s="1503" t="s">
        <v>8</v>
      </c>
      <c r="W9" s="1504">
        <f t="shared" ref="W9:W17" si="2">J9</f>
        <v>0</v>
      </c>
      <c r="X9" s="1505"/>
      <c r="Y9" s="3504" t="s">
        <v>524</v>
      </c>
      <c r="Z9" s="3505"/>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504" t="s">
        <v>527</v>
      </c>
      <c r="Q10" s="3505"/>
      <c r="R10" s="1503" t="s">
        <v>8</v>
      </c>
      <c r="S10" s="1504">
        <f t="shared" si="0"/>
        <v>0</v>
      </c>
      <c r="T10" s="1503" t="s">
        <v>8</v>
      </c>
      <c r="U10" s="1504">
        <f t="shared" si="1"/>
        <v>0</v>
      </c>
      <c r="V10" s="1503" t="s">
        <v>8</v>
      </c>
      <c r="W10" s="1504">
        <f t="shared" si="2"/>
        <v>0</v>
      </c>
      <c r="X10" s="1505"/>
      <c r="Y10" s="3504" t="s">
        <v>527</v>
      </c>
      <c r="Z10" s="3505"/>
      <c r="AA10" s="1506" t="e">
        <f t="shared" ref="AA10:AA42" si="3">D10/F10</f>
        <v>#DIV/0!</v>
      </c>
      <c r="AB10" s="1506" t="e">
        <f t="shared" ref="AB10:AB42" si="4">D10/H10</f>
        <v>#DIV/0!</v>
      </c>
      <c r="AC10" s="1506" t="e">
        <f t="shared" ref="AC10:AC42" si="5">D10/J10</f>
        <v>#DIV/0!</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73" t="s">
        <v>529</v>
      </c>
      <c r="Q11" s="1134" t="str">
        <f t="shared" ref="Q11:Q17" si="6">B11</f>
        <v>用途</v>
      </c>
      <c r="R11" s="1503" t="s">
        <v>8</v>
      </c>
      <c r="S11" s="1504">
        <f t="shared" si="0"/>
        <v>100</v>
      </c>
      <c r="T11" s="1503" t="s">
        <v>8</v>
      </c>
      <c r="U11" s="1504">
        <f t="shared" si="1"/>
        <v>100</v>
      </c>
      <c r="V11" s="1503" t="s">
        <v>8</v>
      </c>
      <c r="W11" s="1504">
        <f t="shared" si="2"/>
        <v>100</v>
      </c>
      <c r="X11" s="1505"/>
      <c r="Y11" s="3419" t="s">
        <v>530</v>
      </c>
      <c r="Z11" s="1133" t="str">
        <f t="shared" ref="Z11:Z17" si="7">Q11</f>
        <v>用途</v>
      </c>
      <c r="AA11" s="1506">
        <f t="shared" si="3"/>
        <v>1</v>
      </c>
      <c r="AB11" s="1506">
        <f t="shared" si="4"/>
        <v>1</v>
      </c>
      <c r="AC11" s="1506">
        <f t="shared" si="5"/>
        <v>1</v>
      </c>
    </row>
    <row r="12" spans="1:29" s="1292" customFormat="1" ht="27">
      <c r="A12" s="2633"/>
      <c r="B12" s="2638" t="s">
        <v>2737</v>
      </c>
      <c r="C12" s="522"/>
      <c r="D12" s="253">
        <v>100</v>
      </c>
      <c r="E12" s="522"/>
      <c r="F12" s="253">
        <f>ROUND(100/'数据-取费表'!G16,0)</f>
        <v>102</v>
      </c>
      <c r="G12" s="522"/>
      <c r="H12" s="253">
        <f>ROUND(100/'数据-取费表'!G16,0)</f>
        <v>102</v>
      </c>
      <c r="I12" s="522"/>
      <c r="J12" s="253">
        <f>ROUND(100/'数据-取费表'!G16,0)</f>
        <v>102</v>
      </c>
      <c r="K12" s="525"/>
      <c r="L12" s="2021"/>
      <c r="M12" s="2060"/>
      <c r="N12" s="2060"/>
      <c r="O12" s="2022"/>
      <c r="P12" s="3473"/>
      <c r="Q12" s="1134" t="str">
        <f t="shared" si="6"/>
        <v>土地使用年限（年）</v>
      </c>
      <c r="R12" s="1503" t="s">
        <v>8</v>
      </c>
      <c r="S12" s="1504">
        <f t="shared" si="0"/>
        <v>102</v>
      </c>
      <c r="T12" s="1503" t="s">
        <v>8</v>
      </c>
      <c r="U12" s="1504">
        <f t="shared" si="1"/>
        <v>102</v>
      </c>
      <c r="V12" s="1503" t="s">
        <v>8</v>
      </c>
      <c r="W12" s="1504">
        <f t="shared" si="2"/>
        <v>102</v>
      </c>
      <c r="X12" s="1505"/>
      <c r="Y12" s="3419"/>
      <c r="Z12" s="1133" t="str">
        <f t="shared" si="7"/>
        <v>土地使用年限（年）</v>
      </c>
      <c r="AA12" s="1506">
        <f t="shared" si="3"/>
        <v>0.98039215686274506</v>
      </c>
      <c r="AB12" s="1506">
        <f t="shared" si="4"/>
        <v>0.98039215686274506</v>
      </c>
      <c r="AC12" s="1506">
        <f t="shared" si="5"/>
        <v>0.98039215686274506</v>
      </c>
    </row>
    <row r="13" spans="1:29" ht="15">
      <c r="A13" s="2634"/>
      <c r="B13" s="2638"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73"/>
      <c r="Q13" s="1134" t="str">
        <f t="shared" si="6"/>
        <v>容积率</v>
      </c>
      <c r="R13" s="1503" t="s">
        <v>8</v>
      </c>
      <c r="S13" s="1504" t="e">
        <f t="shared" si="0"/>
        <v>#N/A</v>
      </c>
      <c r="T13" s="1503" t="s">
        <v>8</v>
      </c>
      <c r="U13" s="1504" t="e">
        <f t="shared" si="1"/>
        <v>#N/A</v>
      </c>
      <c r="V13" s="1503" t="s">
        <v>8</v>
      </c>
      <c r="W13" s="1504" t="e">
        <f t="shared" si="2"/>
        <v>#N/A</v>
      </c>
      <c r="X13" s="1505"/>
      <c r="Y13" s="3419"/>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73"/>
      <c r="Q14" s="1134">
        <f t="shared" si="6"/>
        <v>111</v>
      </c>
      <c r="R14" s="1503" t="s">
        <v>8</v>
      </c>
      <c r="S14" s="1504">
        <f t="shared" si="0"/>
        <v>100</v>
      </c>
      <c r="T14" s="1503" t="s">
        <v>8</v>
      </c>
      <c r="U14" s="1504">
        <f t="shared" si="1"/>
        <v>100</v>
      </c>
      <c r="V14" s="1503" t="s">
        <v>8</v>
      </c>
      <c r="W14" s="1504">
        <f t="shared" si="2"/>
        <v>100</v>
      </c>
      <c r="X14" s="1505"/>
      <c r="Y14" s="3419"/>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73"/>
      <c r="Q15" s="1134">
        <f t="shared" si="6"/>
        <v>111</v>
      </c>
      <c r="R15" s="1503" t="s">
        <v>8</v>
      </c>
      <c r="S15" s="1504">
        <f t="shared" si="0"/>
        <v>100</v>
      </c>
      <c r="T15" s="1503" t="s">
        <v>8</v>
      </c>
      <c r="U15" s="1504">
        <f t="shared" si="1"/>
        <v>100</v>
      </c>
      <c r="V15" s="1503" t="s">
        <v>8</v>
      </c>
      <c r="W15" s="1504">
        <f t="shared" si="2"/>
        <v>100</v>
      </c>
      <c r="X15" s="1505"/>
      <c r="Y15" s="3419"/>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73"/>
      <c r="Q16" s="1134">
        <f t="shared" si="6"/>
        <v>111</v>
      </c>
      <c r="R16" s="1503" t="s">
        <v>8</v>
      </c>
      <c r="S16" s="1504">
        <f t="shared" si="0"/>
        <v>100</v>
      </c>
      <c r="T16" s="1503" t="s">
        <v>8</v>
      </c>
      <c r="U16" s="1504">
        <f t="shared" si="1"/>
        <v>100</v>
      </c>
      <c r="V16" s="1503" t="s">
        <v>8</v>
      </c>
      <c r="W16" s="1504">
        <f t="shared" si="2"/>
        <v>100</v>
      </c>
      <c r="X16" s="1505"/>
      <c r="Y16" s="3419"/>
      <c r="Z16" s="1133">
        <f t="shared" si="7"/>
        <v>111</v>
      </c>
      <c r="AA16" s="1506">
        <f t="shared" si="3"/>
        <v>1</v>
      </c>
      <c r="AB16" s="1506">
        <f t="shared" si="4"/>
        <v>1</v>
      </c>
      <c r="AC16" s="1506">
        <f t="shared" si="5"/>
        <v>1</v>
      </c>
    </row>
    <row r="17" spans="1:29" ht="15">
      <c r="A17" s="2628" t="s">
        <v>2734</v>
      </c>
      <c r="B17" s="164" t="s">
        <v>592</v>
      </c>
      <c r="C17" s="910">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507" t="s">
        <v>534</v>
      </c>
      <c r="Q17" s="1507" t="str">
        <f t="shared" si="6"/>
        <v>产业集聚程度</v>
      </c>
      <c r="R17" s="1508" t="s">
        <v>8</v>
      </c>
      <c r="S17" s="1509">
        <f t="shared" si="0"/>
        <v>100</v>
      </c>
      <c r="T17" s="1508" t="s">
        <v>8</v>
      </c>
      <c r="U17" s="1509">
        <f t="shared" si="1"/>
        <v>100</v>
      </c>
      <c r="V17" s="1508" t="s">
        <v>8</v>
      </c>
      <c r="W17" s="1509">
        <f t="shared" si="2"/>
        <v>100</v>
      </c>
      <c r="X17" s="1502"/>
      <c r="Y17" s="3507"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08"/>
      <c r="Q18" s="1507"/>
      <c r="R18" s="1508"/>
      <c r="S18" s="1509"/>
      <c r="T18" s="1508"/>
      <c r="U18" s="1509"/>
      <c r="V18" s="1508"/>
      <c r="W18" s="1509"/>
      <c r="X18" s="1502"/>
      <c r="Y18" s="3508"/>
      <c r="Z18" s="1510"/>
      <c r="AA18" s="1511">
        <v>1</v>
      </c>
      <c r="AB18" s="1511">
        <v>1</v>
      </c>
      <c r="AC18" s="1511">
        <v>1</v>
      </c>
    </row>
    <row r="19" spans="1:29" ht="15">
      <c r="A19" s="526"/>
      <c r="B19" s="860" t="s">
        <v>537</v>
      </c>
      <c r="C19" s="861">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08"/>
      <c r="Q19" s="1507" t="str">
        <f>B19</f>
        <v>交通便捷度</v>
      </c>
      <c r="R19" s="1508" t="s">
        <v>8</v>
      </c>
      <c r="S19" s="1509">
        <f>F19</f>
        <v>100</v>
      </c>
      <c r="T19" s="1508" t="s">
        <v>8</v>
      </c>
      <c r="U19" s="1509">
        <f>H19</f>
        <v>100</v>
      </c>
      <c r="V19" s="1508" t="s">
        <v>8</v>
      </c>
      <c r="W19" s="1509">
        <f>J19</f>
        <v>100</v>
      </c>
      <c r="X19" s="1502"/>
      <c r="Y19" s="3508"/>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08"/>
      <c r="Q20" s="1507"/>
      <c r="R20" s="1508"/>
      <c r="S20" s="1509"/>
      <c r="T20" s="1508"/>
      <c r="U20" s="1509"/>
      <c r="V20" s="1508"/>
      <c r="W20" s="1509"/>
      <c r="X20" s="1502"/>
      <c r="Y20" s="3508"/>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08"/>
      <c r="Q21" s="1507" t="str">
        <f t="shared" ref="Q21:Q35" si="8">B21</f>
        <v>区域土地利用方向</v>
      </c>
      <c r="R21" s="1508" t="s">
        <v>8</v>
      </c>
      <c r="S21" s="1509">
        <f>F21</f>
        <v>100</v>
      </c>
      <c r="T21" s="1508" t="s">
        <v>8</v>
      </c>
      <c r="U21" s="1509">
        <f>H21</f>
        <v>100</v>
      </c>
      <c r="V21" s="1508" t="s">
        <v>8</v>
      </c>
      <c r="W21" s="1509">
        <f>J21</f>
        <v>100</v>
      </c>
      <c r="X21" s="1502"/>
      <c r="Y21" s="3508"/>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08"/>
      <c r="Q22" s="1507"/>
      <c r="R22" s="1508"/>
      <c r="S22" s="1509"/>
      <c r="T22" s="1508"/>
      <c r="U22" s="1509"/>
      <c r="V22" s="1508"/>
      <c r="W22" s="1509"/>
      <c r="X22" s="1502"/>
      <c r="Y22" s="3508"/>
      <c r="Z22" s="1510"/>
      <c r="AA22" s="1511"/>
      <c r="AB22" s="1511"/>
      <c r="AC22" s="1511"/>
    </row>
    <row r="23" spans="1:29" ht="15">
      <c r="A23" s="509"/>
      <c r="B23" s="911" t="s">
        <v>593</v>
      </c>
      <c r="C23" s="861">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08"/>
      <c r="Q23" s="1507" t="str">
        <f t="shared" si="8"/>
        <v>环境状况</v>
      </c>
      <c r="R23" s="1508" t="s">
        <v>8</v>
      </c>
      <c r="S23" s="1509">
        <f>F23</f>
        <v>100</v>
      </c>
      <c r="T23" s="1508" t="s">
        <v>8</v>
      </c>
      <c r="U23" s="1509">
        <f>H23</f>
        <v>100</v>
      </c>
      <c r="V23" s="1508" t="s">
        <v>8</v>
      </c>
      <c r="W23" s="1509">
        <f>J23</f>
        <v>100</v>
      </c>
      <c r="X23" s="1502"/>
      <c r="Y23" s="3508"/>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08"/>
      <c r="Q24" s="1507"/>
      <c r="R24" s="1508"/>
      <c r="S24" s="1509"/>
      <c r="T24" s="1508"/>
      <c r="U24" s="1509"/>
      <c r="V24" s="1508"/>
      <c r="W24" s="1509"/>
      <c r="X24" s="1502"/>
      <c r="Y24" s="3508"/>
      <c r="Z24" s="1510"/>
      <c r="AA24" s="1511">
        <v>1</v>
      </c>
      <c r="AB24" s="1511">
        <v>1</v>
      </c>
      <c r="AC24" s="1511">
        <v>1</v>
      </c>
    </row>
    <row r="25" spans="1:29" s="1203" customFormat="1" ht="15">
      <c r="A25" s="571"/>
      <c r="B25" s="2438" t="s">
        <v>2529</v>
      </c>
      <c r="C25" s="861">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08"/>
      <c r="Q25" s="1134" t="str">
        <f t="shared" si="8"/>
        <v>公共配套设施</v>
      </c>
      <c r="R25" s="1503" t="s">
        <v>8</v>
      </c>
      <c r="S25" s="1504">
        <f>F25</f>
        <v>100</v>
      </c>
      <c r="T25" s="1503" t="s">
        <v>8</v>
      </c>
      <c r="U25" s="1504">
        <f>H25</f>
        <v>100</v>
      </c>
      <c r="V25" s="1503" t="s">
        <v>8</v>
      </c>
      <c r="W25" s="1504">
        <f>J25</f>
        <v>100</v>
      </c>
      <c r="X25" s="1505"/>
      <c r="Y25" s="3508"/>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508"/>
      <c r="Q26" s="1134"/>
      <c r="R26" s="1503"/>
      <c r="S26" s="1504"/>
      <c r="T26" s="1503"/>
      <c r="U26" s="1504"/>
      <c r="V26" s="1503"/>
      <c r="W26" s="1504"/>
      <c r="X26" s="1505"/>
      <c r="Y26" s="3508"/>
      <c r="Z26" s="1133"/>
      <c r="AA26" s="1506">
        <v>1</v>
      </c>
      <c r="AB26" s="1506">
        <v>1</v>
      </c>
      <c r="AC26" s="1506">
        <v>1</v>
      </c>
    </row>
    <row r="27" spans="1:29" s="1203" customFormat="1" ht="15">
      <c r="A27" s="571"/>
      <c r="B27" s="2438" t="s">
        <v>2530</v>
      </c>
      <c r="C27" s="861">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08"/>
      <c r="Q27" s="2429" t="str">
        <f t="shared" ref="Q27" si="9">B27</f>
        <v>基础设施水平</v>
      </c>
      <c r="R27" s="1503" t="s">
        <v>8</v>
      </c>
      <c r="S27" s="1504">
        <f>F27</f>
        <v>100</v>
      </c>
      <c r="T27" s="1503" t="s">
        <v>8</v>
      </c>
      <c r="U27" s="1504">
        <f>H27</f>
        <v>100</v>
      </c>
      <c r="V27" s="1503" t="s">
        <v>8</v>
      </c>
      <c r="W27" s="1504">
        <f>J27</f>
        <v>100</v>
      </c>
      <c r="X27" s="1505"/>
      <c r="Y27" s="3508"/>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508"/>
      <c r="Q28" s="2429"/>
      <c r="R28" s="1503"/>
      <c r="S28" s="1504"/>
      <c r="T28" s="1503"/>
      <c r="U28" s="1504"/>
      <c r="V28" s="1503"/>
      <c r="W28" s="1504"/>
      <c r="X28" s="1505"/>
      <c r="Y28" s="3508"/>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08"/>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08"/>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08"/>
      <c r="Q30" s="1507" t="str">
        <f t="shared" si="8"/>
        <v>毗邻道路的类型与等级</v>
      </c>
      <c r="R30" s="1508" t="s">
        <v>8</v>
      </c>
      <c r="S30" s="1509">
        <f t="shared" si="10"/>
        <v>100</v>
      </c>
      <c r="T30" s="1508" t="s">
        <v>8</v>
      </c>
      <c r="U30" s="1509">
        <f t="shared" si="11"/>
        <v>100</v>
      </c>
      <c r="V30" s="1508" t="s">
        <v>8</v>
      </c>
      <c r="W30" s="1509">
        <f t="shared" si="12"/>
        <v>100</v>
      </c>
      <c r="X30" s="1502"/>
      <c r="Y30" s="3508"/>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08"/>
      <c r="Q31" s="1507"/>
      <c r="R31" s="1508"/>
      <c r="S31" s="1509"/>
      <c r="T31" s="1508"/>
      <c r="U31" s="1509"/>
      <c r="V31" s="1508"/>
      <c r="W31" s="1509"/>
      <c r="X31" s="1502"/>
      <c r="Y31" s="3508"/>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08"/>
      <c r="Q32" s="1507" t="str">
        <f t="shared" si="8"/>
        <v>土地级别</v>
      </c>
      <c r="R32" s="1508" t="s">
        <v>8</v>
      </c>
      <c r="S32" s="1509">
        <f t="shared" si="10"/>
        <v>100</v>
      </c>
      <c r="T32" s="1508" t="s">
        <v>8</v>
      </c>
      <c r="U32" s="1509">
        <f t="shared" si="11"/>
        <v>100</v>
      </c>
      <c r="V32" s="1508" t="s">
        <v>8</v>
      </c>
      <c r="W32" s="1509">
        <f t="shared" si="12"/>
        <v>100</v>
      </c>
      <c r="X32" s="1502"/>
      <c r="Y32" s="3508"/>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08"/>
      <c r="Q33" s="1507">
        <f t="shared" si="8"/>
        <v>111</v>
      </c>
      <c r="R33" s="1508" t="s">
        <v>8</v>
      </c>
      <c r="S33" s="1509">
        <f t="shared" si="10"/>
        <v>100</v>
      </c>
      <c r="T33" s="1508" t="s">
        <v>8</v>
      </c>
      <c r="U33" s="1509">
        <f t="shared" si="11"/>
        <v>100</v>
      </c>
      <c r="V33" s="1508" t="s">
        <v>8</v>
      </c>
      <c r="W33" s="1509">
        <f t="shared" si="12"/>
        <v>100</v>
      </c>
      <c r="X33" s="1502"/>
      <c r="Y33" s="3508"/>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09" t="s">
        <v>544</v>
      </c>
      <c r="Q34" s="1507">
        <f t="shared" si="8"/>
        <v>111</v>
      </c>
      <c r="R34" s="1508" t="s">
        <v>8</v>
      </c>
      <c r="S34" s="1509">
        <f t="shared" si="10"/>
        <v>100</v>
      </c>
      <c r="T34" s="1508" t="s">
        <v>8</v>
      </c>
      <c r="U34" s="1509">
        <f t="shared" si="11"/>
        <v>100</v>
      </c>
      <c r="V34" s="1508" t="s">
        <v>8</v>
      </c>
      <c r="W34" s="1509">
        <f t="shared" si="12"/>
        <v>100</v>
      </c>
      <c r="X34" s="1502"/>
      <c r="Y34" s="3510"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10"/>
      <c r="Q35" s="1507">
        <f t="shared" si="8"/>
        <v>111</v>
      </c>
      <c r="R35" s="1512" t="s">
        <v>8</v>
      </c>
      <c r="S35" s="1513">
        <f t="shared" si="10"/>
        <v>100</v>
      </c>
      <c r="T35" s="1512" t="s">
        <v>8</v>
      </c>
      <c r="U35" s="1513">
        <f t="shared" si="11"/>
        <v>100</v>
      </c>
      <c r="V35" s="1512" t="s">
        <v>8</v>
      </c>
      <c r="W35" s="1513">
        <f t="shared" si="12"/>
        <v>100</v>
      </c>
      <c r="X35" s="1514"/>
      <c r="Y35" s="3510"/>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10"/>
      <c r="Q36" s="1507" t="str">
        <f>B36</f>
        <v>宗地面积</v>
      </c>
      <c r="R36" s="1508" t="s">
        <v>8</v>
      </c>
      <c r="S36" s="1509" t="e">
        <f t="shared" si="10"/>
        <v>#N/A</v>
      </c>
      <c r="T36" s="1508" t="s">
        <v>8</v>
      </c>
      <c r="U36" s="1509" t="e">
        <f t="shared" si="11"/>
        <v>#N/A</v>
      </c>
      <c r="V36" s="1508" t="s">
        <v>8</v>
      </c>
      <c r="W36" s="1509" t="e">
        <f t="shared" si="12"/>
        <v>#N/A</v>
      </c>
      <c r="X36" s="1502"/>
      <c r="Y36" s="3510"/>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10"/>
      <c r="Q37" s="1507" t="str">
        <f t="shared" ref="Q37:Q42" si="14">B37</f>
        <v>宗地形状</v>
      </c>
      <c r="R37" s="1508" t="s">
        <v>8</v>
      </c>
      <c r="S37" s="1509">
        <f t="shared" si="10"/>
        <v>100</v>
      </c>
      <c r="T37" s="1508" t="s">
        <v>8</v>
      </c>
      <c r="U37" s="1509">
        <f t="shared" si="11"/>
        <v>100</v>
      </c>
      <c r="V37" s="1508" t="s">
        <v>8</v>
      </c>
      <c r="W37" s="1509">
        <f t="shared" si="12"/>
        <v>100</v>
      </c>
      <c r="X37" s="1502"/>
      <c r="Y37" s="3510"/>
      <c r="Z37" s="1510" t="str">
        <f t="shared" si="13"/>
        <v>宗地形状</v>
      </c>
      <c r="AA37" s="1511">
        <f t="shared" si="3"/>
        <v>1</v>
      </c>
      <c r="AB37" s="1511">
        <f t="shared" si="4"/>
        <v>1</v>
      </c>
      <c r="AC37" s="1511">
        <f t="shared" si="5"/>
        <v>1</v>
      </c>
    </row>
    <row r="38" spans="1:29" s="1203" customFormat="1" ht="15">
      <c r="A38" s="594"/>
      <c r="B38" s="1810"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10"/>
      <c r="Q38" s="1507" t="str">
        <f t="shared" si="14"/>
        <v>宗地开发程度</v>
      </c>
      <c r="R38" s="1503" t="s">
        <v>8</v>
      </c>
      <c r="S38" s="1504">
        <f t="shared" si="10"/>
        <v>100</v>
      </c>
      <c r="T38" s="1503" t="s">
        <v>8</v>
      </c>
      <c r="U38" s="1504">
        <f t="shared" si="11"/>
        <v>100</v>
      </c>
      <c r="V38" s="1503" t="s">
        <v>8</v>
      </c>
      <c r="W38" s="1504">
        <f t="shared" si="12"/>
        <v>100</v>
      </c>
      <c r="X38" s="1505"/>
      <c r="Y38" s="3510"/>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10" t="s">
        <v>595</v>
      </c>
      <c r="Q39" s="1507" t="str">
        <f t="shared" si="14"/>
        <v>工程地质条件</v>
      </c>
      <c r="R39" s="1508" t="s">
        <v>8</v>
      </c>
      <c r="S39" s="1509">
        <f t="shared" si="10"/>
        <v>100</v>
      </c>
      <c r="T39" s="1508" t="s">
        <v>8</v>
      </c>
      <c r="U39" s="1509">
        <f t="shared" si="11"/>
        <v>100</v>
      </c>
      <c r="V39" s="1508" t="s">
        <v>8</v>
      </c>
      <c r="W39" s="1509">
        <f t="shared" si="12"/>
        <v>100</v>
      </c>
      <c r="X39" s="1502"/>
      <c r="Y39" s="3510"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10"/>
      <c r="Q40" s="1507">
        <f t="shared" si="14"/>
        <v>111</v>
      </c>
      <c r="R40" s="1508" t="s">
        <v>8</v>
      </c>
      <c r="S40" s="1509">
        <f t="shared" si="10"/>
        <v>100</v>
      </c>
      <c r="T40" s="1508" t="s">
        <v>8</v>
      </c>
      <c r="U40" s="1509">
        <f t="shared" si="11"/>
        <v>100</v>
      </c>
      <c r="V40" s="1508" t="s">
        <v>8</v>
      </c>
      <c r="W40" s="1509">
        <f t="shared" si="12"/>
        <v>100</v>
      </c>
      <c r="X40" s="1502"/>
      <c r="Y40" s="3510"/>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10"/>
      <c r="Q41" s="1507">
        <f t="shared" si="14"/>
        <v>111</v>
      </c>
      <c r="R41" s="1508" t="s">
        <v>8</v>
      </c>
      <c r="S41" s="1509">
        <f t="shared" si="10"/>
        <v>100</v>
      </c>
      <c r="T41" s="1508" t="s">
        <v>8</v>
      </c>
      <c r="U41" s="1509">
        <f t="shared" si="11"/>
        <v>100</v>
      </c>
      <c r="V41" s="1508" t="s">
        <v>8</v>
      </c>
      <c r="W41" s="1509">
        <f t="shared" si="12"/>
        <v>100</v>
      </c>
      <c r="X41" s="1502"/>
      <c r="Y41" s="3510"/>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10"/>
      <c r="Q42" s="1507">
        <f t="shared" si="14"/>
        <v>111</v>
      </c>
      <c r="R42" s="1512" t="s">
        <v>8</v>
      </c>
      <c r="S42" s="1513">
        <f t="shared" si="10"/>
        <v>100</v>
      </c>
      <c r="T42" s="1512" t="s">
        <v>8</v>
      </c>
      <c r="U42" s="1513">
        <f t="shared" si="11"/>
        <v>100</v>
      </c>
      <c r="V42" s="1512" t="s">
        <v>8</v>
      </c>
      <c r="W42" s="1513">
        <f t="shared" si="12"/>
        <v>100</v>
      </c>
      <c r="X42" s="1514"/>
      <c r="Y42" s="3510"/>
      <c r="Z42" s="1515">
        <f t="shared" si="13"/>
        <v>111</v>
      </c>
      <c r="AA42" s="1511">
        <f t="shared" si="3"/>
        <v>1</v>
      </c>
      <c r="AB42" s="1511">
        <f t="shared" si="4"/>
        <v>1</v>
      </c>
      <c r="AC42" s="1511">
        <f t="shared" si="5"/>
        <v>1</v>
      </c>
    </row>
    <row r="43" spans="1:29" ht="15">
      <c r="A43" s="601" t="s">
        <v>550</v>
      </c>
      <c r="B43" s="602" t="s">
        <v>2889</v>
      </c>
      <c r="C43" s="603" t="s">
        <v>1</v>
      </c>
      <c r="D43" s="604"/>
      <c r="E43" s="605"/>
      <c r="F43" s="606"/>
      <c r="G43" s="607"/>
      <c r="H43" s="608"/>
      <c r="I43" s="605"/>
      <c r="J43" s="608"/>
      <c r="K43" s="1294"/>
      <c r="L43" s="2027"/>
      <c r="M43" s="2017"/>
      <c r="N43" s="2017"/>
      <c r="O43" s="2028"/>
      <c r="P43" s="3473" t="str">
        <f>A43</f>
        <v>成交单价</v>
      </c>
      <c r="Q43" s="3473"/>
      <c r="R43" s="3474">
        <f>E43</f>
        <v>0</v>
      </c>
      <c r="S43" s="3474"/>
      <c r="T43" s="3474">
        <f>G43</f>
        <v>0</v>
      </c>
      <c r="U43" s="3474"/>
      <c r="V43" s="3474">
        <f>I43</f>
        <v>0</v>
      </c>
      <c r="W43" s="3474"/>
      <c r="X43" s="1497"/>
      <c r="Y43" s="1516"/>
      <c r="Z43" s="1497"/>
      <c r="AA43" s="1497"/>
      <c r="AB43" s="1497"/>
      <c r="AC43" s="1497"/>
    </row>
    <row r="44" spans="1:29" ht="15.75" thickBot="1">
      <c r="A44" s="609" t="s">
        <v>2673</v>
      </c>
      <c r="B44" s="610"/>
      <c r="C44" s="611" t="e">
        <f>R45</f>
        <v>#DIV/0!</v>
      </c>
      <c r="D44" s="3015" t="s">
        <v>2959</v>
      </c>
      <c r="E44" s="611" t="e">
        <f>R44</f>
        <v>#DIV/0!</v>
      </c>
      <c r="F44" s="3016"/>
      <c r="G44" s="612" t="e">
        <f>T44</f>
        <v>#DIV/0!</v>
      </c>
      <c r="H44" s="3016"/>
      <c r="I44" s="611" t="e">
        <f>V44</f>
        <v>#DIV/0!</v>
      </c>
      <c r="J44" s="3016"/>
      <c r="K44" s="3017">
        <f>F44+H44+J44</f>
        <v>0</v>
      </c>
      <c r="L44" s="2027"/>
      <c r="M44" s="2017"/>
      <c r="N44" s="2017"/>
      <c r="O44" s="2028"/>
      <c r="P44" s="3473" t="str">
        <f>A44</f>
        <v>比较价格（元/平方米）</v>
      </c>
      <c r="Q44" s="3473"/>
      <c r="R44" s="3475" t="e">
        <f>ROUND(PRODUCT(R43,AA9:AA42),0)</f>
        <v>#DIV/0!</v>
      </c>
      <c r="S44" s="3475"/>
      <c r="T44" s="3475" t="e">
        <f>ROUND(PRODUCT(T43,AB9:AB42),0)</f>
        <v>#DIV/0!</v>
      </c>
      <c r="U44" s="3475"/>
      <c r="V44" s="3475" t="e">
        <f>ROUND(PRODUCT(V43,AC9:AC42),0)</f>
        <v>#DIV/0!</v>
      </c>
      <c r="W44" s="3475"/>
      <c r="X44" s="1497"/>
      <c r="Y44" s="1497"/>
      <c r="Z44" s="1497"/>
      <c r="AA44" s="1497"/>
      <c r="AB44" s="1497"/>
      <c r="AC44" s="1497"/>
    </row>
    <row r="45" spans="1:29" ht="15.75" thickBot="1">
      <c r="A45" s="613" t="s">
        <v>2890</v>
      </c>
      <c r="B45" s="614"/>
      <c r="C45" s="615" t="e">
        <f>R45</f>
        <v>#DIV/0!</v>
      </c>
      <c r="D45" s="615"/>
      <c r="E45" s="615"/>
      <c r="F45" s="615"/>
      <c r="G45" s="615"/>
      <c r="H45" s="615"/>
      <c r="I45" s="615"/>
      <c r="J45" s="615"/>
      <c r="K45" s="1295"/>
      <c r="L45" s="2027"/>
      <c r="M45" s="2017"/>
      <c r="N45" s="2017"/>
      <c r="O45" s="2028"/>
      <c r="P45" s="3470" t="str">
        <f>A45</f>
        <v>估价对象XX用房的比较价格（楼面单价，元/平方米）</v>
      </c>
      <c r="Q45" s="3471"/>
      <c r="R45" s="3522" t="e">
        <f>ROUND(IF(D44="简单平均",AVERAGE(R44:W44),R44*F44+T44*H44+V44*J44),0)</f>
        <v>#DIV/0!</v>
      </c>
      <c r="S45" s="3522"/>
      <c r="T45" s="3522"/>
      <c r="U45" s="3522"/>
      <c r="V45" s="3522"/>
      <c r="W45" s="3522"/>
      <c r="X45" s="1497"/>
      <c r="Y45" s="1497"/>
      <c r="Z45" s="1497"/>
      <c r="AA45" s="1497"/>
      <c r="AB45" s="1497"/>
      <c r="AC45" s="1497"/>
    </row>
    <row r="46" spans="1:29">
      <c r="A46" s="3214"/>
      <c r="B46" s="3214"/>
      <c r="C46" s="3214"/>
      <c r="D46" s="3214"/>
      <c r="E46" s="3214"/>
      <c r="F46" s="3214"/>
      <c r="G46" s="3216"/>
      <c r="H46" s="3214"/>
      <c r="I46" s="3214"/>
      <c r="J46" s="3214"/>
      <c r="K46" s="3217"/>
      <c r="L46" s="2032"/>
      <c r="M46" s="2017"/>
      <c r="N46" s="2017"/>
      <c r="O46" s="2028"/>
      <c r="P46" s="2028"/>
      <c r="Q46" s="2028"/>
      <c r="R46" s="2028"/>
      <c r="S46" s="2028"/>
      <c r="T46" s="2028"/>
      <c r="U46" s="2028"/>
      <c r="V46" s="2028"/>
      <c r="W46" s="2028"/>
      <c r="X46" s="2028"/>
      <c r="Y46" s="2028"/>
      <c r="Z46" s="2028"/>
      <c r="AA46" s="2028"/>
      <c r="AB46" s="2028"/>
      <c r="AC46" s="2028"/>
    </row>
    <row r="47" spans="1:29">
      <c r="A47" s="3214"/>
      <c r="B47" s="3214"/>
      <c r="C47" s="3214"/>
      <c r="D47" s="3214"/>
      <c r="E47" s="3214"/>
      <c r="F47" s="3214"/>
      <c r="G47" s="3214"/>
      <c r="H47" s="3214"/>
      <c r="I47" s="3214"/>
      <c r="J47" s="3214"/>
      <c r="K47" s="3217"/>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5"/>
      <c r="B51" s="3226"/>
      <c r="C51" s="2033"/>
      <c r="D51" s="2029"/>
      <c r="E51" s="2029"/>
      <c r="F51" s="2029"/>
      <c r="G51" s="2029"/>
      <c r="H51" s="2029"/>
      <c r="I51" s="2029"/>
      <c r="J51" s="2029"/>
      <c r="K51" s="3218"/>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2280</v>
      </c>
      <c r="E52" s="623" t="s">
        <v>556</v>
      </c>
      <c r="F52" s="1866" t="s">
        <v>557</v>
      </c>
      <c r="G52" s="3517" t="s">
        <v>2271</v>
      </c>
      <c r="H52" s="3518"/>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74233.119999999995</v>
      </c>
      <c r="F53" s="1865" t="e">
        <f t="shared" ref="F53:F62" si="15">ROUND(B53*E53/10000,0)</f>
        <v>#DIV/0!</v>
      </c>
      <c r="G53" s="3519"/>
      <c r="H53" s="3520"/>
      <c r="I53" s="1868">
        <v>1</v>
      </c>
      <c r="J53" s="1495">
        <v>1</v>
      </c>
      <c r="K53" s="3219"/>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21" t="s">
        <v>2272</v>
      </c>
      <c r="H54" s="1869">
        <f>项目基本情况!B43</f>
        <v>0</v>
      </c>
      <c r="I54" s="1868">
        <f>SUMIF(修正!$A$45:$A$56,H54,修正!B45:B56)</f>
        <v>0</v>
      </c>
      <c r="J54" s="1496"/>
      <c r="K54" s="3219"/>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21"/>
      <c r="H55" s="1870">
        <f>项目基本情况!B43</f>
        <v>0</v>
      </c>
      <c r="I55" s="1868">
        <f>SUMIF(修正!$A$45:$A$56,H55,修正!C45:C56)</f>
        <v>0</v>
      </c>
      <c r="J55" s="1496"/>
      <c r="K55" s="3219"/>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21"/>
      <c r="H56" s="1870">
        <f>项目基本情况!B43</f>
        <v>0</v>
      </c>
      <c r="I56" s="1868">
        <f>SUMIF(修正!$A$45:$A$56,H56,修正!D45:D56)</f>
        <v>0</v>
      </c>
      <c r="J56" s="1496"/>
      <c r="K56" s="3219"/>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21"/>
      <c r="H57" s="1870">
        <f>项目基本情况!B43</f>
        <v>0</v>
      </c>
      <c r="I57" s="1868">
        <f>SUMIF(修正!$A$45:$A$56,H57,修正!E45:E56)</f>
        <v>0</v>
      </c>
      <c r="J57" s="1496"/>
      <c r="K57" s="3219"/>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2315</v>
      </c>
      <c r="B58" s="630" t="e">
        <f t="shared" si="17"/>
        <v>#DIV/0!</v>
      </c>
      <c r="C58" s="372">
        <f t="shared" si="16"/>
        <v>0</v>
      </c>
      <c r="D58" s="2110">
        <v>0.25</v>
      </c>
      <c r="E58" s="633">
        <f>'数据-汇总表'!E11</f>
        <v>0</v>
      </c>
      <c r="F58" s="1865" t="e">
        <f t="shared" si="15"/>
        <v>#DIV/0!</v>
      </c>
      <c r="G58" s="1871" t="s">
        <v>2273</v>
      </c>
      <c r="H58" s="1870">
        <f>项目基本情况!C43</f>
        <v>0</v>
      </c>
      <c r="I58" s="1868">
        <f>SUMIF(修正!$A$45:$A$56,H58,修正!F45:F56)</f>
        <v>0</v>
      </c>
      <c r="J58" s="1496"/>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2272</v>
      </c>
      <c r="H61" s="1870">
        <f>项目基本情况!B43</f>
        <v>0</v>
      </c>
      <c r="I61" s="1868">
        <f>SUMIF(修正!$A$45:$A$56,H61,修正!H45:H56)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2273</v>
      </c>
      <c r="H62" s="1873">
        <f>项目基本情况!C43</f>
        <v>0</v>
      </c>
      <c r="I62" s="1868">
        <f>SUMIF(修正!$A$45:$A$56,H62,修正!H45:H56)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2281</v>
      </c>
      <c r="E63" s="635">
        <f>IF(B43="楼面地价",SUM(E53:E62),'数据-汇总表'!D3)</f>
        <v>74233.119999999995</v>
      </c>
      <c r="F63" s="636" t="e">
        <f>IF(B43="楼面地价",SUM(F53:F62),ROUND(C45*E63/10000,0))</f>
        <v>#DIV/0!</v>
      </c>
      <c r="G63" s="2038"/>
      <c r="H63" s="2038"/>
      <c r="I63" s="2038"/>
      <c r="J63" s="2038"/>
      <c r="K63" s="3227"/>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2020-8-1</v>
      </c>
      <c r="D65" s="2517">
        <f>EDATE(C65,-3)</f>
        <v>43952</v>
      </c>
      <c r="E65" s="2517">
        <f t="shared" ref="E65:N65" si="18">EDATE(D65,-3)</f>
        <v>43862</v>
      </c>
      <c r="F65" s="2517">
        <f t="shared" si="18"/>
        <v>43770</v>
      </c>
      <c r="G65" s="2517">
        <f t="shared" si="18"/>
        <v>43678</v>
      </c>
      <c r="H65" s="2517">
        <f t="shared" si="18"/>
        <v>43586</v>
      </c>
      <c r="I65" s="2517">
        <f t="shared" si="18"/>
        <v>43497</v>
      </c>
      <c r="J65" s="2517">
        <f t="shared" si="18"/>
        <v>43405</v>
      </c>
      <c r="K65" s="2517">
        <f t="shared" si="18"/>
        <v>43313</v>
      </c>
      <c r="L65" s="2517">
        <f t="shared" si="18"/>
        <v>43221</v>
      </c>
      <c r="M65" s="2517">
        <f t="shared" si="18"/>
        <v>43132</v>
      </c>
      <c r="N65" s="2517">
        <f t="shared" si="18"/>
        <v>43040</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2020-3</v>
      </c>
      <c r="D67" s="2519" t="str">
        <f t="shared" ref="D67:N67" si="19">YEAR(D65)&amp;"-"&amp;ROUNDUP(MONTH(D65)/3,0)</f>
        <v>2020-2</v>
      </c>
      <c r="E67" s="2519" t="str">
        <f t="shared" si="19"/>
        <v>2020-1</v>
      </c>
      <c r="F67" s="2519" t="str">
        <f t="shared" si="19"/>
        <v>2019-4</v>
      </c>
      <c r="G67" s="2519" t="str">
        <f t="shared" si="19"/>
        <v>2019-3</v>
      </c>
      <c r="H67" s="2519" t="str">
        <f t="shared" si="19"/>
        <v>2019-2</v>
      </c>
      <c r="I67" s="2519" t="str">
        <f t="shared" si="19"/>
        <v>2019-1</v>
      </c>
      <c r="J67" s="2519" t="str">
        <f t="shared" si="19"/>
        <v>2018-4</v>
      </c>
      <c r="K67" s="2519" t="str">
        <f t="shared" si="19"/>
        <v>2018-3</v>
      </c>
      <c r="L67" s="2519" t="str">
        <f t="shared" si="19"/>
        <v>2018-2</v>
      </c>
      <c r="M67" s="2519" t="str">
        <f t="shared" si="19"/>
        <v>2018-1</v>
      </c>
      <c r="N67" s="2519" t="str">
        <f t="shared" si="19"/>
        <v>2017-4</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北京市平均增长率1.27%</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8"/>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8"/>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9"/>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0"/>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9"/>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0"/>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9"/>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1"/>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0"/>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1"/>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1"/>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1"/>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1"/>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9"/>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1"/>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1"/>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1"/>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9"/>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9"/>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9"/>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0"/>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9"/>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0"/>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1"/>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0"/>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1" t="str">
        <f t="shared" si="25"/>
        <v>(含)-</v>
      </c>
      <c r="L109" s="2782" t="str">
        <f t="shared" si="25"/>
        <v>(含)-</v>
      </c>
      <c r="M109" s="2783" t="str">
        <f>M110&amp;"(含)"&amp;"-"&amp;P110</f>
        <v>(含)-</v>
      </c>
      <c r="N109" s="3229"/>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9"/>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0"/>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9"/>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2409</v>
      </c>
      <c r="C114" s="1327"/>
      <c r="D114" s="1327"/>
      <c r="E114" s="1327"/>
      <c r="F114" s="1327"/>
      <c r="G114" s="1327"/>
      <c r="H114" s="710"/>
      <c r="I114" s="710"/>
      <c r="J114" s="710"/>
      <c r="K114" s="711"/>
      <c r="L114" s="712"/>
      <c r="M114" s="713"/>
      <c r="N114" s="3231"/>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9"/>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9"/>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0"/>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9"/>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0"/>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1"/>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1"/>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7" stopIfTrue="1" operator="containsText" text="超过">
      <formula>NOT(ISERROR(SEARCH("超过",F48)))</formula>
    </cfRule>
  </conditionalFormatting>
  <conditionalFormatting sqref="J50">
    <cfRule type="containsText" dxfId="148" priority="16" stopIfTrue="1" operator="containsText" text="超过">
      <formula>NOT(ISERROR(SEARCH("超过",J50)))</formula>
    </cfRule>
  </conditionalFormatting>
  <conditionalFormatting sqref="H50">
    <cfRule type="containsText" dxfId="147" priority="15" stopIfTrue="1" operator="containsText" text="超过">
      <formula>NOT(ISERROR(SEARCH("超过",H50)))</formula>
    </cfRule>
  </conditionalFormatting>
  <conditionalFormatting sqref="F50">
    <cfRule type="containsText" dxfId="146" priority="14" stopIfTrue="1" operator="containsText" text="超过">
      <formula>NOT(ISERROR(SEARCH("超过",F50)))</formula>
    </cfRule>
  </conditionalFormatting>
  <conditionalFormatting sqref="F49 H49 J49">
    <cfRule type="containsText" dxfId="145" priority="13" stopIfTrue="1" operator="containsText" text="超过">
      <formula>NOT(ISERROR(SEARCH("超过",F49)))</formula>
    </cfRule>
  </conditionalFormatting>
  <conditionalFormatting sqref="E48">
    <cfRule type="expression" dxfId="144" priority="12" stopIfTrue="1">
      <formula>$F$48="超过30%"</formula>
    </cfRule>
  </conditionalFormatting>
  <conditionalFormatting sqref="G50">
    <cfRule type="expression" dxfId="143" priority="11" stopIfTrue="1">
      <formula>$H$50="超过30%"</formula>
    </cfRule>
  </conditionalFormatting>
  <conditionalFormatting sqref="E50">
    <cfRule type="expression" dxfId="142" priority="9" stopIfTrue="1">
      <formula>$F$50="超过30%"</formula>
    </cfRule>
  </conditionalFormatting>
  <conditionalFormatting sqref="G48">
    <cfRule type="expression" dxfId="141" priority="8" stopIfTrue="1">
      <formula>$H$48="超过30%"</formula>
    </cfRule>
  </conditionalFormatting>
  <conditionalFormatting sqref="G49">
    <cfRule type="expression" dxfId="140" priority="7" stopIfTrue="1">
      <formula>$H$49="超过20%"</formula>
    </cfRule>
  </conditionalFormatting>
  <conditionalFormatting sqref="I48">
    <cfRule type="expression" dxfId="139" priority="6" stopIfTrue="1">
      <formula>$J$48="超过30%"</formula>
    </cfRule>
  </conditionalFormatting>
  <conditionalFormatting sqref="I49">
    <cfRule type="expression" dxfId="138" priority="5" stopIfTrue="1">
      <formula>$J$49="超过20%"</formula>
    </cfRule>
  </conditionalFormatting>
  <conditionalFormatting sqref="I50">
    <cfRule type="expression" dxfId="137" priority="4" stopIfTrue="1">
      <formula>$J$50="超过30%"</formula>
    </cfRule>
  </conditionalFormatting>
  <conditionalFormatting sqref="E49">
    <cfRule type="expression" dxfId="136" priority="50" stopIfTrue="1">
      <formula>#REF!+$F$49="超过20%"</formula>
    </cfRule>
  </conditionalFormatting>
  <conditionalFormatting sqref="F44">
    <cfRule type="expression" dxfId="135" priority="3">
      <formula>$D$44="简单平均"</formula>
    </cfRule>
  </conditionalFormatting>
  <conditionalFormatting sqref="H44">
    <cfRule type="expression" dxfId="134" priority="2">
      <formula>$D$44="简单平均"</formula>
    </cfRule>
  </conditionalFormatting>
  <conditionalFormatting sqref="J44">
    <cfRule type="expression" dxfId="133" priority="1">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 type="list" allowBlank="1" showInputMessage="1" showErrorMessage="1" sqref="D44"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2410</v>
      </c>
      <c r="D1" s="1461">
        <f>SUM(D29:D30,D33:D39)</f>
        <v>0</v>
      </c>
      <c r="E1" s="1355" t="s">
        <v>2411</v>
      </c>
      <c r="F1" s="2308"/>
      <c r="G1" s="1350"/>
      <c r="H1" s="1350"/>
      <c r="I1" s="1350"/>
      <c r="J1" s="1350"/>
      <c r="K1" s="2071"/>
      <c r="L1" s="1797" t="s">
        <v>2226</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2"/>
      <c r="L2" s="1800" t="s">
        <v>2227</v>
      </c>
      <c r="M2" s="1801">
        <f>SUMPRODUCT((区片价!B10:B28=I2)*(区片价!C3:F3=E2)*(区片价!C10:F28))</f>
        <v>0</v>
      </c>
      <c r="N2" s="1802">
        <f>SUMPRODUCT((因素修正幅度!B10:B28=I2)*(因素修正幅度!C3:F3=E2)*(因素修正幅度!C10:F28))</f>
        <v>0</v>
      </c>
      <c r="O2" s="3232"/>
      <c r="P2" s="2071"/>
      <c r="Q2" s="2071"/>
      <c r="R2" s="2655">
        <v>1</v>
      </c>
      <c r="S2" s="2655">
        <f>ROUND(IF(G3&gt;1,IF(R2&lt;7,SUMPRODUCT((B93:B98=R2)*(C92:N92=G2)*(C93:N98)),SUMIF(C92:N92,G2,C100:N100)),IF(R2&lt;7,SUMPRODUCT((B102:B107=R2)*(C92:N92=G2)*(C102:N107)),SUMIF(C92:N92,G2,C109:N109))),4)</f>
        <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4</v>
      </c>
      <c r="H3" s="1363" t="s">
        <v>920</v>
      </c>
      <c r="I3" s="1027">
        <v>8</v>
      </c>
      <c r="J3" s="1359" t="s">
        <v>921</v>
      </c>
      <c r="K3" s="3232"/>
      <c r="L3" s="1800" t="s">
        <v>2228</v>
      </c>
      <c r="M3" s="1801">
        <f>SUMPRODUCT((区片价!B29:B48=I2)*(区片价!C3:F3=E2)*(区片价!C29:F48))</f>
        <v>0</v>
      </c>
      <c r="N3" s="1802">
        <f>SUMPRODUCT((因素修正幅度!B29:B48=I2)*(因素修正幅度!C3:F3=E2)*(因素修正幅度!C29:F48))</f>
        <v>0</v>
      </c>
      <c r="O3" s="3232"/>
      <c r="P3" s="2071"/>
      <c r="Q3" s="2071"/>
      <c r="R3" s="2655">
        <v>2</v>
      </c>
      <c r="S3" s="2655">
        <f>ROUND(IF(G3&gt;1,IF(R3&lt;7,SUMPRODUCT((B93:B98=R3)*(C92:N92=G2)*(C93:N98)),SUMIF(C92:N92,G2,C100:N100)),IF(R3&lt;7,SUMPRODUCT((B102:B107=R3)*(C92:N92=G2)*(C102:N107)),SUMIF(C92:N92,G2,C109:N109))),4)</f>
        <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2267</v>
      </c>
      <c r="B4" s="2309" t="e">
        <f>ROUND(B2*10000/F1,0)</f>
        <v>#DIV/0!</v>
      </c>
      <c r="C4" s="1809" t="s">
        <v>2242</v>
      </c>
      <c r="D4" s="1809" t="e">
        <f>ROUND(B2/(F1/666.67),0)</f>
        <v>#DIV/0!</v>
      </c>
      <c r="E4" s="1809" t="s">
        <v>2243</v>
      </c>
      <c r="F4" s="1807"/>
      <c r="G4" s="1807"/>
      <c r="H4" s="1807"/>
      <c r="I4" s="1807"/>
      <c r="J4" s="1808"/>
      <c r="K4" s="3233"/>
      <c r="L4" s="1800" t="s">
        <v>2229</v>
      </c>
      <c r="M4" s="1801">
        <f>SUMPRODUCT((区片价!B49:B75=I2)*(区片价!C3:F3=E2)*(区片价!C49:F75))</f>
        <v>0</v>
      </c>
      <c r="N4" s="1802">
        <f>SUMPRODUCT((因素修正幅度!B49:B75=I2)*(因素修正幅度!C3:F3=E2)*(因素修正幅度!C49:F75))</f>
        <v>0</v>
      </c>
      <c r="O4" s="3233"/>
      <c r="P4" s="2071"/>
      <c r="Q4" s="2071"/>
      <c r="R4" s="2655">
        <v>3</v>
      </c>
      <c r="S4" s="2655">
        <f>ROUND(IF(G3&gt;1,IF(R4&lt;7,SUMPRODUCT((B93:B98=R4)*(C92:N92=G2)*(C93:N98)),SUMIF(C92:N92,G2,C100:N100)),IF(R4&lt;7,SUMPRODUCT((B102:B107=R4)*(C92:N92=G2)*(C102:N107)),SUMIF(C92:N92,G2,C109:N109))),4)</f>
        <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4" t="e">
        <f>ROUND(C6+C16,0)</f>
        <v>#DIV/0!</v>
      </c>
      <c r="E5" s="2794"/>
      <c r="F5" s="1365"/>
      <c r="G5" s="1366"/>
      <c r="H5" s="1366"/>
      <c r="I5" s="1366"/>
      <c r="J5" s="1367"/>
      <c r="K5" s="3234"/>
      <c r="L5" s="1800" t="s">
        <v>2230</v>
      </c>
      <c r="M5" s="1801">
        <f>SUMPRODUCT((区片价!B76:B109=I2)*(区片价!C3:F3=E2)*(区片价!C76:F109))</f>
        <v>0</v>
      </c>
      <c r="N5" s="1802">
        <f>SUMPRODUCT((因素修正幅度!B76:B109=I2)*(因素修正幅度!C3:F3=E2)*(因素修正幅度!C76:F109))</f>
        <v>0</v>
      </c>
      <c r="O5" s="3234"/>
      <c r="P5" s="3237"/>
      <c r="Q5" s="2071"/>
      <c r="R5" s="2655">
        <v>4</v>
      </c>
      <c r="S5" s="2655">
        <f>ROUND(IF(G3&gt;1,IF(R5&lt;7,SUMPRODUCT((B93:B98=R5)*(C92:N92=G2)*(C93:N98)),SUMIF(C92:N92,G2,C100:N100)),IF(R5&lt;7,SUMPRODUCT((B102:B107=R5)*(C92:N92=G2)*(C102:N107)),SUMIF(C92:N92,G2,C109:N109))),4)</f>
        <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5"/>
      <c r="L6" s="1800" t="s">
        <v>2231</v>
      </c>
      <c r="M6" s="1801">
        <f>SUMPRODUCT((区片价!B110:B157=I2)*(区片价!C3:F3=E2)*(区片价!C110:F157))</f>
        <v>0</v>
      </c>
      <c r="N6" s="1802">
        <f>SUMPRODUCT((因素修正幅度!B110:B157=I2)*(因素修正幅度!C3:F3=E2)*(因素修正幅度!C110:F157))</f>
        <v>0</v>
      </c>
      <c r="O6" s="3235"/>
      <c r="P6" s="3238"/>
      <c r="Q6" s="2071"/>
      <c r="R6" s="2655">
        <v>5</v>
      </c>
      <c r="S6" s="2655">
        <f>ROUND(IF(G3&gt;1,IF(R6&lt;7,SUMPRODUCT((B93:B98=R6)*(C92:N92=G2)*(C93:N98)),SUMIF(C92:N92,G2,C100:N100)),IF(R6&lt;7,SUMPRODUCT((B102:B107=R6)*(C92:N92=G2)*(C102:N107)),SUMIF(C92:N92,G2,C109:N109))),4)</f>
        <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37" t="str">
        <f>IF(E2="商业",IF(C8="不临58条商业街","",2),"")</f>
        <v/>
      </c>
      <c r="B7" s="1376" t="s">
        <v>923</v>
      </c>
      <c r="C7" s="1030" t="e">
        <f>IF(C8="不临58条商业街",1,ROUND(1+(1.6*E8+1.2*E9+0.8*E10+0.4*E11)*C9,4))</f>
        <v>#DIV/0!</v>
      </c>
      <c r="D7" s="1377" t="s">
        <v>924</v>
      </c>
      <c r="E7" s="1031"/>
      <c r="F7" s="1378"/>
      <c r="G7" s="1379"/>
      <c r="H7" s="1379"/>
      <c r="I7" s="1379"/>
      <c r="J7" s="1380"/>
      <c r="K7" s="3235"/>
      <c r="L7" s="1800" t="s">
        <v>2232</v>
      </c>
      <c r="M7" s="1801">
        <f>SUMPRODUCT((区片价!B158:B205=I2)*(区片价!C3:F3=E2)*(区片价!C158:F205))</f>
        <v>0</v>
      </c>
      <c r="N7" s="1802">
        <f>SUMPRODUCT((因素修正幅度!B158:B205=I2)*(因素修正幅度!C3:F3=E2)*(因素修正幅度!C158:F205))</f>
        <v>0</v>
      </c>
      <c r="O7" s="3235"/>
      <c r="P7" s="3238"/>
      <c r="Q7" s="2071"/>
      <c r="R7" s="2655">
        <v>6</v>
      </c>
      <c r="S7" s="2655">
        <f>ROUND(IF(G3&gt;1,IF(R7&lt;7,SUMPRODUCT((B93:B98=R7)*(C92:N92=G2)*(C93:N98)),SUMIF(C92:N92,G2,C100:N100)),IF(R7&lt;7,SUMPRODUCT((B102:B107=R7)*(C92:N92=G2)*(C102:N107)),SUMIF(C92:N92,G2,C109:N109))),4)</f>
        <v>0</v>
      </c>
      <c r="T7" s="2655" t="e">
        <f t="shared" si="0"/>
        <v>#DIV/0!</v>
      </c>
      <c r="U7" s="2644"/>
      <c r="V7" s="2655" t="e">
        <f t="shared" si="1"/>
        <v>#DIV/0!</v>
      </c>
      <c r="W7" s="2653" t="s">
        <v>2744</v>
      </c>
      <c r="X7" s="2645">
        <f>G2</f>
        <v>0</v>
      </c>
      <c r="Y7" s="2645" t="s">
        <v>2745</v>
      </c>
      <c r="Z7" s="2646">
        <f>G3</f>
        <v>4</v>
      </c>
      <c r="AA7" s="2074"/>
      <c r="AB7" s="2074"/>
      <c r="AC7" s="2075"/>
      <c r="AD7" s="2647"/>
      <c r="AE7" s="2647"/>
      <c r="AF7" s="2647"/>
      <c r="AG7" s="2647"/>
      <c r="AH7" s="2647"/>
      <c r="AI7" s="2647"/>
      <c r="AJ7" s="2648"/>
    </row>
    <row r="8" spans="1:39" ht="15">
      <c r="A8" s="3538"/>
      <c r="B8" s="1363" t="s">
        <v>925</v>
      </c>
      <c r="C8" s="1469"/>
      <c r="D8" s="1032" t="s">
        <v>926</v>
      </c>
      <c r="E8" s="1033" t="e">
        <f>ROUND(C11/E7,4)</f>
        <v>#DIV/0!</v>
      </c>
      <c r="F8" s="1381" t="s">
        <v>927</v>
      </c>
      <c r="G8" s="1382"/>
      <c r="H8" s="1382"/>
      <c r="I8" s="1382"/>
      <c r="J8" s="1383"/>
      <c r="K8" s="3235"/>
      <c r="L8" s="1800" t="s">
        <v>2233</v>
      </c>
      <c r="M8" s="1801">
        <f>SUMPRODUCT((区片价!B206:B244=I2)*(区片价!C3:F3=E2)*(区片价!C206:F244))</f>
        <v>0</v>
      </c>
      <c r="N8" s="1802">
        <f>SUMPRODUCT((因素修正幅度!B206:B244=I2)*(因素修正幅度!C3:F3=E2)*(因素修正幅度!C206:F244))</f>
        <v>0</v>
      </c>
      <c r="O8" s="3235"/>
      <c r="P8" s="2071"/>
      <c r="Q8" s="2071"/>
      <c r="R8" s="2655">
        <v>7</v>
      </c>
      <c r="S8" s="2644"/>
      <c r="T8" s="2655" t="e">
        <f t="shared" si="0"/>
        <v>#DIV/0!</v>
      </c>
      <c r="U8" s="2644"/>
      <c r="V8" s="2655" t="e">
        <f t="shared" si="1"/>
        <v>#DIV/0!</v>
      </c>
      <c r="W8" s="3524" t="s">
        <v>2762</v>
      </c>
      <c r="X8" s="3525"/>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38"/>
      <c r="B9" s="1363" t="s">
        <v>928</v>
      </c>
      <c r="C9" s="1034">
        <f>SUMIF(修正!C59:C119,C8,修正!E59:E119)</f>
        <v>0</v>
      </c>
      <c r="D9" s="1035" t="s">
        <v>929</v>
      </c>
      <c r="E9" s="1035" t="e">
        <f>ROUND(C11/E7,4)</f>
        <v>#DIV/0!</v>
      </c>
      <c r="F9" s="1381" t="s">
        <v>930</v>
      </c>
      <c r="G9" s="1382"/>
      <c r="H9" s="1382"/>
      <c r="I9" s="1382"/>
      <c r="J9" s="1383"/>
      <c r="K9" s="3235"/>
      <c r="L9" s="1800" t="s">
        <v>2234</v>
      </c>
      <c r="M9" s="1801">
        <f>SUMPRODUCT((区片价!B245:B289=I2)*(区片价!C3:F3=E2)*(区片价!C245:F289))</f>
        <v>0</v>
      </c>
      <c r="N9" s="1802">
        <f>SUMPRODUCT((因素修正幅度!B245:B289=I2)*(因素修正幅度!C3:F3=E2)*(因素修正幅度!C245:F289))</f>
        <v>0</v>
      </c>
      <c r="O9" s="3235"/>
      <c r="P9" s="2071"/>
      <c r="Q9" s="2071"/>
      <c r="R9" s="2655">
        <v>8</v>
      </c>
      <c r="S9" s="2644"/>
      <c r="T9" s="2655" t="e">
        <f t="shared" si="0"/>
        <v>#DIV/0!</v>
      </c>
      <c r="U9" s="2644"/>
      <c r="V9" s="2655" t="e">
        <f t="shared" si="1"/>
        <v>#DIV/0!</v>
      </c>
      <c r="W9" s="3523" t="s">
        <v>2758</v>
      </c>
      <c r="X9" s="2649" t="s">
        <v>2759</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38"/>
      <c r="B10" s="1363" t="s">
        <v>931</v>
      </c>
      <c r="C10" s="1035">
        <f>SUMIF(修正!C59:C119,C8,修正!F59:F119)</f>
        <v>0</v>
      </c>
      <c r="D10" s="1035" t="s">
        <v>932</v>
      </c>
      <c r="E10" s="1035" t="e">
        <f>ROUND(C11/E7,4)</f>
        <v>#DIV/0!</v>
      </c>
      <c r="F10" s="1381" t="s">
        <v>933</v>
      </c>
      <c r="G10" s="1382"/>
      <c r="H10" s="1382"/>
      <c r="I10" s="1382"/>
      <c r="J10" s="1383"/>
      <c r="K10" s="3235"/>
      <c r="L10" s="1800" t="s">
        <v>2235</v>
      </c>
      <c r="M10" s="1801">
        <f>SUMPRODUCT((区片价!B290:B316=I2)*(区片价!C3:F3=E2)*(区片价!C290:F316))</f>
        <v>0</v>
      </c>
      <c r="N10" s="1802">
        <f>SUMPRODUCT((因素修正幅度!B290:B316=I2)*(因素修正幅度!C3:F3=E2)*(因素修正幅度!C290:F316))</f>
        <v>0</v>
      </c>
      <c r="O10" s="3235"/>
      <c r="P10" s="2071"/>
      <c r="Q10" s="2071"/>
      <c r="R10" s="2655">
        <v>9</v>
      </c>
      <c r="S10" s="2644"/>
      <c r="T10" s="2655" t="e">
        <f t="shared" si="0"/>
        <v>#DIV/0!</v>
      </c>
      <c r="U10" s="2644"/>
      <c r="V10" s="2655" t="e">
        <f t="shared" si="1"/>
        <v>#DIV/0!</v>
      </c>
      <c r="W10" s="3523"/>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38"/>
      <c r="B11" s="1384" t="s">
        <v>934</v>
      </c>
      <c r="C11" s="1036">
        <f>C10/4</f>
        <v>0</v>
      </c>
      <c r="D11" s="1036" t="s">
        <v>935</v>
      </c>
      <c r="E11" s="1036" t="e">
        <f>ROUND(C11/E7,4)</f>
        <v>#DIV/0!</v>
      </c>
      <c r="F11" s="1385" t="s">
        <v>936</v>
      </c>
      <c r="G11" s="1386"/>
      <c r="H11" s="1386"/>
      <c r="I11" s="1386"/>
      <c r="J11" s="1387"/>
      <c r="K11" s="3235"/>
      <c r="L11" s="1800" t="s">
        <v>2236</v>
      </c>
      <c r="M11" s="1801">
        <f>SUMPRODUCT((区片价!B317:B337=I2)*(区片价!C3:F3=E2)*(区片价!C317:F337))</f>
        <v>0</v>
      </c>
      <c r="N11" s="1802">
        <f>SUMPRODUCT((因素修正幅度!B317:B337=I2)*(因素修正幅度!C3:F3=E2)*(因素修正幅度!C317:F337))</f>
        <v>0</v>
      </c>
      <c r="O11" s="3235"/>
      <c r="P11" s="2071"/>
      <c r="Q11" s="2071"/>
      <c r="R11" s="2655">
        <v>10</v>
      </c>
      <c r="S11" s="2644"/>
      <c r="T11" s="2655" t="e">
        <f t="shared" si="0"/>
        <v>#DIV/0!</v>
      </c>
      <c r="U11" s="2644"/>
      <c r="V11" s="2655" t="e">
        <f t="shared" si="1"/>
        <v>#DIV/0!</v>
      </c>
      <c r="W11" s="3523" t="s">
        <v>2760</v>
      </c>
      <c r="X11" s="1035" t="s">
        <v>2745</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5" thickBot="1">
      <c r="A12" s="3537" t="s">
        <v>1862</v>
      </c>
      <c r="B12" s="1388" t="s">
        <v>937</v>
      </c>
      <c r="C12" s="1030">
        <f>ROUND(C15*D15*E15*F15*G15*H15*I15*J15,4)</f>
        <v>1</v>
      </c>
      <c r="D12" s="1389" t="s">
        <v>938</v>
      </c>
      <c r="E12" s="1390"/>
      <c r="F12" s="1390"/>
      <c r="G12" s="1391"/>
      <c r="H12" s="1391"/>
      <c r="I12" s="1391"/>
      <c r="J12" s="1392"/>
      <c r="K12" s="3235"/>
      <c r="L12" s="1803" t="s">
        <v>2237</v>
      </c>
      <c r="M12" s="1804">
        <f>SUMPRODUCT((区片价!B338:B344=I2)*(区片价!C3:F3=E2)*(区片价!C338:F344))</f>
        <v>0</v>
      </c>
      <c r="N12" s="1805">
        <f>SUMPRODUCT((因素修正幅度!B338:B344=I2)*(因素修正幅度!C3:F3=E2)*(因素修正幅度!C338:F344))</f>
        <v>0</v>
      </c>
      <c r="O12" s="3235"/>
      <c r="P12" s="2071"/>
      <c r="Q12" s="2071"/>
      <c r="R12" s="2655">
        <v>11</v>
      </c>
      <c r="S12" s="2644"/>
      <c r="T12" s="2655" t="e">
        <f t="shared" si="0"/>
        <v>#DIV/0!</v>
      </c>
      <c r="U12" s="2644"/>
      <c r="V12" s="2655" t="e">
        <f t="shared" si="1"/>
        <v>#DIV/0!</v>
      </c>
      <c r="W12" s="3523"/>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39"/>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t="e">
        <f t="shared" si="0"/>
        <v>#DIV/0!</v>
      </c>
      <c r="U13" s="2644"/>
      <c r="V13" s="2655" t="e">
        <f t="shared" si="1"/>
        <v>#DIV/0!</v>
      </c>
      <c r="W13" s="3523"/>
      <c r="X13" s="2652"/>
      <c r="Y13" s="2651">
        <f>(-0.163*(Y12^2)-0.59*Y12+7617)*(10^(-4))/Y11</f>
        <v>0.19042500000000001</v>
      </c>
      <c r="Z13" s="2651">
        <f t="shared" ref="Z13:AJ13" si="5">(-0.163*(Z12^2)-0.59*Z12+7617)*(10^(-4))/Z11</f>
        <v>0.19042500000000001</v>
      </c>
      <c r="AA13" s="2651">
        <f t="shared" si="5"/>
        <v>0.19042500000000001</v>
      </c>
      <c r="AB13" s="2651">
        <f t="shared" si="5"/>
        <v>0.19042500000000001</v>
      </c>
      <c r="AC13" s="2651">
        <f t="shared" si="5"/>
        <v>0.19042500000000001</v>
      </c>
      <c r="AD13" s="2651">
        <f t="shared" si="5"/>
        <v>0.19042500000000001</v>
      </c>
      <c r="AE13" s="2651">
        <f t="shared" si="5"/>
        <v>0.19042500000000001</v>
      </c>
      <c r="AF13" s="2651">
        <f t="shared" si="5"/>
        <v>0.19042500000000001</v>
      </c>
      <c r="AG13" s="2651">
        <f t="shared" si="5"/>
        <v>0.19042500000000001</v>
      </c>
      <c r="AH13" s="2651">
        <f t="shared" si="5"/>
        <v>0.19042500000000001</v>
      </c>
      <c r="AI13" s="2651">
        <f t="shared" si="5"/>
        <v>0.19042500000000001</v>
      </c>
      <c r="AJ13" s="2651">
        <f t="shared" si="5"/>
        <v>0.19042500000000001</v>
      </c>
    </row>
    <row r="14" spans="1:39" ht="12.75" customHeight="1">
      <c r="A14" s="3539"/>
      <c r="B14" s="1400"/>
      <c r="C14" s="1401"/>
      <c r="D14" s="1402"/>
      <c r="E14" s="1402"/>
      <c r="F14" s="1403"/>
      <c r="G14" s="1404" t="s">
        <v>940</v>
      </c>
      <c r="H14" s="1405"/>
      <c r="I14" s="1406"/>
      <c r="J14" s="1407"/>
      <c r="K14" s="3236"/>
      <c r="L14" s="3236"/>
      <c r="M14" s="3236"/>
      <c r="N14" s="3236"/>
      <c r="O14" s="3236"/>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40"/>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37" t="s">
        <v>1829</v>
      </c>
      <c r="B16" s="1376" t="s">
        <v>941</v>
      </c>
      <c r="C16" s="1039" t="e">
        <f>ROUND(IF(F17="与级别开发程度一致",0,(G17-E17)/C17),0)</f>
        <v>#DIV/0!</v>
      </c>
      <c r="D16" s="3531" t="s">
        <v>945</v>
      </c>
      <c r="E16" s="3532"/>
      <c r="F16" s="3531" t="s">
        <v>942</v>
      </c>
      <c r="G16" s="3532"/>
      <c r="H16" s="1408"/>
      <c r="I16" s="1408"/>
      <c r="J16" s="1408"/>
      <c r="K16" s="1408"/>
      <c r="L16" s="1408"/>
      <c r="M16" s="1408"/>
      <c r="N16" s="1408"/>
      <c r="O16" s="2854"/>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41"/>
      <c r="B17" s="2855" t="s">
        <v>944</v>
      </c>
      <c r="C17" s="2856">
        <f>SUMPRODUCT((修正!A2:A5=E2)*(修正!B1:M1=G2)*(修正!B2:M5))</f>
        <v>0</v>
      </c>
      <c r="D17" s="2857" t="str">
        <f>IF(OR(G2="八级",G2="九级",G2="十级",G2="十一级",G2="十二级"),"五通一平","七通一平")</f>
        <v>七通一平</v>
      </c>
      <c r="E17" s="2847">
        <f>SUMPRODUCT((修正!B1:M1=G2)*(修正!B15:M15))</f>
        <v>0</v>
      </c>
      <c r="F17" s="2848"/>
      <c r="G17" s="2847">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8">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50" t="s">
        <v>946</v>
      </c>
      <c r="C18" s="2851">
        <f>SUMIF(修正!C18:C39,E3,修正!E18:E39)</f>
        <v>0</v>
      </c>
      <c r="D18" s="2852"/>
      <c r="E18" s="2853"/>
      <c r="F18" s="2836"/>
      <c r="G18" s="2835"/>
      <c r="H18" s="2835"/>
      <c r="I18" s="2835"/>
      <c r="J18" s="2843"/>
      <c r="K18" s="3234"/>
      <c r="L18" s="2835"/>
      <c r="M18" s="2835"/>
      <c r="N18" s="2835"/>
      <c r="O18" s="2835"/>
      <c r="P18" s="3239"/>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ROUND(IF(H19="按公示增长率计算",SUMPRODUCT((地价!A3:A31=YEAR(G19)&amp;"-"&amp;ROUNDUP(MONTH(G19)/3,0))*(地价!X2:AB2=E2)*(地价!X3:AB31)),IF(H19="地价指数",M20/M19,(1+I19)^O19)),4)</f>
        <v>0</v>
      </c>
      <c r="D19" s="1415" t="s">
        <v>948</v>
      </c>
      <c r="E19" s="1041">
        <v>41640</v>
      </c>
      <c r="F19" s="1415" t="s">
        <v>949</v>
      </c>
      <c r="G19" s="1042">
        <f>'数据-取费表'!B2</f>
        <v>44070</v>
      </c>
      <c r="H19" s="1416" t="s">
        <v>2942</v>
      </c>
      <c r="I19" s="2504" t="str">
        <f>IF(H19="季度增幅（自定义）",SUMIF(N21:N24,E2,O21:O24),"")</f>
        <v/>
      </c>
      <c r="J19" s="1412"/>
      <c r="K19" s="3234"/>
      <c r="L19" s="2754" t="s">
        <v>2820</v>
      </c>
      <c r="M19" s="2755">
        <f>ROUND(SUMIF(地价!B2:F2,E2,地价!B31:F31),0)</f>
        <v>0</v>
      </c>
      <c r="N19" s="2506" t="s">
        <v>1667</v>
      </c>
      <c r="O19" s="2505">
        <f>ROUNDDOWN(DATEDIF(E19,G19,"M")/3,0)</f>
        <v>26</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4">
        <f ca="1">存贷款利率!I4/100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5"/>
      <c r="L20" s="2756" t="s">
        <v>2821</v>
      </c>
      <c r="M20" s="2838">
        <f>ROUND(SUMPRODUCT((地价!A4:A31=YEAR(G19)&amp;"-"&amp;ROUNDUP(MONTH(G19)/3,0))*(地价!B2:F2=E2)*(地价!B4:F31)),0)</f>
        <v>0</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2979</v>
      </c>
      <c r="C21" s="1141" t="b">
        <f>IF(B21="容积率修正",IF(G3&lt;=10,D22,J22),C23)</f>
        <v>0</v>
      </c>
      <c r="D21" s="1422"/>
      <c r="E21" s="1422"/>
      <c r="F21" s="1422"/>
      <c r="G21" s="1422"/>
      <c r="H21" s="1422"/>
      <c r="I21" s="1422"/>
      <c r="J21" s="1423"/>
      <c r="K21" s="3234"/>
      <c r="L21" s="1422"/>
      <c r="M21" s="1422"/>
      <c r="N21" s="1419" t="s">
        <v>966</v>
      </c>
      <c r="O21" s="1482"/>
      <c r="P21" s="2496">
        <f>SUMPRODUCT((地价!A3:A31=YEAR(G19)&amp;"-"&amp;ROUNDUP(MONTH(G19)/3,0))*(地价!AD2:AH2=N21)*(地价!AD3:AH31))</f>
        <v>1.2E-2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0"/>
      <c r="L22" s="1422"/>
      <c r="M22" s="1422"/>
      <c r="N22" s="1419" t="s">
        <v>969</v>
      </c>
      <c r="O22" s="1482"/>
      <c r="P22" s="2496">
        <f>SUMPRODUCT((地价!A3:A31=YEAR(G19)&amp;"-"&amp;ROUNDUP(MONTH(G19)/3,0))*(地价!AD2:AH2=N22)*(地价!AD3:AH31))</f>
        <v>1.2E-2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6">
        <f>SUMPRODUCT((地价!A3:A31=YEAR(G19)&amp;"-"&amp;ROUNDUP(MONTH(G19)/3,0))*(地价!AD2:AH2=N23)*(地价!AD3:AH31))</f>
        <v>1.9699999999999999E-2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1"/>
      <c r="L24" s="1422"/>
      <c r="M24" s="1422"/>
      <c r="N24" s="1419" t="s">
        <v>972</v>
      </c>
      <c r="O24" s="2837"/>
      <c r="P24" s="2496">
        <f>SUMPRODUCT((地价!A3:A31=YEAR(G19)&amp;"-"&amp;ROUNDUP(MONTH(G19)/3,0))*(地价!AD2:AH2=N24)*(地价!AD3:AH31))</f>
        <v>1.2699999999999999E-2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7"/>
      <c r="M25" s="2077"/>
      <c r="N25" s="2839" t="s">
        <v>2628</v>
      </c>
      <c r="O25" s="2840"/>
      <c r="P25" s="2303">
        <f>SUMPRODUCT((地价!A3:A31=YEAR(G19)&amp;"-"&amp;ROUNDUP(MONTH(G19)/3,0))*(地价!AD2:AH2=N25)*(地价!AD3:AH31))</f>
        <v>1.7899999999999999E-2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8" t="e">
        <f>IF(B21="容积率修正",E29+SUM(E33:E39),SUM(V2:V16)+SUM(E33:E39))</f>
        <v>#DIV/0!</v>
      </c>
      <c r="D26" s="1430"/>
      <c r="E26" s="1405"/>
      <c r="F26" s="1431"/>
      <c r="G26" s="1405"/>
      <c r="H26" s="1405"/>
      <c r="I26" s="1405"/>
      <c r="J26" s="1432"/>
      <c r="K26" s="3235"/>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5"/>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2"/>
      <c r="L29" s="3242"/>
      <c r="M29" s="3242"/>
      <c r="N29" s="3242"/>
      <c r="O29" s="3242"/>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5"/>
      <c r="L30" s="3235"/>
      <c r="M30" s="3235"/>
      <c r="N30" s="3235"/>
      <c r="O30" s="3235"/>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33"/>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33" t="s">
        <v>2983</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34"/>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34"/>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34"/>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34"/>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35"/>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35"/>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2936</v>
      </c>
      <c r="C41" s="828" t="e">
        <f>ROUND(POWER(1+E41,H41-G41)*(POWER(1+E41,G41)-1)/(POWER(1+E41,H41)-1),4)</f>
        <v>#DIV/0!</v>
      </c>
      <c r="D41" s="372" t="s">
        <v>2934</v>
      </c>
      <c r="E41" s="2833">
        <f>G20</f>
        <v>0</v>
      </c>
      <c r="F41" s="372" t="s">
        <v>2935</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2238</v>
      </c>
      <c r="G46" s="2287" t="s">
        <v>1005</v>
      </c>
      <c r="H46" s="2270" t="s">
        <v>2402</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24">
      <c r="A47" s="1050" t="s">
        <v>1011</v>
      </c>
      <c r="B47" s="2267" t="str">
        <f>估价对象房地状况!C16</f>
        <v>较好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14.25">
      <c r="A48" s="1050" t="s">
        <v>1012</v>
      </c>
      <c r="B48" s="2264" t="str">
        <f>估价对象房地状况!C18</f>
        <v>一般</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6" t="s">
        <v>2892</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5" t="s">
        <v>2891</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一般</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七通</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较好</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2239</v>
      </c>
      <c r="G57" s="2287" t="s">
        <v>1005</v>
      </c>
      <c r="H57" s="2270" t="s">
        <v>2402</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24">
      <c r="A58" s="1050" t="s">
        <v>1021</v>
      </c>
      <c r="B58" s="2267">
        <f>估价对象房地状况!C17</f>
        <v>0</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14.25">
      <c r="A59" s="1050" t="s">
        <v>1012</v>
      </c>
      <c r="B59" s="2264" t="str">
        <f>估价对象房地状况!C18</f>
        <v>一般</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6" t="s">
        <v>2893</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5" t="s">
        <v>2891</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一般</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七通</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较好</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2240</v>
      </c>
      <c r="G68" s="2287" t="s">
        <v>1005</v>
      </c>
      <c r="H68" s="2270" t="s">
        <v>2402</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24">
      <c r="A69" s="1050" t="s">
        <v>1023</v>
      </c>
      <c r="B69" s="2267" t="str">
        <f>估价对象房地状况!C15</f>
        <v>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14.25">
      <c r="A70" s="1050" t="s">
        <v>1024</v>
      </c>
      <c r="B70" s="2264" t="str">
        <f>估价对象房地状况!C18</f>
        <v>一般</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一般</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七通</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5" t="s">
        <v>2891</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较好</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2241</v>
      </c>
      <c r="G79" s="2287" t="s">
        <v>1005</v>
      </c>
      <c r="H79" s="2270" t="s">
        <v>2402</v>
      </c>
      <c r="I79" s="2287" t="s">
        <v>1003</v>
      </c>
      <c r="J79" s="2290" t="s">
        <v>1006</v>
      </c>
      <c r="K79" s="2290" t="s">
        <v>1007</v>
      </c>
      <c r="L79" s="2290" t="s">
        <v>1008</v>
      </c>
      <c r="M79" s="2290" t="s">
        <v>1009</v>
      </c>
      <c r="N79" s="2290" t="s">
        <v>1010</v>
      </c>
      <c r="AC79" s="1354"/>
      <c r="AD79" s="1353"/>
      <c r="AJ79" s="1352"/>
      <c r="AN79" s="1353"/>
    </row>
    <row r="80" spans="1:40" ht="24">
      <c r="A80" s="1050" t="s">
        <v>1028</v>
      </c>
      <c r="B80" s="2264">
        <f>估价对象房地状况!G15</f>
        <v>0</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14.25">
      <c r="A81" s="1050" t="s">
        <v>1024</v>
      </c>
      <c r="B81" s="2264">
        <f>估价对象房地状况!G16</f>
        <v>0</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f>估价对象房地状况!G19</f>
        <v>0</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f>估价对象房地状况!G20</f>
        <v>0</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5" t="s">
        <v>2891</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15" thickBot="1">
      <c r="A87" s="2297" t="s">
        <v>1029</v>
      </c>
      <c r="B87" s="2266">
        <f>估价对象房地状况!G18</f>
        <v>0</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42" t="s">
        <v>1624</v>
      </c>
      <c r="B90" s="3542"/>
      <c r="C90" s="3542"/>
      <c r="D90" s="3542"/>
      <c r="E90" s="3542"/>
      <c r="F90" s="3542"/>
      <c r="G90" s="3542"/>
      <c r="H90" s="3542"/>
      <c r="I90" s="3542"/>
      <c r="J90" s="3542"/>
      <c r="K90" s="2306"/>
      <c r="L90" s="2306"/>
      <c r="M90" s="2306"/>
      <c r="N90" s="2306"/>
    </row>
    <row r="91" spans="1:40">
      <c r="A91" s="3543" t="s">
        <v>1434</v>
      </c>
      <c r="B91" s="3543" t="s">
        <v>1625</v>
      </c>
      <c r="C91" s="1123" t="s">
        <v>1626</v>
      </c>
      <c r="D91" s="1124"/>
      <c r="E91" s="1124"/>
      <c r="F91" s="1124"/>
      <c r="G91" s="1124"/>
      <c r="H91" s="1124"/>
      <c r="I91" s="1124"/>
      <c r="J91" s="1125"/>
      <c r="K91" s="1117"/>
      <c r="L91" s="1117"/>
      <c r="M91" s="1117"/>
      <c r="N91" s="1117"/>
    </row>
    <row r="92" spans="1:40">
      <c r="A92" s="3543"/>
      <c r="B92" s="3543"/>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26"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7"/>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7"/>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7"/>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7"/>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7"/>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7"/>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28"/>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26"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27"/>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27"/>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27"/>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27"/>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27"/>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27"/>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27"/>
      <c r="B108" s="3529"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28"/>
      <c r="B109" s="3530"/>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36" t="s">
        <v>1630</v>
      </c>
      <c r="B110" s="3536"/>
      <c r="C110" s="3536"/>
      <c r="D110" s="3536"/>
      <c r="E110" s="3536"/>
      <c r="F110" s="3536"/>
      <c r="G110" s="3536"/>
      <c r="H110" s="3536"/>
      <c r="I110" s="3536"/>
      <c r="J110" s="3536"/>
      <c r="K110" s="2304"/>
      <c r="L110" s="2304"/>
      <c r="M110" s="2304"/>
      <c r="N110" s="2304"/>
    </row>
    <row r="112" spans="1:14" ht="12.75" thickBot="1"/>
    <row r="113" spans="1:13" ht="25.5" thickBot="1">
      <c r="A113" s="1003" t="s">
        <v>887</v>
      </c>
      <c r="B113" s="2307">
        <f>G3</f>
        <v>4</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2.75">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2.75">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5"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2939</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43" t="s">
        <v>998</v>
      </c>
      <c r="B18" s="1137" t="s">
        <v>1437</v>
      </c>
      <c r="C18" s="1114" t="s">
        <v>1438</v>
      </c>
      <c r="D18" s="1115"/>
      <c r="E18" s="1137">
        <v>1</v>
      </c>
      <c r="F18" s="1116" t="s">
        <v>1439</v>
      </c>
      <c r="G18" s="1117"/>
      <c r="H18" s="1088"/>
      <c r="I18" s="1088"/>
    </row>
    <row r="19" spans="1:9" s="1530" customFormat="1" ht="19.5" customHeight="1">
      <c r="A19" s="3543"/>
      <c r="B19" s="3543" t="s">
        <v>1440</v>
      </c>
      <c r="C19" s="1114" t="s">
        <v>1441</v>
      </c>
      <c r="D19" s="1115"/>
      <c r="E19" s="1137">
        <v>0.9</v>
      </c>
      <c r="F19" s="1116" t="s">
        <v>1442</v>
      </c>
      <c r="G19" s="1117"/>
      <c r="H19" s="1088"/>
      <c r="I19" s="1088"/>
    </row>
    <row r="20" spans="1:9" s="1530" customFormat="1" ht="19.5" customHeight="1">
      <c r="A20" s="3543"/>
      <c r="B20" s="3543"/>
      <c r="C20" s="1114" t="s">
        <v>1443</v>
      </c>
      <c r="D20" s="1115"/>
      <c r="E20" s="1137">
        <v>1.1000000000000001</v>
      </c>
      <c r="F20" s="1116" t="s">
        <v>1444</v>
      </c>
      <c r="G20" s="1117"/>
      <c r="H20" s="1088"/>
      <c r="I20" s="1088"/>
    </row>
    <row r="21" spans="1:9" s="1530" customFormat="1" ht="19.5" customHeight="1">
      <c r="A21" s="3543"/>
      <c r="B21" s="3543"/>
      <c r="C21" s="1114" t="s">
        <v>1445</v>
      </c>
      <c r="D21" s="1115"/>
      <c r="E21" s="1137">
        <v>0.8</v>
      </c>
      <c r="F21" s="1116" t="s">
        <v>1446</v>
      </c>
      <c r="G21" s="1117"/>
      <c r="H21" s="1088"/>
      <c r="I21" s="1088"/>
    </row>
    <row r="22" spans="1:9" s="1530" customFormat="1" ht="19.5" customHeight="1">
      <c r="A22" s="3543"/>
      <c r="B22" s="3543"/>
      <c r="C22" s="1114" t="s">
        <v>1447</v>
      </c>
      <c r="D22" s="1115"/>
      <c r="E22" s="1137">
        <v>0.5</v>
      </c>
      <c r="F22" s="1116"/>
      <c r="G22" s="1117"/>
      <c r="H22" s="1088"/>
      <c r="I22" s="1088"/>
    </row>
    <row r="23" spans="1:9" s="1530" customFormat="1" ht="19.5" customHeight="1">
      <c r="A23" s="3543" t="s">
        <v>1020</v>
      </c>
      <c r="B23" s="1137" t="s">
        <v>1437</v>
      </c>
      <c r="C23" s="1114" t="s">
        <v>1448</v>
      </c>
      <c r="D23" s="1115"/>
      <c r="E23" s="1137">
        <v>1</v>
      </c>
      <c r="F23" s="1116" t="s">
        <v>1449</v>
      </c>
      <c r="G23" s="1117"/>
      <c r="H23" s="1088"/>
      <c r="I23" s="1088"/>
    </row>
    <row r="24" spans="1:9" s="1530" customFormat="1" ht="19.5" customHeight="1">
      <c r="A24" s="3543"/>
      <c r="B24" s="3543" t="s">
        <v>1440</v>
      </c>
      <c r="C24" s="1114" t="s">
        <v>1450</v>
      </c>
      <c r="D24" s="1115"/>
      <c r="E24" s="1137">
        <v>0.5</v>
      </c>
      <c r="F24" s="1116"/>
      <c r="G24" s="1117"/>
      <c r="H24" s="1088"/>
      <c r="I24" s="1088"/>
    </row>
    <row r="25" spans="1:9" s="1530" customFormat="1" ht="19.5" customHeight="1">
      <c r="A25" s="3543"/>
      <c r="B25" s="3543"/>
      <c r="C25" s="1114" t="s">
        <v>1451</v>
      </c>
      <c r="D25" s="1115"/>
      <c r="E25" s="1137">
        <v>1.1000000000000001</v>
      </c>
      <c r="F25" s="1116"/>
      <c r="G25" s="1117"/>
      <c r="H25" s="1088"/>
      <c r="I25" s="1088"/>
    </row>
    <row r="26" spans="1:9" s="1530" customFormat="1" ht="19.5" customHeight="1">
      <c r="A26" s="3543"/>
      <c r="B26" s="3543"/>
      <c r="C26" s="1114" t="s">
        <v>1452</v>
      </c>
      <c r="D26" s="1115"/>
      <c r="E26" s="1137">
        <v>1.1000000000000001</v>
      </c>
      <c r="F26" s="1116"/>
      <c r="G26" s="1117"/>
      <c r="H26" s="1088"/>
      <c r="I26" s="1088"/>
    </row>
    <row r="27" spans="1:9" s="1530" customFormat="1" ht="19.5" customHeight="1">
      <c r="A27" s="3543"/>
      <c r="B27" s="3543"/>
      <c r="C27" s="1114" t="s">
        <v>1453</v>
      </c>
      <c r="D27" s="1115"/>
      <c r="E27" s="1137">
        <v>0.9</v>
      </c>
      <c r="F27" s="1116" t="s">
        <v>1454</v>
      </c>
      <c r="G27" s="1117"/>
      <c r="H27" s="1088"/>
      <c r="I27" s="1088"/>
    </row>
    <row r="28" spans="1:9" s="1530" customFormat="1" ht="19.5" customHeight="1">
      <c r="A28" s="3543"/>
      <c r="B28" s="3543"/>
      <c r="C28" s="1114" t="s">
        <v>1455</v>
      </c>
      <c r="D28" s="1115"/>
      <c r="E28" s="1137">
        <v>0.9</v>
      </c>
      <c r="F28" s="1116" t="s">
        <v>1456</v>
      </c>
      <c r="G28" s="1117"/>
      <c r="H28" s="1088"/>
      <c r="I28" s="1088"/>
    </row>
    <row r="29" spans="1:9" s="1530" customFormat="1" ht="19.5" customHeight="1">
      <c r="A29" s="3543"/>
      <c r="B29" s="3543"/>
      <c r="C29" s="1114" t="s">
        <v>1457</v>
      </c>
      <c r="D29" s="1115"/>
      <c r="E29" s="1137">
        <v>0.9</v>
      </c>
      <c r="F29" s="1116" t="s">
        <v>1458</v>
      </c>
      <c r="G29" s="1117"/>
      <c r="H29" s="1088"/>
      <c r="I29" s="1088"/>
    </row>
    <row r="30" spans="1:9" s="1530" customFormat="1" ht="19.5" customHeight="1">
      <c r="A30" s="3543"/>
      <c r="B30" s="3543"/>
      <c r="C30" s="1114" t="s">
        <v>1459</v>
      </c>
      <c r="D30" s="1115"/>
      <c r="E30" s="1137">
        <v>0.9</v>
      </c>
      <c r="F30" s="1116" t="s">
        <v>1460</v>
      </c>
      <c r="G30" s="1117"/>
      <c r="H30" s="1088"/>
      <c r="I30" s="1088"/>
    </row>
    <row r="31" spans="1:9" s="1530" customFormat="1" ht="19.5" customHeight="1">
      <c r="A31" s="3543"/>
      <c r="B31" s="3543"/>
      <c r="C31" s="1114" t="s">
        <v>1461</v>
      </c>
      <c r="D31" s="1115"/>
      <c r="E31" s="1137">
        <v>0.8</v>
      </c>
      <c r="F31" s="1116" t="s">
        <v>1462</v>
      </c>
      <c r="G31" s="1117"/>
      <c r="H31" s="1088"/>
      <c r="I31" s="1088"/>
    </row>
    <row r="32" spans="1:9" s="1530" customFormat="1" ht="19.5" customHeight="1">
      <c r="A32" s="3543"/>
      <c r="B32" s="3543"/>
      <c r="C32" s="1114" t="s">
        <v>1463</v>
      </c>
      <c r="D32" s="1115"/>
      <c r="E32" s="1137">
        <v>0.8</v>
      </c>
      <c r="F32" s="1116" t="s">
        <v>1464</v>
      </c>
      <c r="G32" s="1117"/>
      <c r="H32" s="1088"/>
      <c r="I32" s="1088"/>
    </row>
    <row r="33" spans="1:9" s="1530" customFormat="1" ht="19.5" customHeight="1">
      <c r="A33" s="3543" t="s">
        <v>1465</v>
      </c>
      <c r="B33" s="1137" t="s">
        <v>1437</v>
      </c>
      <c r="C33" s="1114" t="s">
        <v>1466</v>
      </c>
      <c r="D33" s="1115"/>
      <c r="E33" s="1137">
        <v>1</v>
      </c>
      <c r="F33" s="1116" t="s">
        <v>1467</v>
      </c>
      <c r="G33" s="1117"/>
      <c r="H33" s="1088"/>
      <c r="I33" s="1088"/>
    </row>
    <row r="34" spans="1:9" s="1530" customFormat="1" ht="19.5" customHeight="1">
      <c r="A34" s="3543"/>
      <c r="B34" s="1137" t="s">
        <v>1440</v>
      </c>
      <c r="C34" s="1114" t="s">
        <v>1468</v>
      </c>
      <c r="D34" s="1115"/>
      <c r="E34" s="1137">
        <v>1.5</v>
      </c>
      <c r="F34" s="1116" t="s">
        <v>1469</v>
      </c>
      <c r="G34" s="1117"/>
      <c r="H34" s="1088"/>
      <c r="I34" s="1088"/>
    </row>
    <row r="35" spans="1:9" s="1530" customFormat="1" ht="19.5" customHeight="1">
      <c r="A35" s="3543" t="s">
        <v>1423</v>
      </c>
      <c r="B35" s="1137" t="s">
        <v>1437</v>
      </c>
      <c r="C35" s="1114" t="s">
        <v>1470</v>
      </c>
      <c r="D35" s="1115"/>
      <c r="E35" s="1137">
        <v>1</v>
      </c>
      <c r="F35" s="1116" t="s">
        <v>1471</v>
      </c>
      <c r="G35" s="1117"/>
      <c r="H35" s="1088"/>
      <c r="I35" s="1088"/>
    </row>
    <row r="36" spans="1:9" s="1530" customFormat="1" ht="19.5" customHeight="1">
      <c r="A36" s="3543"/>
      <c r="B36" s="3543" t="s">
        <v>1440</v>
      </c>
      <c r="C36" s="1114" t="s">
        <v>1472</v>
      </c>
      <c r="D36" s="1115"/>
      <c r="E36" s="1137">
        <v>1</v>
      </c>
      <c r="F36" s="1116" t="s">
        <v>1473</v>
      </c>
      <c r="G36" s="1117"/>
      <c r="H36" s="1088"/>
      <c r="I36" s="1088"/>
    </row>
    <row r="37" spans="1:9" s="1530" customFormat="1" ht="19.5" customHeight="1">
      <c r="A37" s="3543"/>
      <c r="B37" s="3543"/>
      <c r="C37" s="1114" t="s">
        <v>1474</v>
      </c>
      <c r="D37" s="1115"/>
      <c r="E37" s="1137">
        <v>1.5</v>
      </c>
      <c r="F37" s="1116" t="s">
        <v>1475</v>
      </c>
      <c r="G37" s="1117"/>
      <c r="H37" s="1088"/>
      <c r="I37" s="1088"/>
    </row>
    <row r="38" spans="1:9" s="1530" customFormat="1" ht="19.5" customHeight="1">
      <c r="A38" s="3543"/>
      <c r="B38" s="3543"/>
      <c r="C38" s="1114" t="s">
        <v>1476</v>
      </c>
      <c r="D38" s="1115"/>
      <c r="E38" s="1137">
        <v>1</v>
      </c>
      <c r="F38" s="1116" t="s">
        <v>1477</v>
      </c>
      <c r="G38" s="1117"/>
      <c r="H38" s="1088"/>
      <c r="I38" s="1088"/>
    </row>
    <row r="39" spans="1:9" s="1530" customFormat="1" ht="19.5" customHeight="1">
      <c r="A39" s="3543"/>
      <c r="B39" s="3543"/>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43" t="s">
        <v>1492</v>
      </c>
      <c r="C61" s="1051" t="s">
        <v>1493</v>
      </c>
      <c r="D61" s="1051" t="s">
        <v>1494</v>
      </c>
      <c r="E61" s="1122">
        <v>0.5</v>
      </c>
      <c r="F61" s="1137">
        <v>80</v>
      </c>
      <c r="H61" s="1088">
        <f>SUMIF(C59:C119,基准地价!C8,E59:E119)</f>
        <v>0</v>
      </c>
    </row>
    <row r="62" spans="1:8" s="1088" customFormat="1" ht="24">
      <c r="A62" s="1137">
        <v>2</v>
      </c>
      <c r="B62" s="3543"/>
      <c r="C62" s="1051" t="s">
        <v>1495</v>
      </c>
      <c r="D62" s="1051" t="s">
        <v>1496</v>
      </c>
      <c r="E62" s="1122">
        <v>0.5</v>
      </c>
      <c r="F62" s="1137">
        <v>80</v>
      </c>
    </row>
    <row r="63" spans="1:8" s="1088" customFormat="1" ht="36">
      <c r="A63" s="1137">
        <v>3</v>
      </c>
      <c r="B63" s="3543"/>
      <c r="C63" s="1051" t="s">
        <v>1497</v>
      </c>
      <c r="D63" s="1051" t="s">
        <v>1498</v>
      </c>
      <c r="E63" s="1122">
        <v>0.5</v>
      </c>
      <c r="F63" s="1137">
        <v>80</v>
      </c>
    </row>
    <row r="64" spans="1:8" s="1088" customFormat="1" ht="36">
      <c r="A64" s="1137">
        <v>4</v>
      </c>
      <c r="B64" s="3543"/>
      <c r="C64" s="1051" t="s">
        <v>1499</v>
      </c>
      <c r="D64" s="1051" t="s">
        <v>1500</v>
      </c>
      <c r="E64" s="1122">
        <v>0.4</v>
      </c>
      <c r="F64" s="1137">
        <v>60</v>
      </c>
    </row>
    <row r="65" spans="1:6" s="1088" customFormat="1" ht="36">
      <c r="A65" s="1137">
        <v>5</v>
      </c>
      <c r="B65" s="3543"/>
      <c r="C65" s="1051" t="s">
        <v>1501</v>
      </c>
      <c r="D65" s="1051" t="s">
        <v>1502</v>
      </c>
      <c r="E65" s="1122">
        <v>0.2</v>
      </c>
      <c r="F65" s="1137">
        <v>30</v>
      </c>
    </row>
    <row r="66" spans="1:6" s="1088" customFormat="1" ht="36">
      <c r="A66" s="1137">
        <v>6</v>
      </c>
      <c r="B66" s="3543"/>
      <c r="C66" s="1051" t="s">
        <v>1503</v>
      </c>
      <c r="D66" s="1051" t="s">
        <v>1504</v>
      </c>
      <c r="E66" s="1122">
        <v>0.3</v>
      </c>
      <c r="F66" s="1137">
        <v>50</v>
      </c>
    </row>
    <row r="67" spans="1:6" s="1088" customFormat="1" ht="36">
      <c r="A67" s="1137">
        <v>7</v>
      </c>
      <c r="B67" s="3543"/>
      <c r="C67" s="1051" t="s">
        <v>1505</v>
      </c>
      <c r="D67" s="1051" t="s">
        <v>1506</v>
      </c>
      <c r="E67" s="1122">
        <v>0.2</v>
      </c>
      <c r="F67" s="1137">
        <v>30</v>
      </c>
    </row>
    <row r="68" spans="1:6" s="1088" customFormat="1" ht="36">
      <c r="A68" s="1137">
        <v>8</v>
      </c>
      <c r="B68" s="3543"/>
      <c r="C68" s="1051" t="s">
        <v>1507</v>
      </c>
      <c r="D68" s="1051" t="s">
        <v>1508</v>
      </c>
      <c r="E68" s="1122">
        <v>0.2</v>
      </c>
      <c r="F68" s="1137">
        <v>30</v>
      </c>
    </row>
    <row r="69" spans="1:6" s="1088" customFormat="1" ht="36">
      <c r="A69" s="1137">
        <v>9</v>
      </c>
      <c r="B69" s="3543"/>
      <c r="C69" s="1051" t="s">
        <v>1509</v>
      </c>
      <c r="D69" s="1051" t="s">
        <v>1510</v>
      </c>
      <c r="E69" s="1122">
        <v>0.2</v>
      </c>
      <c r="F69" s="1137">
        <v>30</v>
      </c>
    </row>
    <row r="70" spans="1:6" s="1088" customFormat="1" ht="48">
      <c r="A70" s="1137">
        <v>10</v>
      </c>
      <c r="B70" s="3543"/>
      <c r="C70" s="1051" t="s">
        <v>1511</v>
      </c>
      <c r="D70" s="1051" t="s">
        <v>1512</v>
      </c>
      <c r="E70" s="1122">
        <v>0.2</v>
      </c>
      <c r="F70" s="1137">
        <v>30</v>
      </c>
    </row>
    <row r="71" spans="1:6" s="1088" customFormat="1" ht="48">
      <c r="A71" s="1137">
        <v>11</v>
      </c>
      <c r="B71" s="3543"/>
      <c r="C71" s="1051" t="s">
        <v>1513</v>
      </c>
      <c r="D71" s="1051" t="s">
        <v>1514</v>
      </c>
      <c r="E71" s="1122">
        <v>0.2</v>
      </c>
      <c r="F71" s="1137">
        <v>30</v>
      </c>
    </row>
    <row r="72" spans="1:6" s="1088" customFormat="1" ht="36">
      <c r="A72" s="1137">
        <v>12</v>
      </c>
      <c r="B72" s="3543"/>
      <c r="C72" s="1051" t="s">
        <v>1515</v>
      </c>
      <c r="D72" s="1051" t="s">
        <v>1516</v>
      </c>
      <c r="E72" s="1122">
        <v>0.5</v>
      </c>
      <c r="F72" s="1137">
        <v>80</v>
      </c>
    </row>
    <row r="73" spans="1:6" s="1088" customFormat="1" ht="24">
      <c r="A73" s="1137">
        <v>13</v>
      </c>
      <c r="B73" s="3543"/>
      <c r="C73" s="1051" t="s">
        <v>1517</v>
      </c>
      <c r="D73" s="1051" t="s">
        <v>1518</v>
      </c>
      <c r="E73" s="1122">
        <v>0.4</v>
      </c>
      <c r="F73" s="1137">
        <v>60</v>
      </c>
    </row>
    <row r="74" spans="1:6" s="1088" customFormat="1" ht="24">
      <c r="A74" s="1137">
        <v>14</v>
      </c>
      <c r="B74" s="3543"/>
      <c r="C74" s="1051" t="s">
        <v>1519</v>
      </c>
      <c r="D74" s="1051" t="s">
        <v>1520</v>
      </c>
      <c r="E74" s="1122">
        <v>0.2</v>
      </c>
      <c r="F74" s="1137">
        <v>30</v>
      </c>
    </row>
    <row r="75" spans="1:6" s="1088" customFormat="1" ht="24">
      <c r="A75" s="1137">
        <v>15</v>
      </c>
      <c r="B75" s="3543"/>
      <c r="C75" s="1051" t="s">
        <v>1521</v>
      </c>
      <c r="D75" s="1051" t="s">
        <v>1522</v>
      </c>
      <c r="E75" s="1122">
        <v>0.2</v>
      </c>
      <c r="F75" s="1137">
        <v>30</v>
      </c>
    </row>
    <row r="76" spans="1:6" s="1088" customFormat="1" ht="24">
      <c r="A76" s="1137">
        <v>16</v>
      </c>
      <c r="B76" s="3543" t="s">
        <v>1523</v>
      </c>
      <c r="C76" s="1051" t="s">
        <v>1524</v>
      </c>
      <c r="D76" s="1051" t="s">
        <v>1525</v>
      </c>
      <c r="E76" s="1122">
        <v>0.5</v>
      </c>
      <c r="F76" s="1137">
        <v>80</v>
      </c>
    </row>
    <row r="77" spans="1:6" s="1088" customFormat="1" ht="24">
      <c r="A77" s="1137">
        <v>17</v>
      </c>
      <c r="B77" s="3543"/>
      <c r="C77" s="1051" t="s">
        <v>1526</v>
      </c>
      <c r="D77" s="1051" t="s">
        <v>1527</v>
      </c>
      <c r="E77" s="1122">
        <v>0.5</v>
      </c>
      <c r="F77" s="1137">
        <v>80</v>
      </c>
    </row>
    <row r="78" spans="1:6" s="1088" customFormat="1" ht="24">
      <c r="A78" s="1137">
        <v>18</v>
      </c>
      <c r="B78" s="3543"/>
      <c r="C78" s="1051" t="s">
        <v>1528</v>
      </c>
      <c r="D78" s="1051" t="s">
        <v>1529</v>
      </c>
      <c r="E78" s="1122">
        <v>0.2</v>
      </c>
      <c r="F78" s="1137">
        <v>30</v>
      </c>
    </row>
    <row r="79" spans="1:6" s="1088" customFormat="1" ht="24">
      <c r="A79" s="1137">
        <v>19</v>
      </c>
      <c r="B79" s="3543"/>
      <c r="C79" s="1051" t="s">
        <v>1530</v>
      </c>
      <c r="D79" s="1051" t="s">
        <v>1531</v>
      </c>
      <c r="E79" s="1122">
        <v>0.5</v>
      </c>
      <c r="F79" s="1137">
        <v>80</v>
      </c>
    </row>
    <row r="80" spans="1:6" s="1088" customFormat="1" ht="36">
      <c r="A80" s="1137">
        <v>20</v>
      </c>
      <c r="B80" s="3543"/>
      <c r="C80" s="1051" t="s">
        <v>1532</v>
      </c>
      <c r="D80" s="1051" t="s">
        <v>1533</v>
      </c>
      <c r="E80" s="1122">
        <v>0.2</v>
      </c>
      <c r="F80" s="1137">
        <v>30</v>
      </c>
    </row>
    <row r="81" spans="1:6" s="1088" customFormat="1" ht="36">
      <c r="A81" s="1137">
        <v>21</v>
      </c>
      <c r="B81" s="3543"/>
      <c r="C81" s="1051" t="s">
        <v>1534</v>
      </c>
      <c r="D81" s="1051" t="s">
        <v>1535</v>
      </c>
      <c r="E81" s="1122">
        <v>0.2</v>
      </c>
      <c r="F81" s="1137">
        <v>30</v>
      </c>
    </row>
    <row r="82" spans="1:6" s="1088" customFormat="1" ht="48">
      <c r="A82" s="1137">
        <v>22</v>
      </c>
      <c r="B82" s="3543"/>
      <c r="C82" s="1051" t="s">
        <v>1536</v>
      </c>
      <c r="D82" s="1051" t="s">
        <v>1537</v>
      </c>
      <c r="E82" s="1122">
        <v>0.2</v>
      </c>
      <c r="F82" s="1137">
        <v>30</v>
      </c>
    </row>
    <row r="83" spans="1:6" s="1088" customFormat="1" ht="48">
      <c r="A83" s="1137">
        <v>23</v>
      </c>
      <c r="B83" s="3543"/>
      <c r="C83" s="1051" t="s">
        <v>1538</v>
      </c>
      <c r="D83" s="1051" t="s">
        <v>1539</v>
      </c>
      <c r="E83" s="1122">
        <v>0.2</v>
      </c>
      <c r="F83" s="1137">
        <v>30</v>
      </c>
    </row>
    <row r="84" spans="1:6" s="1088" customFormat="1" ht="36">
      <c r="A84" s="1137">
        <v>24</v>
      </c>
      <c r="B84" s="3543"/>
      <c r="C84" s="1051" t="s">
        <v>1540</v>
      </c>
      <c r="D84" s="1051" t="s">
        <v>1541</v>
      </c>
      <c r="E84" s="1122">
        <v>0.2</v>
      </c>
      <c r="F84" s="1137">
        <v>30</v>
      </c>
    </row>
    <row r="85" spans="1:6" s="1088" customFormat="1" ht="36">
      <c r="A85" s="1137">
        <v>25</v>
      </c>
      <c r="B85" s="3543"/>
      <c r="C85" s="1051" t="s">
        <v>1542</v>
      </c>
      <c r="D85" s="1051" t="s">
        <v>1543</v>
      </c>
      <c r="E85" s="1122">
        <v>0.5</v>
      </c>
      <c r="F85" s="1137">
        <v>80</v>
      </c>
    </row>
    <row r="86" spans="1:6" s="1088" customFormat="1" ht="36">
      <c r="A86" s="1137">
        <v>26</v>
      </c>
      <c r="B86" s="3543"/>
      <c r="C86" s="1051" t="s">
        <v>1544</v>
      </c>
      <c r="D86" s="1051" t="s">
        <v>1545</v>
      </c>
      <c r="E86" s="1122">
        <v>0.2</v>
      </c>
      <c r="F86" s="1137">
        <v>30</v>
      </c>
    </row>
    <row r="87" spans="1:6" s="1088" customFormat="1" ht="36">
      <c r="A87" s="1137">
        <v>27</v>
      </c>
      <c r="B87" s="3543"/>
      <c r="C87" s="1051" t="s">
        <v>1546</v>
      </c>
      <c r="D87" s="1051" t="s">
        <v>1547</v>
      </c>
      <c r="E87" s="1122">
        <v>0.2</v>
      </c>
      <c r="F87" s="1137">
        <v>30</v>
      </c>
    </row>
    <row r="88" spans="1:6" s="1088" customFormat="1" ht="36">
      <c r="A88" s="1137">
        <v>28</v>
      </c>
      <c r="B88" s="3543"/>
      <c r="C88" s="1051" t="s">
        <v>1548</v>
      </c>
      <c r="D88" s="1051" t="s">
        <v>1549</v>
      </c>
      <c r="E88" s="1122">
        <v>0.2</v>
      </c>
      <c r="F88" s="1137">
        <v>30</v>
      </c>
    </row>
    <row r="89" spans="1:6" s="1088" customFormat="1" ht="24">
      <c r="A89" s="1137">
        <v>29</v>
      </c>
      <c r="B89" s="3543"/>
      <c r="C89" s="1051" t="s">
        <v>1550</v>
      </c>
      <c r="D89" s="1051" t="s">
        <v>1551</v>
      </c>
      <c r="E89" s="1122">
        <v>0.2</v>
      </c>
      <c r="F89" s="1137">
        <v>30</v>
      </c>
    </row>
    <row r="90" spans="1:6" s="1088" customFormat="1" ht="24">
      <c r="A90" s="1137">
        <v>30</v>
      </c>
      <c r="B90" s="3543"/>
      <c r="C90" s="1051" t="s">
        <v>1552</v>
      </c>
      <c r="D90" s="1051" t="s">
        <v>1553</v>
      </c>
      <c r="E90" s="1122">
        <v>0.2</v>
      </c>
      <c r="F90" s="1137">
        <v>30</v>
      </c>
    </row>
    <row r="91" spans="1:6" s="1088" customFormat="1" ht="36">
      <c r="A91" s="1137">
        <v>31</v>
      </c>
      <c r="B91" s="3543"/>
      <c r="C91" s="1051" t="s">
        <v>1554</v>
      </c>
      <c r="D91" s="1051" t="s">
        <v>1555</v>
      </c>
      <c r="E91" s="1122">
        <v>0.2</v>
      </c>
      <c r="F91" s="1137">
        <v>30</v>
      </c>
    </row>
    <row r="92" spans="1:6" s="1088" customFormat="1" ht="24">
      <c r="A92" s="1137">
        <v>32</v>
      </c>
      <c r="B92" s="3543" t="s">
        <v>1556</v>
      </c>
      <c r="C92" s="1137" t="s">
        <v>1557</v>
      </c>
      <c r="D92" s="1051" t="s">
        <v>1558</v>
      </c>
      <c r="E92" s="1122">
        <v>0.2</v>
      </c>
      <c r="F92" s="1137">
        <v>30</v>
      </c>
    </row>
    <row r="93" spans="1:6" s="1088" customFormat="1" ht="36">
      <c r="A93" s="1137">
        <v>33</v>
      </c>
      <c r="B93" s="3543"/>
      <c r="C93" s="1137" t="s">
        <v>1559</v>
      </c>
      <c r="D93" s="1051" t="s">
        <v>1560</v>
      </c>
      <c r="E93" s="1122">
        <v>0.2</v>
      </c>
      <c r="F93" s="1137">
        <v>30</v>
      </c>
    </row>
    <row r="94" spans="1:6" s="1088" customFormat="1" ht="48">
      <c r="A94" s="1137">
        <v>34</v>
      </c>
      <c r="B94" s="3543"/>
      <c r="C94" s="1137" t="s">
        <v>1561</v>
      </c>
      <c r="D94" s="1051" t="s">
        <v>1562</v>
      </c>
      <c r="E94" s="1122">
        <v>0.2</v>
      </c>
      <c r="F94" s="1137">
        <v>30</v>
      </c>
    </row>
    <row r="95" spans="1:6" s="1088" customFormat="1" ht="36">
      <c r="A95" s="1137">
        <v>35</v>
      </c>
      <c r="B95" s="3543"/>
      <c r="C95" s="1137" t="s">
        <v>1563</v>
      </c>
      <c r="D95" s="1051" t="s">
        <v>1564</v>
      </c>
      <c r="E95" s="1122">
        <v>0.2</v>
      </c>
      <c r="F95" s="1137">
        <v>30</v>
      </c>
    </row>
    <row r="96" spans="1:6" s="1088" customFormat="1" ht="48">
      <c r="A96" s="1137">
        <v>36</v>
      </c>
      <c r="B96" s="3543"/>
      <c r="C96" s="1051" t="s">
        <v>1565</v>
      </c>
      <c r="D96" s="1051" t="s">
        <v>1566</v>
      </c>
      <c r="E96" s="1122">
        <v>0.2</v>
      </c>
      <c r="F96" s="1137">
        <v>30</v>
      </c>
    </row>
    <row r="97" spans="1:6" s="1088" customFormat="1" ht="36">
      <c r="A97" s="1137">
        <v>37</v>
      </c>
      <c r="B97" s="3543"/>
      <c r="C97" s="1137" t="s">
        <v>1567</v>
      </c>
      <c r="D97" s="1051" t="s">
        <v>1568</v>
      </c>
      <c r="E97" s="1122">
        <v>0.2</v>
      </c>
      <c r="F97" s="1137">
        <v>30</v>
      </c>
    </row>
    <row r="98" spans="1:6" s="1088" customFormat="1" ht="36">
      <c r="A98" s="1137">
        <v>38</v>
      </c>
      <c r="B98" s="3543"/>
      <c r="C98" s="1137" t="s">
        <v>1569</v>
      </c>
      <c r="D98" s="1051" t="s">
        <v>1570</v>
      </c>
      <c r="E98" s="1122">
        <v>0.2</v>
      </c>
      <c r="F98" s="1137">
        <v>30</v>
      </c>
    </row>
    <row r="99" spans="1:6" s="1088" customFormat="1" ht="36">
      <c r="A99" s="1137">
        <v>39</v>
      </c>
      <c r="B99" s="3543" t="s">
        <v>1571</v>
      </c>
      <c r="C99" s="1137" t="s">
        <v>1572</v>
      </c>
      <c r="D99" s="1051" t="s">
        <v>1573</v>
      </c>
      <c r="E99" s="1122">
        <v>0.3</v>
      </c>
      <c r="F99" s="1137">
        <v>50</v>
      </c>
    </row>
    <row r="100" spans="1:6" s="1088" customFormat="1" ht="24">
      <c r="A100" s="1137">
        <v>40</v>
      </c>
      <c r="B100" s="3543"/>
      <c r="C100" s="1137" t="s">
        <v>1574</v>
      </c>
      <c r="D100" s="1051" t="s">
        <v>1575</v>
      </c>
      <c r="E100" s="1122">
        <v>0.2</v>
      </c>
      <c r="F100" s="1137">
        <v>30</v>
      </c>
    </row>
    <row r="101" spans="1:6" s="1088" customFormat="1" ht="36">
      <c r="A101" s="1137">
        <v>41</v>
      </c>
      <c r="B101" s="3543"/>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43" t="s">
        <v>1586</v>
      </c>
      <c r="C105" s="1137" t="s">
        <v>1587</v>
      </c>
      <c r="D105" s="1051" t="s">
        <v>1588</v>
      </c>
      <c r="E105" s="1122">
        <v>0.2</v>
      </c>
      <c r="F105" s="1137">
        <v>30</v>
      </c>
    </row>
    <row r="106" spans="1:6" s="1088" customFormat="1" ht="36">
      <c r="A106" s="1137">
        <v>46</v>
      </c>
      <c r="B106" s="3543"/>
      <c r="C106" s="1137" t="s">
        <v>1589</v>
      </c>
      <c r="D106" s="1051" t="s">
        <v>1590</v>
      </c>
      <c r="E106" s="1122">
        <v>0.2</v>
      </c>
      <c r="F106" s="1137">
        <v>30</v>
      </c>
    </row>
    <row r="107" spans="1:6" s="1088" customFormat="1" ht="36">
      <c r="A107" s="1137">
        <v>47</v>
      </c>
      <c r="B107" s="3543" t="s">
        <v>1591</v>
      </c>
      <c r="C107" s="1137" t="s">
        <v>1592</v>
      </c>
      <c r="D107" s="1051" t="s">
        <v>1593</v>
      </c>
      <c r="E107" s="1122">
        <v>0.3</v>
      </c>
      <c r="F107" s="1137">
        <v>50</v>
      </c>
    </row>
    <row r="108" spans="1:6" s="1088" customFormat="1" ht="36">
      <c r="A108" s="1137">
        <v>48</v>
      </c>
      <c r="B108" s="3543"/>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43" t="s">
        <v>1602</v>
      </c>
      <c r="C111" s="1137" t="s">
        <v>1603</v>
      </c>
      <c r="D111" s="1051" t="s">
        <v>1604</v>
      </c>
      <c r="E111" s="1122">
        <v>0.2</v>
      </c>
      <c r="F111" s="1137">
        <v>30</v>
      </c>
    </row>
    <row r="112" spans="1:6" s="1088" customFormat="1" ht="24">
      <c r="A112" s="1137">
        <v>52</v>
      </c>
      <c r="B112" s="3543"/>
      <c r="C112" s="1137" t="s">
        <v>1605</v>
      </c>
      <c r="D112" s="1051" t="s">
        <v>1606</v>
      </c>
      <c r="E112" s="1122">
        <v>0.2</v>
      </c>
      <c r="F112" s="1137">
        <v>30</v>
      </c>
    </row>
    <row r="113" spans="1:14" s="1088" customFormat="1" ht="24">
      <c r="A113" s="1137">
        <v>53</v>
      </c>
      <c r="B113" s="3543"/>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43" t="s">
        <v>1615</v>
      </c>
      <c r="C116" s="1137" t="s">
        <v>1616</v>
      </c>
      <c r="D116" s="1051" t="s">
        <v>1617</v>
      </c>
      <c r="E116" s="1122">
        <v>0.2</v>
      </c>
      <c r="F116" s="1137">
        <v>30</v>
      </c>
    </row>
    <row r="117" spans="1:14" ht="36">
      <c r="A117" s="1137">
        <v>57</v>
      </c>
      <c r="B117" s="3543"/>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42" t="s">
        <v>1624</v>
      </c>
      <c r="B121" s="3542"/>
      <c r="C121" s="3542"/>
      <c r="D121" s="3542"/>
      <c r="E121" s="3542"/>
      <c r="F121" s="3542"/>
      <c r="G121" s="3542"/>
      <c r="H121" s="3542"/>
      <c r="I121" s="3542"/>
      <c r="J121" s="3542"/>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44" t="s">
        <v>1030</v>
      </c>
      <c r="B1" s="3544"/>
      <c r="C1" s="3544"/>
      <c r="D1" s="3544"/>
      <c r="E1" s="3544"/>
      <c r="F1" s="3544"/>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45" t="s">
        <v>1043</v>
      </c>
      <c r="B2" s="3545"/>
      <c r="C2" s="3545"/>
      <c r="D2" s="3545"/>
      <c r="E2" s="3545"/>
      <c r="F2" s="3545"/>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46"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47"/>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2406</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2407</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48" t="s">
        <v>2067</v>
      </c>
      <c r="B1" s="3548"/>
    </row>
    <row r="2" spans="1:6" ht="14.25" thickBot="1">
      <c r="A2" s="1766"/>
      <c r="B2" s="1766"/>
    </row>
    <row r="3" spans="1:6" ht="14.25" thickBot="1">
      <c r="A3" s="1766"/>
      <c r="B3" s="1766"/>
      <c r="C3" s="1767" t="s">
        <v>2068</v>
      </c>
      <c r="D3" s="1767" t="s">
        <v>2069</v>
      </c>
      <c r="E3" s="1767" t="s">
        <v>2070</v>
      </c>
      <c r="F3" s="1767" t="s">
        <v>2071</v>
      </c>
    </row>
    <row r="4" spans="1:6" ht="14.25" thickBot="1">
      <c r="A4" s="1768" t="s">
        <v>2072</v>
      </c>
      <c r="B4" s="1769" t="s">
        <v>2073</v>
      </c>
      <c r="C4" s="1767"/>
      <c r="D4" s="1767"/>
      <c r="E4" s="1767"/>
      <c r="F4" s="1767"/>
    </row>
    <row r="5" spans="1:6" ht="14.25" thickBot="1">
      <c r="A5" s="1770" t="s">
        <v>2074</v>
      </c>
      <c r="B5" s="1771" t="s">
        <v>2075</v>
      </c>
      <c r="C5" s="1772">
        <v>8.8999999999999996E-2</v>
      </c>
      <c r="D5" s="1772">
        <v>7.3999999999999996E-2</v>
      </c>
      <c r="E5" s="1772">
        <v>7.4999999999999997E-2</v>
      </c>
      <c r="F5" s="1773">
        <v>0.1</v>
      </c>
    </row>
    <row r="6" spans="1:6" ht="14.25" thickBot="1">
      <c r="A6" s="1770" t="s">
        <v>1087</v>
      </c>
      <c r="B6" s="1774" t="s">
        <v>2076</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2077</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2078</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2079</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2080</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2081</v>
      </c>
      <c r="C72" s="1784"/>
      <c r="D72" s="1784"/>
      <c r="E72" s="1784"/>
      <c r="F72" s="1776">
        <v>0.05</v>
      </c>
    </row>
    <row r="73" spans="1:6" ht="14.25" thickBot="1">
      <c r="A73" s="1770" t="s">
        <v>916</v>
      </c>
      <c r="B73" s="1774" t="s">
        <v>2082</v>
      </c>
      <c r="C73" s="1784"/>
      <c r="D73" s="1784"/>
      <c r="E73" s="1784"/>
      <c r="F73" s="1776">
        <v>0.05</v>
      </c>
    </row>
    <row r="74" spans="1:6" ht="14.25" thickBot="1">
      <c r="A74" s="1770" t="s">
        <v>916</v>
      </c>
      <c r="B74" s="1774" t="s">
        <v>2083</v>
      </c>
      <c r="C74" s="1784"/>
      <c r="D74" s="1784"/>
      <c r="E74" s="1784"/>
      <c r="F74" s="1776">
        <v>0.05</v>
      </c>
    </row>
    <row r="75" spans="1:6" ht="14.25" thickBot="1">
      <c r="A75" s="1778" t="s">
        <v>916</v>
      </c>
      <c r="B75" s="1785" t="s">
        <v>2084</v>
      </c>
      <c r="C75" s="1781"/>
      <c r="D75" s="1781"/>
      <c r="E75" s="1781"/>
      <c r="F75" s="1786">
        <v>0.05</v>
      </c>
    </row>
    <row r="76" spans="1:6" ht="14.25" thickBot="1">
      <c r="A76" s="1770" t="s">
        <v>1398</v>
      </c>
      <c r="B76" s="1771" t="s">
        <v>2085</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2086</v>
      </c>
      <c r="C102" s="1784"/>
      <c r="D102" s="1784"/>
      <c r="E102" s="1784"/>
      <c r="F102" s="1776">
        <v>0.05</v>
      </c>
    </row>
    <row r="103" spans="1:6" ht="24.75" thickBot="1">
      <c r="A103" s="1770" t="s">
        <v>1398</v>
      </c>
      <c r="B103" s="1774" t="s">
        <v>2087</v>
      </c>
      <c r="C103" s="1784"/>
      <c r="D103" s="1784"/>
      <c r="E103" s="1784"/>
      <c r="F103" s="1776">
        <v>0.05</v>
      </c>
    </row>
    <row r="104" spans="1:6" ht="14.25" thickBot="1">
      <c r="A104" s="1770" t="s">
        <v>1398</v>
      </c>
      <c r="B104" s="1774" t="s">
        <v>2088</v>
      </c>
      <c r="C104" s="1784"/>
      <c r="D104" s="1784"/>
      <c r="E104" s="1784"/>
      <c r="F104" s="1776">
        <v>0.05</v>
      </c>
    </row>
    <row r="105" spans="1:6" ht="14.25" thickBot="1">
      <c r="A105" s="1770" t="s">
        <v>1398</v>
      </c>
      <c r="B105" s="1774" t="s">
        <v>2089</v>
      </c>
      <c r="C105" s="1784"/>
      <c r="D105" s="1784"/>
      <c r="E105" s="1784"/>
      <c r="F105" s="1776">
        <v>0.05</v>
      </c>
    </row>
    <row r="106" spans="1:6" ht="14.25" thickBot="1">
      <c r="A106" s="1770" t="s">
        <v>1398</v>
      </c>
      <c r="B106" s="1774" t="s">
        <v>2090</v>
      </c>
      <c r="C106" s="1784"/>
      <c r="D106" s="1784"/>
      <c r="E106" s="1784"/>
      <c r="F106" s="1776">
        <v>0.05</v>
      </c>
    </row>
    <row r="107" spans="1:6" ht="24.75" thickBot="1">
      <c r="A107" s="1770" t="s">
        <v>1398</v>
      </c>
      <c r="B107" s="1774" t="s">
        <v>2091</v>
      </c>
      <c r="C107" s="1784"/>
      <c r="D107" s="1784"/>
      <c r="E107" s="1784"/>
      <c r="F107" s="1776">
        <v>0.05</v>
      </c>
    </row>
    <row r="108" spans="1:6" ht="24.75" thickBot="1">
      <c r="A108" s="1770" t="s">
        <v>1398</v>
      </c>
      <c r="B108" s="1774" t="s">
        <v>2092</v>
      </c>
      <c r="C108" s="1784"/>
      <c r="D108" s="1784"/>
      <c r="E108" s="1784"/>
      <c r="F108" s="1776">
        <v>0.05</v>
      </c>
    </row>
    <row r="109" spans="1:6" ht="24.75" thickBot="1">
      <c r="A109" s="1778" t="s">
        <v>1398</v>
      </c>
      <c r="B109" s="1785" t="s">
        <v>2093</v>
      </c>
      <c r="C109" s="1781"/>
      <c r="D109" s="1781"/>
      <c r="E109" s="1781"/>
      <c r="F109" s="1786">
        <v>0.05</v>
      </c>
    </row>
    <row r="110" spans="1:6" ht="14.25" thickBot="1">
      <c r="A110" s="1770" t="s">
        <v>1400</v>
      </c>
      <c r="B110" s="1771" t="s">
        <v>2094</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2095</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2096</v>
      </c>
      <c r="C138" s="1775">
        <v>0.105</v>
      </c>
      <c r="D138" s="1775">
        <v>0.125</v>
      </c>
      <c r="E138" s="1775">
        <v>0.112</v>
      </c>
      <c r="F138" s="1783"/>
    </row>
    <row r="139" spans="1:6" ht="14.25" thickBot="1">
      <c r="A139" s="1770" t="s">
        <v>1400</v>
      </c>
      <c r="B139" s="1774" t="s">
        <v>2097</v>
      </c>
      <c r="C139" s="1775">
        <v>0.127</v>
      </c>
      <c r="D139" s="1775">
        <v>0.127</v>
      </c>
      <c r="E139" s="1775">
        <v>0.122</v>
      </c>
      <c r="F139" s="1776">
        <v>0.13</v>
      </c>
    </row>
    <row r="140" spans="1:6" ht="14.25" thickBot="1">
      <c r="A140" s="1770" t="s">
        <v>1400</v>
      </c>
      <c r="B140" s="1774" t="s">
        <v>2098</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2099</v>
      </c>
      <c r="C144" s="1788">
        <v>0.126</v>
      </c>
      <c r="D144" s="1788">
        <v>0.126</v>
      </c>
      <c r="E144" s="1788">
        <v>0.121</v>
      </c>
      <c r="F144" s="1783"/>
    </row>
    <row r="145" spans="1:6" ht="14.25" thickBot="1">
      <c r="A145" s="1778" t="s">
        <v>1400</v>
      </c>
      <c r="B145" s="1789" t="s">
        <v>2100</v>
      </c>
      <c r="C145" s="1790"/>
      <c r="D145" s="1790"/>
      <c r="E145" s="1790"/>
      <c r="F145" s="1791">
        <v>0.05</v>
      </c>
    </row>
    <row r="146" spans="1:6" ht="24.75" thickBot="1">
      <c r="A146" s="1792" t="s">
        <v>1400</v>
      </c>
      <c r="B146" s="1777" t="s">
        <v>2101</v>
      </c>
      <c r="C146" s="1784"/>
      <c r="D146" s="1784"/>
      <c r="E146" s="1784"/>
      <c r="F146" s="1793">
        <v>0.05</v>
      </c>
    </row>
    <row r="147" spans="1:6" ht="24.75" thickBot="1">
      <c r="A147" s="1770" t="s">
        <v>1400</v>
      </c>
      <c r="B147" s="1774" t="s">
        <v>2102</v>
      </c>
      <c r="C147" s="1784"/>
      <c r="D147" s="1784"/>
      <c r="E147" s="1784"/>
      <c r="F147" s="1776">
        <v>0.05</v>
      </c>
    </row>
    <row r="148" spans="1:6" ht="24.75" thickBot="1">
      <c r="A148" s="1770" t="s">
        <v>1400</v>
      </c>
      <c r="B148" s="1774" t="s">
        <v>2103</v>
      </c>
      <c r="C148" s="1784"/>
      <c r="D148" s="1784"/>
      <c r="E148" s="1784"/>
      <c r="F148" s="1776">
        <v>0.05</v>
      </c>
    </row>
    <row r="149" spans="1:6" ht="24.75" thickBot="1">
      <c r="A149" s="1770" t="s">
        <v>1400</v>
      </c>
      <c r="B149" s="1774" t="s">
        <v>2104</v>
      </c>
      <c r="C149" s="1784"/>
      <c r="D149" s="1784"/>
      <c r="E149" s="1784"/>
      <c r="F149" s="1776">
        <v>0.05</v>
      </c>
    </row>
    <row r="150" spans="1:6" ht="24.75" thickBot="1">
      <c r="A150" s="1770" t="s">
        <v>1400</v>
      </c>
      <c r="B150" s="1774" t="s">
        <v>2105</v>
      </c>
      <c r="C150" s="1784"/>
      <c r="D150" s="1784"/>
      <c r="E150" s="1784"/>
      <c r="F150" s="1776">
        <v>0.05</v>
      </c>
    </row>
    <row r="151" spans="1:6" ht="24.75" thickBot="1">
      <c r="A151" s="1770" t="s">
        <v>1400</v>
      </c>
      <c r="B151" s="1774" t="s">
        <v>2106</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2107</v>
      </c>
      <c r="C153" s="1784"/>
      <c r="D153" s="1784"/>
      <c r="E153" s="1784"/>
      <c r="F153" s="1776">
        <v>0.05</v>
      </c>
    </row>
    <row r="154" spans="1:6" ht="14.25" thickBot="1">
      <c r="A154" s="1770" t="s">
        <v>1400</v>
      </c>
      <c r="B154" s="1774" t="s">
        <v>2108</v>
      </c>
      <c r="C154" s="1784"/>
      <c r="D154" s="1784"/>
      <c r="E154" s="1784"/>
      <c r="F154" s="1776">
        <v>0.05</v>
      </c>
    </row>
    <row r="155" spans="1:6" ht="24.75" thickBot="1">
      <c r="A155" s="1770" t="s">
        <v>1400</v>
      </c>
      <c r="B155" s="1774" t="s">
        <v>2109</v>
      </c>
      <c r="C155" s="1784"/>
      <c r="D155" s="1784"/>
      <c r="E155" s="1784"/>
      <c r="F155" s="1776">
        <v>0.05</v>
      </c>
    </row>
    <row r="156" spans="1:6" ht="24.75" thickBot="1">
      <c r="A156" s="1770" t="s">
        <v>1400</v>
      </c>
      <c r="B156" s="1774" t="s">
        <v>2110</v>
      </c>
      <c r="C156" s="1784"/>
      <c r="D156" s="1784"/>
      <c r="E156" s="1784"/>
      <c r="F156" s="1776">
        <v>0.05</v>
      </c>
    </row>
    <row r="157" spans="1:6" ht="14.25" thickBot="1">
      <c r="A157" s="1778" t="s">
        <v>1400</v>
      </c>
      <c r="B157" s="1785" t="s">
        <v>2111</v>
      </c>
      <c r="C157" s="1781"/>
      <c r="D157" s="1781"/>
      <c r="E157" s="1781"/>
      <c r="F157" s="1786">
        <v>0.05</v>
      </c>
    </row>
    <row r="158" spans="1:6" ht="14.25" thickBot="1">
      <c r="A158" s="1770" t="s">
        <v>1402</v>
      </c>
      <c r="B158" s="1771" t="s">
        <v>2112</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2113</v>
      </c>
      <c r="C171" s="1775">
        <v>0.127</v>
      </c>
      <c r="D171" s="1775">
        <v>0.126</v>
      </c>
      <c r="E171" s="1775">
        <v>0.126</v>
      </c>
      <c r="F171" s="1776">
        <v>0.11799999999999999</v>
      </c>
    </row>
    <row r="172" spans="1:6" ht="14.25" thickBot="1">
      <c r="A172" s="1770" t="s">
        <v>1402</v>
      </c>
      <c r="B172" s="1774" t="s">
        <v>2114</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2115</v>
      </c>
      <c r="C174" s="1775">
        <v>0.13</v>
      </c>
      <c r="D174" s="1775">
        <v>0.13</v>
      </c>
      <c r="E174" s="1775">
        <v>0.13</v>
      </c>
      <c r="F174" s="1776">
        <v>0.13</v>
      </c>
    </row>
    <row r="175" spans="1:6" ht="14.25" thickBot="1">
      <c r="A175" s="1770" t="s">
        <v>1402</v>
      </c>
      <c r="B175" s="1774" t="s">
        <v>2116</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2117</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2118</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2119</v>
      </c>
      <c r="C185" s="1775">
        <v>0.127</v>
      </c>
      <c r="D185" s="1775">
        <v>0.127</v>
      </c>
      <c r="E185" s="1775">
        <v>0.128</v>
      </c>
      <c r="F185" s="1776">
        <v>0.13</v>
      </c>
    </row>
    <row r="186" spans="1:6" ht="24.75" thickBot="1">
      <c r="A186" s="1770" t="s">
        <v>1402</v>
      </c>
      <c r="B186" s="1774" t="s">
        <v>2120</v>
      </c>
      <c r="C186" s="1784"/>
      <c r="D186" s="1784"/>
      <c r="E186" s="1784"/>
      <c r="F186" s="1776">
        <v>0.05</v>
      </c>
    </row>
    <row r="187" spans="1:6" ht="14.25" thickBot="1">
      <c r="A187" s="1770" t="s">
        <v>1402</v>
      </c>
      <c r="B187" s="1774" t="s">
        <v>2121</v>
      </c>
      <c r="C187" s="1784"/>
      <c r="D187" s="1784"/>
      <c r="E187" s="1784"/>
      <c r="F187" s="1776">
        <v>0.05</v>
      </c>
    </row>
    <row r="188" spans="1:6" ht="14.25" thickBot="1">
      <c r="A188" s="1770" t="s">
        <v>1402</v>
      </c>
      <c r="B188" s="1774" t="s">
        <v>2122</v>
      </c>
      <c r="C188" s="1784"/>
      <c r="D188" s="1784"/>
      <c r="E188" s="1784"/>
      <c r="F188" s="1776">
        <v>0.05</v>
      </c>
    </row>
    <row r="189" spans="1:6" ht="24.75" thickBot="1">
      <c r="A189" s="1770" t="s">
        <v>1402</v>
      </c>
      <c r="B189" s="1774" t="s">
        <v>2123</v>
      </c>
      <c r="C189" s="1784"/>
      <c r="D189" s="1784"/>
      <c r="E189" s="1784"/>
      <c r="F189" s="1776">
        <v>0.05</v>
      </c>
    </row>
    <row r="190" spans="1:6" ht="24.75" thickBot="1">
      <c r="A190" s="1770" t="s">
        <v>1402</v>
      </c>
      <c r="B190" s="1774" t="s">
        <v>2124</v>
      </c>
      <c r="C190" s="1784"/>
      <c r="D190" s="1784"/>
      <c r="E190" s="1784"/>
      <c r="F190" s="1776">
        <v>0.05</v>
      </c>
    </row>
    <row r="191" spans="1:6" ht="24.75" thickBot="1">
      <c r="A191" s="1770" t="s">
        <v>1402</v>
      </c>
      <c r="B191" s="1774" t="s">
        <v>2125</v>
      </c>
      <c r="C191" s="1784"/>
      <c r="D191" s="1784"/>
      <c r="E191" s="1784"/>
      <c r="F191" s="1776">
        <v>0.05</v>
      </c>
    </row>
    <row r="192" spans="1:6" ht="24.75" thickBot="1">
      <c r="A192" s="1770" t="s">
        <v>1402</v>
      </c>
      <c r="B192" s="1774" t="s">
        <v>2126</v>
      </c>
      <c r="C192" s="1784"/>
      <c r="D192" s="1784"/>
      <c r="E192" s="1784"/>
      <c r="F192" s="1776">
        <v>0.05</v>
      </c>
    </row>
    <row r="193" spans="1:6" ht="24.75" thickBot="1">
      <c r="A193" s="1770" t="s">
        <v>1402</v>
      </c>
      <c r="B193" s="1774" t="s">
        <v>2127</v>
      </c>
      <c r="C193" s="1784"/>
      <c r="D193" s="1784"/>
      <c r="E193" s="1784"/>
      <c r="F193" s="1776">
        <v>0.05</v>
      </c>
    </row>
    <row r="194" spans="1:6" ht="24.75" thickBot="1">
      <c r="A194" s="1770" t="s">
        <v>1402</v>
      </c>
      <c r="B194" s="1774" t="s">
        <v>2128</v>
      </c>
      <c r="C194" s="1784"/>
      <c r="D194" s="1784"/>
      <c r="E194" s="1784"/>
      <c r="F194" s="1776">
        <v>0.05</v>
      </c>
    </row>
    <row r="195" spans="1:6" ht="14.25" thickBot="1">
      <c r="A195" s="1770" t="s">
        <v>1402</v>
      </c>
      <c r="B195" s="1774" t="s">
        <v>2129</v>
      </c>
      <c r="C195" s="1784"/>
      <c r="D195" s="1784"/>
      <c r="E195" s="1784"/>
      <c r="F195" s="1776">
        <v>0.05</v>
      </c>
    </row>
    <row r="196" spans="1:6" ht="24.75" thickBot="1">
      <c r="A196" s="1770" t="s">
        <v>1402</v>
      </c>
      <c r="B196" s="1774" t="s">
        <v>2130</v>
      </c>
      <c r="C196" s="1784"/>
      <c r="D196" s="1784"/>
      <c r="E196" s="1784"/>
      <c r="F196" s="1776">
        <v>0.05</v>
      </c>
    </row>
    <row r="197" spans="1:6" ht="24.75" thickBot="1">
      <c r="A197" s="1770" t="s">
        <v>1402</v>
      </c>
      <c r="B197" s="1774" t="s">
        <v>2131</v>
      </c>
      <c r="C197" s="1784"/>
      <c r="D197" s="1784"/>
      <c r="E197" s="1784"/>
      <c r="F197" s="1776">
        <v>0.05</v>
      </c>
    </row>
    <row r="198" spans="1:6" ht="24.75" thickBot="1">
      <c r="A198" s="1770" t="s">
        <v>1402</v>
      </c>
      <c r="B198" s="1774" t="s">
        <v>2132</v>
      </c>
      <c r="C198" s="1784"/>
      <c r="D198" s="1784"/>
      <c r="E198" s="1784"/>
      <c r="F198" s="1776">
        <v>0.05</v>
      </c>
    </row>
    <row r="199" spans="1:6" ht="24.75" thickBot="1">
      <c r="A199" s="1770" t="s">
        <v>1402</v>
      </c>
      <c r="B199" s="1774" t="s">
        <v>2133</v>
      </c>
      <c r="C199" s="1784"/>
      <c r="D199" s="1784"/>
      <c r="E199" s="1784"/>
      <c r="F199" s="1776">
        <v>0.05</v>
      </c>
    </row>
    <row r="200" spans="1:6" ht="24.75" thickBot="1">
      <c r="A200" s="1770" t="s">
        <v>1402</v>
      </c>
      <c r="B200" s="1774" t="s">
        <v>2134</v>
      </c>
      <c r="C200" s="1784"/>
      <c r="D200" s="1784"/>
      <c r="E200" s="1784"/>
      <c r="F200" s="1776">
        <v>0.05</v>
      </c>
    </row>
    <row r="201" spans="1:6" ht="24.75" thickBot="1">
      <c r="A201" s="1770" t="s">
        <v>1402</v>
      </c>
      <c r="B201" s="1774" t="s">
        <v>2135</v>
      </c>
      <c r="C201" s="1784"/>
      <c r="D201" s="1784"/>
      <c r="E201" s="1784"/>
      <c r="F201" s="1776">
        <v>0.05</v>
      </c>
    </row>
    <row r="202" spans="1:6" ht="24.75" thickBot="1">
      <c r="A202" s="1770" t="s">
        <v>1402</v>
      </c>
      <c r="B202" s="1774" t="s">
        <v>2136</v>
      </c>
      <c r="C202" s="1784"/>
      <c r="D202" s="1784"/>
      <c r="E202" s="1784"/>
      <c r="F202" s="1776">
        <v>0.05</v>
      </c>
    </row>
    <row r="203" spans="1:6" ht="24.75" thickBot="1">
      <c r="A203" s="1770" t="s">
        <v>1402</v>
      </c>
      <c r="B203" s="1774" t="s">
        <v>2137</v>
      </c>
      <c r="C203" s="1784"/>
      <c r="D203" s="1784"/>
      <c r="E203" s="1784"/>
      <c r="F203" s="1776">
        <v>0.05</v>
      </c>
    </row>
    <row r="204" spans="1:6" ht="14.25" thickBot="1">
      <c r="A204" s="1770" t="s">
        <v>1402</v>
      </c>
      <c r="B204" s="1774" t="s">
        <v>2138</v>
      </c>
      <c r="C204" s="1784"/>
      <c r="D204" s="1784"/>
      <c r="E204" s="1784"/>
      <c r="F204" s="1776">
        <v>0.05</v>
      </c>
    </row>
    <row r="205" spans="1:6" ht="14.25" thickBot="1">
      <c r="A205" s="1778" t="s">
        <v>1402</v>
      </c>
      <c r="B205" s="1785" t="s">
        <v>2139</v>
      </c>
      <c r="C205" s="1781"/>
      <c r="D205" s="1781"/>
      <c r="E205" s="1781"/>
      <c r="F205" s="1786">
        <v>0.05</v>
      </c>
    </row>
    <row r="206" spans="1:6" ht="14.25" thickBot="1">
      <c r="A206" s="1770" t="s">
        <v>1404</v>
      </c>
      <c r="B206" s="1771" t="s">
        <v>2140</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2141</v>
      </c>
      <c r="C210" s="1775">
        <v>0.15</v>
      </c>
      <c r="D210" s="1775">
        <v>0.15</v>
      </c>
      <c r="E210" s="1775">
        <v>0.15</v>
      </c>
      <c r="F210" s="1776">
        <v>0.13800000000000001</v>
      </c>
    </row>
    <row r="211" spans="1:6" ht="14.25" thickBot="1">
      <c r="A211" s="1770" t="s">
        <v>1404</v>
      </c>
      <c r="B211" s="1774" t="s">
        <v>2142</v>
      </c>
      <c r="C211" s="1775">
        <v>0.13700000000000001</v>
      </c>
      <c r="D211" s="1775">
        <v>0.13500000000000001</v>
      </c>
      <c r="E211" s="1775">
        <v>0.13600000000000001</v>
      </c>
      <c r="F211" s="1776">
        <v>0.1</v>
      </c>
    </row>
    <row r="212" spans="1:6" ht="14.25" thickBot="1">
      <c r="A212" s="1770" t="s">
        <v>1404</v>
      </c>
      <c r="B212" s="1774" t="s">
        <v>2143</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2144</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2145</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2146</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2147</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2148</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2149</v>
      </c>
      <c r="C231" s="1775">
        <v>0.128</v>
      </c>
      <c r="D231" s="1775">
        <v>0.125</v>
      </c>
      <c r="E231" s="1775">
        <v>0.13200000000000001</v>
      </c>
      <c r="F231" s="1783"/>
    </row>
    <row r="232" spans="1:6" ht="14.25" thickBot="1">
      <c r="A232" s="1770" t="s">
        <v>1404</v>
      </c>
      <c r="B232" s="1774" t="s">
        <v>2150</v>
      </c>
      <c r="C232" s="1775">
        <v>0.14499999999999999</v>
      </c>
      <c r="D232" s="1775">
        <v>0.14399999999999999</v>
      </c>
      <c r="E232" s="1775">
        <v>0.14599999999999999</v>
      </c>
      <c r="F232" s="1776">
        <v>0.13800000000000001</v>
      </c>
    </row>
    <row r="233" spans="1:6" ht="14.25" thickBot="1">
      <c r="A233" s="1770" t="s">
        <v>1404</v>
      </c>
      <c r="B233" s="1774" t="s">
        <v>2151</v>
      </c>
      <c r="C233" s="1775">
        <v>0.14499999999999999</v>
      </c>
      <c r="D233" s="1775">
        <v>0.14299999999999999</v>
      </c>
      <c r="E233" s="1775">
        <v>0.14199999999999999</v>
      </c>
      <c r="F233" s="1783"/>
    </row>
    <row r="234" spans="1:6" ht="14.25" thickBot="1">
      <c r="A234" s="1770" t="s">
        <v>1404</v>
      </c>
      <c r="B234" s="1774" t="s">
        <v>2152</v>
      </c>
      <c r="C234" s="1775">
        <v>0.14000000000000001</v>
      </c>
      <c r="D234" s="1775">
        <v>0.14000000000000001</v>
      </c>
      <c r="E234" s="1775">
        <v>0.14399999999999999</v>
      </c>
      <c r="F234" s="1783"/>
    </row>
    <row r="235" spans="1:6" ht="14.25" thickBot="1">
      <c r="A235" s="1770" t="s">
        <v>1404</v>
      </c>
      <c r="B235" s="1774" t="s">
        <v>2153</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2154</v>
      </c>
      <c r="C237" s="1784"/>
      <c r="D237" s="1784"/>
      <c r="E237" s="1784"/>
      <c r="F237" s="1776">
        <v>0.05</v>
      </c>
    </row>
    <row r="238" spans="1:6" ht="24.75" thickBot="1">
      <c r="A238" s="1770" t="s">
        <v>1404</v>
      </c>
      <c r="B238" s="1774" t="s">
        <v>2155</v>
      </c>
      <c r="C238" s="1784"/>
      <c r="D238" s="1784"/>
      <c r="E238" s="1784"/>
      <c r="F238" s="1776">
        <v>0.05</v>
      </c>
    </row>
    <row r="239" spans="1:6" ht="24.75" thickBot="1">
      <c r="A239" s="1770" t="s">
        <v>1404</v>
      </c>
      <c r="B239" s="1774" t="s">
        <v>2156</v>
      </c>
      <c r="C239" s="1784"/>
      <c r="D239" s="1784"/>
      <c r="E239" s="1784"/>
      <c r="F239" s="1776">
        <v>0.05</v>
      </c>
    </row>
    <row r="240" spans="1:6" ht="24.75" thickBot="1">
      <c r="A240" s="1770" t="s">
        <v>1404</v>
      </c>
      <c r="B240" s="1774" t="s">
        <v>2157</v>
      </c>
      <c r="C240" s="1784"/>
      <c r="D240" s="1784"/>
      <c r="E240" s="1784"/>
      <c r="F240" s="1776">
        <v>0.05</v>
      </c>
    </row>
    <row r="241" spans="1:6" ht="24.75" thickBot="1">
      <c r="A241" s="1770" t="s">
        <v>1404</v>
      </c>
      <c r="B241" s="1774" t="s">
        <v>2158</v>
      </c>
      <c r="C241" s="1784"/>
      <c r="D241" s="1784"/>
      <c r="E241" s="1784"/>
      <c r="F241" s="1776">
        <v>0.05</v>
      </c>
    </row>
    <row r="242" spans="1:6" ht="24.75" thickBot="1">
      <c r="A242" s="1770" t="s">
        <v>1404</v>
      </c>
      <c r="B242" s="1774" t="s">
        <v>2159</v>
      </c>
      <c r="C242" s="1784"/>
      <c r="D242" s="1784"/>
      <c r="E242" s="1784"/>
      <c r="F242" s="1776">
        <v>0.05</v>
      </c>
    </row>
    <row r="243" spans="1:6" ht="24.75" thickBot="1">
      <c r="A243" s="1770" t="s">
        <v>1404</v>
      </c>
      <c r="B243" s="1774" t="s">
        <v>2160</v>
      </c>
      <c r="C243" s="1784"/>
      <c r="D243" s="1784"/>
      <c r="E243" s="1784"/>
      <c r="F243" s="1776">
        <v>0.05</v>
      </c>
    </row>
    <row r="244" spans="1:6" ht="24.75" thickBot="1">
      <c r="A244" s="1778" t="s">
        <v>1404</v>
      </c>
      <c r="B244" s="1785" t="s">
        <v>2161</v>
      </c>
      <c r="C244" s="1781"/>
      <c r="D244" s="1781"/>
      <c r="E244" s="1781"/>
      <c r="F244" s="1786">
        <v>0.05</v>
      </c>
    </row>
    <row r="245" spans="1:6" ht="14.25" thickBot="1">
      <c r="A245" s="1770" t="s">
        <v>1406</v>
      </c>
      <c r="B245" s="1771" t="s">
        <v>2162</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2163</v>
      </c>
      <c r="C247" s="1775">
        <v>0.15</v>
      </c>
      <c r="D247" s="1775">
        <v>0.15</v>
      </c>
      <c r="E247" s="1775">
        <v>0.15</v>
      </c>
      <c r="F247" s="1776">
        <v>0.15</v>
      </c>
    </row>
    <row r="248" spans="1:6" ht="14.25" thickBot="1">
      <c r="A248" s="1770" t="s">
        <v>1406</v>
      </c>
      <c r="B248" s="1774" t="s">
        <v>2164</v>
      </c>
      <c r="C248" s="1775">
        <v>0.15</v>
      </c>
      <c r="D248" s="1775">
        <v>0.15</v>
      </c>
      <c r="E248" s="1775">
        <v>0.15</v>
      </c>
      <c r="F248" s="1776">
        <v>0.14000000000000001</v>
      </c>
    </row>
    <row r="249" spans="1:6" ht="14.25" thickBot="1">
      <c r="A249" s="1770" t="s">
        <v>1406</v>
      </c>
      <c r="B249" s="1774" t="s">
        <v>2165</v>
      </c>
      <c r="C249" s="1775">
        <v>0.15</v>
      </c>
      <c r="D249" s="1775">
        <v>0.14899999999999999</v>
      </c>
      <c r="E249" s="1775">
        <v>0.15</v>
      </c>
      <c r="F249" s="1776">
        <v>0.1</v>
      </c>
    </row>
    <row r="250" spans="1:6" ht="14.25" thickBot="1">
      <c r="A250" s="1770" t="s">
        <v>1406</v>
      </c>
      <c r="B250" s="1774" t="s">
        <v>2166</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2167</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2168</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2169</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2170</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2171</v>
      </c>
      <c r="C273" s="1775">
        <v>0.14199999999999999</v>
      </c>
      <c r="D273" s="1775">
        <v>0.14299999999999999</v>
      </c>
      <c r="E273" s="1775">
        <v>0.15</v>
      </c>
      <c r="F273" s="1776">
        <v>0.1</v>
      </c>
    </row>
    <row r="274" spans="1:6" ht="14.25" thickBot="1">
      <c r="A274" s="1770" t="s">
        <v>1406</v>
      </c>
      <c r="B274" s="1774" t="s">
        <v>2172</v>
      </c>
      <c r="C274" s="1775">
        <v>0.14799999999999999</v>
      </c>
      <c r="D274" s="1775">
        <v>0.14799999999999999</v>
      </c>
      <c r="E274" s="1775">
        <v>0.15</v>
      </c>
      <c r="F274" s="1776">
        <v>6.7000000000000004E-2</v>
      </c>
    </row>
    <row r="275" spans="1:6" ht="14.25" thickBot="1">
      <c r="A275" s="1770" t="s">
        <v>1406</v>
      </c>
      <c r="B275" s="1774" t="s">
        <v>2173</v>
      </c>
      <c r="C275" s="1775">
        <v>0.15</v>
      </c>
      <c r="D275" s="1775">
        <v>0.15</v>
      </c>
      <c r="E275" s="1775">
        <v>0.15</v>
      </c>
      <c r="F275" s="1776">
        <v>0.15</v>
      </c>
    </row>
    <row r="276" spans="1:6" ht="14.25" thickBot="1">
      <c r="A276" s="1770" t="s">
        <v>1406</v>
      </c>
      <c r="B276" s="1774" t="s">
        <v>2174</v>
      </c>
      <c r="C276" s="1775">
        <v>0.14499999999999999</v>
      </c>
      <c r="D276" s="1775">
        <v>0.14299999999999999</v>
      </c>
      <c r="E276" s="1775">
        <v>0.15</v>
      </c>
      <c r="F276" s="1776">
        <v>5.8999999999999997E-2</v>
      </c>
    </row>
    <row r="277" spans="1:6" ht="14.25" thickBot="1">
      <c r="A277" s="1770" t="s">
        <v>1406</v>
      </c>
      <c r="B277" s="1774" t="s">
        <v>2175</v>
      </c>
      <c r="C277" s="1775">
        <v>0.15</v>
      </c>
      <c r="D277" s="1775">
        <v>0.15</v>
      </c>
      <c r="E277" s="1775">
        <v>0.15</v>
      </c>
      <c r="F277" s="1776">
        <v>0.121</v>
      </c>
    </row>
    <row r="278" spans="1:6" ht="14.25" thickBot="1">
      <c r="A278" s="1770" t="s">
        <v>1406</v>
      </c>
      <c r="B278" s="1774" t="s">
        <v>2176</v>
      </c>
      <c r="C278" s="1775">
        <v>0.15</v>
      </c>
      <c r="D278" s="1775">
        <v>0.15</v>
      </c>
      <c r="E278" s="1775">
        <v>0.15</v>
      </c>
      <c r="F278" s="1776">
        <v>0.13800000000000001</v>
      </c>
    </row>
    <row r="279" spans="1:6" ht="24.75" thickBot="1">
      <c r="A279" s="1770" t="s">
        <v>1406</v>
      </c>
      <c r="B279" s="1774" t="s">
        <v>2177</v>
      </c>
      <c r="C279" s="1784"/>
      <c r="D279" s="1784"/>
      <c r="E279" s="1784"/>
      <c r="F279" s="1776">
        <v>0.05</v>
      </c>
    </row>
    <row r="280" spans="1:6" ht="24.75" thickBot="1">
      <c r="A280" s="1770" t="s">
        <v>1406</v>
      </c>
      <c r="B280" s="1774" t="s">
        <v>2178</v>
      </c>
      <c r="C280" s="1784"/>
      <c r="D280" s="1784"/>
      <c r="E280" s="1784"/>
      <c r="F280" s="1776">
        <v>0.05</v>
      </c>
    </row>
    <row r="281" spans="1:6" ht="24.75" thickBot="1">
      <c r="A281" s="1770" t="s">
        <v>1406</v>
      </c>
      <c r="B281" s="1774" t="s">
        <v>2179</v>
      </c>
      <c r="C281" s="1784"/>
      <c r="D281" s="1784"/>
      <c r="E281" s="1784"/>
      <c r="F281" s="1776">
        <v>0.05</v>
      </c>
    </row>
    <row r="282" spans="1:6" ht="24.75" thickBot="1">
      <c r="A282" s="1770" t="s">
        <v>1406</v>
      </c>
      <c r="B282" s="1774" t="s">
        <v>2180</v>
      </c>
      <c r="C282" s="1784"/>
      <c r="D282" s="1784"/>
      <c r="E282" s="1784"/>
      <c r="F282" s="1776">
        <v>0.05</v>
      </c>
    </row>
    <row r="283" spans="1:6" ht="24.75" thickBot="1">
      <c r="A283" s="1770" t="s">
        <v>1406</v>
      </c>
      <c r="B283" s="1774" t="s">
        <v>2181</v>
      </c>
      <c r="C283" s="1784"/>
      <c r="D283" s="1784"/>
      <c r="E283" s="1784"/>
      <c r="F283" s="1776">
        <v>0.05</v>
      </c>
    </row>
    <row r="284" spans="1:6" ht="24.75" thickBot="1">
      <c r="A284" s="1770" t="s">
        <v>1406</v>
      </c>
      <c r="B284" s="1774" t="s">
        <v>2182</v>
      </c>
      <c r="C284" s="1784"/>
      <c r="D284" s="1784"/>
      <c r="E284" s="1784"/>
      <c r="F284" s="1776">
        <v>0.05</v>
      </c>
    </row>
    <row r="285" spans="1:6" ht="24.75" thickBot="1">
      <c r="A285" s="1770" t="s">
        <v>1406</v>
      </c>
      <c r="B285" s="1774" t="s">
        <v>2183</v>
      </c>
      <c r="C285" s="1784"/>
      <c r="D285" s="1784"/>
      <c r="E285" s="1784"/>
      <c r="F285" s="1776">
        <v>0.05</v>
      </c>
    </row>
    <row r="286" spans="1:6" ht="24.75" thickBot="1">
      <c r="A286" s="1770" t="s">
        <v>1406</v>
      </c>
      <c r="B286" s="1774" t="s">
        <v>2184</v>
      </c>
      <c r="C286" s="1784"/>
      <c r="D286" s="1784"/>
      <c r="E286" s="1784"/>
      <c r="F286" s="1776">
        <v>0.05</v>
      </c>
    </row>
    <row r="287" spans="1:6" ht="24.75" thickBot="1">
      <c r="A287" s="1770" t="s">
        <v>1406</v>
      </c>
      <c r="B287" s="1774" t="s">
        <v>2185</v>
      </c>
      <c r="C287" s="1784"/>
      <c r="D287" s="1784"/>
      <c r="E287" s="1784"/>
      <c r="F287" s="1776">
        <v>0.05</v>
      </c>
    </row>
    <row r="288" spans="1:6" ht="24.75" thickBot="1">
      <c r="A288" s="1770" t="s">
        <v>1406</v>
      </c>
      <c r="B288" s="1774" t="s">
        <v>2186</v>
      </c>
      <c r="C288" s="1784"/>
      <c r="D288" s="1784"/>
      <c r="E288" s="1784"/>
      <c r="F288" s="1776">
        <v>0.05</v>
      </c>
    </row>
    <row r="289" spans="1:6" ht="24.75" thickBot="1">
      <c r="A289" s="1778" t="s">
        <v>1406</v>
      </c>
      <c r="B289" s="1785" t="s">
        <v>2187</v>
      </c>
      <c r="C289" s="1781"/>
      <c r="D289" s="1781"/>
      <c r="E289" s="1781"/>
      <c r="F289" s="1786">
        <v>0.05</v>
      </c>
    </row>
    <row r="290" spans="1:6" ht="14.25" thickBot="1">
      <c r="A290" s="1770" t="s">
        <v>1410</v>
      </c>
      <c r="B290" s="1771" t="s">
        <v>2188</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2189</v>
      </c>
      <c r="C292" s="1775">
        <v>0.15</v>
      </c>
      <c r="D292" s="1775">
        <v>0.15</v>
      </c>
      <c r="E292" s="1775">
        <v>0.15</v>
      </c>
      <c r="F292" s="1776">
        <v>0.14699999999999999</v>
      </c>
    </row>
    <row r="293" spans="1:6" ht="14.25" thickBot="1">
      <c r="A293" s="1770" t="s">
        <v>1410</v>
      </c>
      <c r="B293" s="1774" t="s">
        <v>2190</v>
      </c>
      <c r="C293" s="1784"/>
      <c r="D293" s="1784"/>
      <c r="E293" s="1784"/>
      <c r="F293" s="1776">
        <v>0.1</v>
      </c>
    </row>
    <row r="294" spans="1:6" ht="14.25" thickBot="1">
      <c r="A294" s="1770" t="s">
        <v>1410</v>
      </c>
      <c r="B294" s="1774" t="s">
        <v>2191</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2192</v>
      </c>
      <c r="C296" s="1775">
        <v>0.15</v>
      </c>
      <c r="D296" s="1775">
        <v>0.15</v>
      </c>
      <c r="E296" s="1775">
        <v>0.15</v>
      </c>
      <c r="F296" s="1776">
        <v>0.15</v>
      </c>
    </row>
    <row r="297" spans="1:6" ht="14.25" thickBot="1">
      <c r="A297" s="1770" t="s">
        <v>1410</v>
      </c>
      <c r="B297" s="1774" t="s">
        <v>2193</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2194</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2195</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2196</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2197</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2198</v>
      </c>
      <c r="C310" s="1775">
        <v>0.15</v>
      </c>
      <c r="D310" s="1775">
        <v>0.15</v>
      </c>
      <c r="E310" s="1775">
        <v>0.15</v>
      </c>
      <c r="F310" s="1776">
        <v>0.13700000000000001</v>
      </c>
    </row>
    <row r="311" spans="1:6" ht="14.25" thickBot="1">
      <c r="A311" s="1770" t="s">
        <v>1410</v>
      </c>
      <c r="B311" s="1774" t="s">
        <v>2199</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2200</v>
      </c>
      <c r="C313" s="1775">
        <v>0.15</v>
      </c>
      <c r="D313" s="1775">
        <v>0.15</v>
      </c>
      <c r="E313" s="1775">
        <v>0.15</v>
      </c>
      <c r="F313" s="1776">
        <v>0.15</v>
      </c>
    </row>
    <row r="314" spans="1:6" ht="24.75" thickBot="1">
      <c r="A314" s="1770" t="s">
        <v>1410</v>
      </c>
      <c r="B314" s="1774" t="s">
        <v>2201</v>
      </c>
      <c r="C314" s="1784"/>
      <c r="D314" s="1784"/>
      <c r="E314" s="1784"/>
      <c r="F314" s="1776">
        <v>0.05</v>
      </c>
    </row>
    <row r="315" spans="1:6" ht="24.75" thickBot="1">
      <c r="A315" s="1770" t="s">
        <v>1410</v>
      </c>
      <c r="B315" s="1774" t="s">
        <v>2202</v>
      </c>
      <c r="C315" s="1784"/>
      <c r="D315" s="1784"/>
      <c r="E315" s="1784"/>
      <c r="F315" s="1776">
        <v>0.05</v>
      </c>
    </row>
    <row r="316" spans="1:6" ht="24.75" thickBot="1">
      <c r="A316" s="1778" t="s">
        <v>1410</v>
      </c>
      <c r="B316" s="1785" t="s">
        <v>2203</v>
      </c>
      <c r="C316" s="1781"/>
      <c r="D316" s="1781"/>
      <c r="E316" s="1781"/>
      <c r="F316" s="1786">
        <v>0.05</v>
      </c>
    </row>
    <row r="317" spans="1:6" ht="14.25" thickBot="1">
      <c r="A317" s="1770" t="s">
        <v>2204</v>
      </c>
      <c r="B317" s="1771" t="s">
        <v>2205</v>
      </c>
      <c r="C317" s="1772">
        <v>0.15</v>
      </c>
      <c r="D317" s="1772">
        <v>0.15</v>
      </c>
      <c r="E317" s="1772">
        <v>0.15</v>
      </c>
      <c r="F317" s="1773">
        <v>0.15</v>
      </c>
    </row>
    <row r="318" spans="1:6" ht="14.25" thickBot="1">
      <c r="A318" s="1770" t="s">
        <v>2204</v>
      </c>
      <c r="B318" s="1774" t="s">
        <v>2206</v>
      </c>
      <c r="C318" s="1775">
        <v>0.107</v>
      </c>
      <c r="D318" s="1775">
        <v>0.11</v>
      </c>
      <c r="E318" s="1775">
        <v>0.112</v>
      </c>
      <c r="F318" s="1783"/>
    </row>
    <row r="319" spans="1:6" ht="14.25" thickBot="1">
      <c r="A319" s="1770" t="s">
        <v>2204</v>
      </c>
      <c r="B319" s="1774" t="s">
        <v>2207</v>
      </c>
      <c r="C319" s="1775">
        <v>0.15</v>
      </c>
      <c r="D319" s="1775">
        <v>0.15</v>
      </c>
      <c r="E319" s="1775">
        <v>0.15</v>
      </c>
      <c r="F319" s="1776">
        <v>0.15</v>
      </c>
    </row>
    <row r="320" spans="1:6" ht="14.25" thickBot="1">
      <c r="A320" s="1770" t="s">
        <v>2204</v>
      </c>
      <c r="B320" s="1774" t="s">
        <v>1098</v>
      </c>
      <c r="C320" s="1775">
        <v>0.15</v>
      </c>
      <c r="D320" s="1775">
        <v>0.15</v>
      </c>
      <c r="E320" s="1775">
        <v>0.15</v>
      </c>
      <c r="F320" s="1783"/>
    </row>
    <row r="321" spans="1:6" ht="14.25" thickBot="1">
      <c r="A321" s="1770" t="s">
        <v>2204</v>
      </c>
      <c r="B321" s="1774" t="s">
        <v>2208</v>
      </c>
      <c r="C321" s="1775">
        <v>0.15</v>
      </c>
      <c r="D321" s="1775">
        <v>0.15</v>
      </c>
      <c r="E321" s="1775">
        <v>0.15</v>
      </c>
      <c r="F321" s="1783"/>
    </row>
    <row r="322" spans="1:6" ht="14.25" thickBot="1">
      <c r="A322" s="1770" t="s">
        <v>2204</v>
      </c>
      <c r="B322" s="1774" t="s">
        <v>2209</v>
      </c>
      <c r="C322" s="1775">
        <v>0.15</v>
      </c>
      <c r="D322" s="1775">
        <v>0.15</v>
      </c>
      <c r="E322" s="1775">
        <v>0.15</v>
      </c>
      <c r="F322" s="1776">
        <v>0.15</v>
      </c>
    </row>
    <row r="323" spans="1:6" ht="14.25" thickBot="1">
      <c r="A323" s="1770" t="s">
        <v>2204</v>
      </c>
      <c r="B323" s="1774" t="s">
        <v>2210</v>
      </c>
      <c r="C323" s="1775">
        <v>0.15</v>
      </c>
      <c r="D323" s="1775">
        <v>0.15</v>
      </c>
      <c r="E323" s="1775">
        <v>0.15</v>
      </c>
      <c r="F323" s="1783"/>
    </row>
    <row r="324" spans="1:6" ht="14.25" thickBot="1">
      <c r="A324" s="1770" t="s">
        <v>2204</v>
      </c>
      <c r="B324" s="1774" t="s">
        <v>2211</v>
      </c>
      <c r="C324" s="1775">
        <v>0.15</v>
      </c>
      <c r="D324" s="1775">
        <v>0.15</v>
      </c>
      <c r="E324" s="1775">
        <v>0.15</v>
      </c>
      <c r="F324" s="1783"/>
    </row>
    <row r="325" spans="1:6" ht="14.25" thickBot="1">
      <c r="A325" s="1770" t="s">
        <v>2204</v>
      </c>
      <c r="B325" s="1774" t="s">
        <v>2212</v>
      </c>
      <c r="C325" s="1775">
        <v>0.15</v>
      </c>
      <c r="D325" s="1775">
        <v>0.15</v>
      </c>
      <c r="E325" s="1775">
        <v>0.15</v>
      </c>
      <c r="F325" s="1776">
        <v>0.14699999999999999</v>
      </c>
    </row>
    <row r="326" spans="1:6" ht="14.25" thickBot="1">
      <c r="A326" s="1770" t="s">
        <v>2204</v>
      </c>
      <c r="B326" s="1774" t="s">
        <v>1167</v>
      </c>
      <c r="C326" s="1775">
        <v>0.15</v>
      </c>
      <c r="D326" s="1775">
        <v>0.15</v>
      </c>
      <c r="E326" s="1775">
        <v>0.15</v>
      </c>
      <c r="F326" s="1783"/>
    </row>
    <row r="327" spans="1:6" ht="14.25" thickBot="1">
      <c r="A327" s="1770" t="s">
        <v>2204</v>
      </c>
      <c r="B327" s="1774" t="s">
        <v>2213</v>
      </c>
      <c r="C327" s="1775">
        <v>0.15</v>
      </c>
      <c r="D327" s="1775">
        <v>0.15</v>
      </c>
      <c r="E327" s="1775">
        <v>0.15</v>
      </c>
      <c r="F327" s="1776">
        <v>0.15</v>
      </c>
    </row>
    <row r="328" spans="1:6" ht="14.25" thickBot="1">
      <c r="A328" s="1770" t="s">
        <v>2204</v>
      </c>
      <c r="B328" s="1774" t="s">
        <v>1187</v>
      </c>
      <c r="C328" s="1775">
        <v>0.15</v>
      </c>
      <c r="D328" s="1775">
        <v>0.15</v>
      </c>
      <c r="E328" s="1775">
        <v>0.15</v>
      </c>
      <c r="F328" s="1776">
        <v>0.14099999999999999</v>
      </c>
    </row>
    <row r="329" spans="1:6" ht="14.25" thickBot="1">
      <c r="A329" s="1770" t="s">
        <v>2204</v>
      </c>
      <c r="B329" s="1774" t="s">
        <v>1197</v>
      </c>
      <c r="C329" s="1775">
        <v>0.15</v>
      </c>
      <c r="D329" s="1775">
        <v>0.15</v>
      </c>
      <c r="E329" s="1775">
        <v>0.15</v>
      </c>
      <c r="F329" s="1776">
        <v>0.15</v>
      </c>
    </row>
    <row r="330" spans="1:6" ht="14.25" thickBot="1">
      <c r="A330" s="1770" t="s">
        <v>2204</v>
      </c>
      <c r="B330" s="1774" t="s">
        <v>1207</v>
      </c>
      <c r="C330" s="1775">
        <v>0.15</v>
      </c>
      <c r="D330" s="1775">
        <v>0.15</v>
      </c>
      <c r="E330" s="1775">
        <v>0.15</v>
      </c>
      <c r="F330" s="1783"/>
    </row>
    <row r="331" spans="1:6" ht="14.25" thickBot="1">
      <c r="A331" s="1770" t="s">
        <v>2204</v>
      </c>
      <c r="B331" s="1774" t="s">
        <v>2214</v>
      </c>
      <c r="C331" s="1775">
        <v>0.15</v>
      </c>
      <c r="D331" s="1775">
        <v>0.15</v>
      </c>
      <c r="E331" s="1775">
        <v>0.15</v>
      </c>
      <c r="F331" s="1776">
        <v>0.15</v>
      </c>
    </row>
    <row r="332" spans="1:6" ht="14.25" thickBot="1">
      <c r="A332" s="1770" t="s">
        <v>2204</v>
      </c>
      <c r="B332" s="1774" t="s">
        <v>1227</v>
      </c>
      <c r="C332" s="1775">
        <v>0.15</v>
      </c>
      <c r="D332" s="1775">
        <v>0.15</v>
      </c>
      <c r="E332" s="1775">
        <v>0.15</v>
      </c>
      <c r="F332" s="1776">
        <v>0.15</v>
      </c>
    </row>
    <row r="333" spans="1:6" ht="14.25" thickBot="1">
      <c r="A333" s="1770" t="s">
        <v>2204</v>
      </c>
      <c r="B333" s="1774" t="s">
        <v>2215</v>
      </c>
      <c r="C333" s="1775">
        <v>0.15</v>
      </c>
      <c r="D333" s="1775">
        <v>0.15</v>
      </c>
      <c r="E333" s="1775">
        <v>0.15</v>
      </c>
      <c r="F333" s="1776">
        <v>0.14099999999999999</v>
      </c>
    </row>
    <row r="334" spans="1:6" ht="14.25" thickBot="1">
      <c r="A334" s="1770" t="s">
        <v>2204</v>
      </c>
      <c r="B334" s="1774" t="s">
        <v>1247</v>
      </c>
      <c r="C334" s="1775">
        <v>0.15</v>
      </c>
      <c r="D334" s="1775">
        <v>0.15</v>
      </c>
      <c r="E334" s="1775">
        <v>0.15</v>
      </c>
      <c r="F334" s="1776">
        <v>0.15</v>
      </c>
    </row>
    <row r="335" spans="1:6" ht="14.25" thickBot="1">
      <c r="A335" s="1770" t="s">
        <v>2204</v>
      </c>
      <c r="B335" s="1774" t="s">
        <v>1257</v>
      </c>
      <c r="C335" s="1775">
        <v>0.15</v>
      </c>
      <c r="D335" s="1775">
        <v>0.15</v>
      </c>
      <c r="E335" s="1775">
        <v>0.15</v>
      </c>
      <c r="F335" s="1783"/>
    </row>
    <row r="336" spans="1:6" ht="14.25" thickBot="1">
      <c r="A336" s="1770" t="s">
        <v>2204</v>
      </c>
      <c r="B336" s="1774" t="s">
        <v>2216</v>
      </c>
      <c r="C336" s="1775">
        <v>0.15</v>
      </c>
      <c r="D336" s="1775">
        <v>0.15</v>
      </c>
      <c r="E336" s="1775">
        <v>0.15</v>
      </c>
      <c r="F336" s="1776">
        <v>0.11799999999999999</v>
      </c>
    </row>
    <row r="337" spans="1:6" ht="14.25" thickBot="1">
      <c r="A337" s="1778" t="s">
        <v>2204</v>
      </c>
      <c r="B337" s="1785" t="s">
        <v>1275</v>
      </c>
      <c r="C337" s="1781"/>
      <c r="D337" s="1781"/>
      <c r="E337" s="1781"/>
      <c r="F337" s="1786">
        <v>0.14299999999999999</v>
      </c>
    </row>
    <row r="338" spans="1:6" ht="14.25" thickBot="1">
      <c r="A338" s="1770" t="s">
        <v>2217</v>
      </c>
      <c r="B338" s="1771" t="s">
        <v>2218</v>
      </c>
      <c r="C338" s="1772">
        <v>0.15</v>
      </c>
      <c r="D338" s="1772">
        <v>0.15</v>
      </c>
      <c r="E338" s="1772">
        <v>0.15</v>
      </c>
      <c r="F338" s="1794"/>
    </row>
    <row r="339" spans="1:6" ht="14.25" thickBot="1">
      <c r="A339" s="1770" t="s">
        <v>2217</v>
      </c>
      <c r="B339" s="1774" t="s">
        <v>2219</v>
      </c>
      <c r="C339" s="1775">
        <v>0.15</v>
      </c>
      <c r="D339" s="1775">
        <v>0.15</v>
      </c>
      <c r="E339" s="1775">
        <v>0.15</v>
      </c>
      <c r="F339" s="1783"/>
    </row>
    <row r="340" spans="1:6" ht="14.25" thickBot="1">
      <c r="A340" s="1770" t="s">
        <v>2217</v>
      </c>
      <c r="B340" s="1774" t="s">
        <v>2220</v>
      </c>
      <c r="C340" s="1775">
        <v>0.15</v>
      </c>
      <c r="D340" s="1775">
        <v>0.15</v>
      </c>
      <c r="E340" s="1775">
        <v>0.15</v>
      </c>
      <c r="F340" s="1783"/>
    </row>
    <row r="341" spans="1:6" ht="14.25" thickBot="1">
      <c r="A341" s="1770" t="s">
        <v>2221</v>
      </c>
      <c r="B341" s="1774" t="s">
        <v>2222</v>
      </c>
      <c r="C341" s="1775">
        <v>0.15</v>
      </c>
      <c r="D341" s="1775">
        <v>0.15</v>
      </c>
      <c r="E341" s="1775">
        <v>0.15</v>
      </c>
      <c r="F341" s="1776">
        <v>0.15</v>
      </c>
    </row>
    <row r="342" spans="1:6" ht="14.25" thickBot="1">
      <c r="A342" s="1770" t="s">
        <v>2217</v>
      </c>
      <c r="B342" s="1774" t="s">
        <v>2223</v>
      </c>
      <c r="C342" s="1775">
        <v>0.15</v>
      </c>
      <c r="D342" s="1775">
        <v>0.15</v>
      </c>
      <c r="E342" s="1775">
        <v>0.15</v>
      </c>
      <c r="F342" s="1776">
        <v>0.15</v>
      </c>
    </row>
    <row r="343" spans="1:6" ht="14.25" thickBot="1">
      <c r="A343" s="1770" t="s">
        <v>2217</v>
      </c>
      <c r="B343" s="1774" t="s">
        <v>2224</v>
      </c>
      <c r="C343" s="1775">
        <v>0.15</v>
      </c>
      <c r="D343" s="1775">
        <v>0.15</v>
      </c>
      <c r="E343" s="1775">
        <v>0.15</v>
      </c>
      <c r="F343" s="1776">
        <v>0.15</v>
      </c>
    </row>
    <row r="344" spans="1:6" ht="14.25" thickBot="1">
      <c r="A344" s="1778" t="s">
        <v>2217</v>
      </c>
      <c r="B344" s="1785" t="s">
        <v>2225</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4"/>
  <sheetViews>
    <sheetView zoomScale="80" zoomScaleNormal="80" workbookViewId="0">
      <selection activeCell="Q41" sqref="Q41"/>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556" t="s">
        <v>2556</v>
      </c>
      <c r="C1" s="3556"/>
      <c r="D1" s="3556"/>
      <c r="E1" s="3556"/>
      <c r="F1" s="3556"/>
      <c r="G1" s="3555" t="s">
        <v>2557</v>
      </c>
      <c r="H1" s="3555"/>
      <c r="I1" s="3555"/>
      <c r="J1" s="3555"/>
      <c r="K1" s="3555"/>
      <c r="L1" s="3555"/>
      <c r="N1" s="3555" t="s">
        <v>2558</v>
      </c>
      <c r="O1" s="3555"/>
      <c r="P1" s="3555"/>
      <c r="Q1" s="3555"/>
      <c r="S1" s="3555" t="s">
        <v>2559</v>
      </c>
      <c r="T1" s="3555"/>
      <c r="U1" s="3555"/>
      <c r="V1" s="3555"/>
      <c r="X1" s="3554" t="s">
        <v>2619</v>
      </c>
      <c r="Y1" s="3555"/>
      <c r="Z1" s="3555"/>
      <c r="AA1" s="3555"/>
      <c r="AB1" s="3555"/>
      <c r="AD1" s="3554" t="s">
        <v>2623</v>
      </c>
      <c r="AE1" s="3555"/>
      <c r="AF1" s="3555"/>
      <c r="AG1" s="3555"/>
      <c r="AH1" s="3555"/>
    </row>
    <row r="2" spans="1:34" s="2866" customFormat="1" ht="14.25" thickBot="1">
      <c r="B2" s="2867" t="s">
        <v>2560</v>
      </c>
      <c r="C2" s="2867" t="s">
        <v>2621</v>
      </c>
      <c r="D2" s="2868" t="s">
        <v>1635</v>
      </c>
      <c r="E2" s="2868" t="s">
        <v>1938</v>
      </c>
      <c r="F2" s="2867" t="s">
        <v>2622</v>
      </c>
      <c r="G2" s="2869"/>
      <c r="I2" s="2867" t="s">
        <v>2909</v>
      </c>
      <c r="J2" s="2868" t="s">
        <v>2911</v>
      </c>
      <c r="K2" s="2868" t="s">
        <v>2912</v>
      </c>
      <c r="L2" s="2867" t="s">
        <v>2913</v>
      </c>
      <c r="N2" s="2867" t="s">
        <v>2560</v>
      </c>
      <c r="O2" s="2868" t="s">
        <v>2910</v>
      </c>
      <c r="P2" s="2868" t="s">
        <v>1938</v>
      </c>
      <c r="Q2" s="2867" t="s">
        <v>2622</v>
      </c>
      <c r="S2" s="2867" t="s">
        <v>2560</v>
      </c>
      <c r="T2" s="2868" t="s">
        <v>2910</v>
      </c>
      <c r="U2" s="2868" t="s">
        <v>1938</v>
      </c>
      <c r="V2" s="2867" t="s">
        <v>2622</v>
      </c>
      <c r="X2" s="2867" t="s">
        <v>2560</v>
      </c>
      <c r="Y2" s="2867" t="s">
        <v>2621</v>
      </c>
      <c r="Z2" s="2868" t="s">
        <v>1635</v>
      </c>
      <c r="AA2" s="2868" t="s">
        <v>1938</v>
      </c>
      <c r="AB2" s="2867" t="s">
        <v>2622</v>
      </c>
      <c r="AD2" s="2867" t="s">
        <v>2560</v>
      </c>
      <c r="AE2" s="2867" t="s">
        <v>2621</v>
      </c>
      <c r="AF2" s="2868" t="s">
        <v>1635</v>
      </c>
      <c r="AG2" s="2868" t="s">
        <v>1938</v>
      </c>
      <c r="AH2" s="2867" t="s">
        <v>2622</v>
      </c>
    </row>
    <row r="3" spans="1:34" s="2876" customFormat="1" ht="14.25">
      <c r="A3" s="2870" t="s">
        <v>2920</v>
      </c>
      <c r="B3" s="2871"/>
      <c r="C3" s="2871"/>
      <c r="D3" s="2872"/>
      <c r="E3" s="2872"/>
      <c r="F3" s="2871"/>
      <c r="G3" s="2873"/>
      <c r="H3" s="2874"/>
      <c r="I3" s="2875">
        <f>ROUND(AVERAGE($I4:$I31),2)</f>
        <v>1.79</v>
      </c>
      <c r="J3" s="2875">
        <f>ROUND(AVERAGE($J4:$J31),2)</f>
        <v>1.2</v>
      </c>
      <c r="K3" s="2875">
        <f>ROUND(AVERAGE($K4:$K31),2)</f>
        <v>1.97</v>
      </c>
      <c r="L3" s="2875">
        <f>ROUND(AVERAGE($L4:$L31),2)</f>
        <v>1.27</v>
      </c>
      <c r="N3" s="2873"/>
      <c r="S3" s="2873"/>
      <c r="W3" s="2877"/>
      <c r="X3" s="2878">
        <f>ROUND(SUMPRODUCT(PRODUCT(1+N3:N$30)),4)</f>
        <v>1.5652999999999999</v>
      </c>
      <c r="Y3" s="2878">
        <f>ROUND(SUMPRODUCT(PRODUCT(1+O3:O$30)),4)</f>
        <v>1.3472</v>
      </c>
      <c r="Z3" s="2878">
        <f t="shared" ref="Z3:Z28" si="0">Y3</f>
        <v>1.3472</v>
      </c>
      <c r="AA3" s="2878">
        <f>ROUND(SUMPRODUCT(PRODUCT(1+P3:P$30)),4)</f>
        <v>1.6335999999999999</v>
      </c>
      <c r="AB3" s="2878">
        <f>ROUND(SUMPRODUCT(PRODUCT(1+Q3:Q$30)),4)</f>
        <v>1.3880999999999999</v>
      </c>
      <c r="AD3" s="2879">
        <f>ROUND(AVERAGE(I3:I$31)/100,4)</f>
        <v>1.7899999999999999E-2</v>
      </c>
      <c r="AE3" s="2879">
        <f>ROUND(AVERAGE(J3:J$31)/100,4)</f>
        <v>1.2E-2</v>
      </c>
      <c r="AF3" s="2879">
        <f t="shared" ref="AF3:AF29" si="1">AE3</f>
        <v>1.2E-2</v>
      </c>
      <c r="AG3" s="2879">
        <f>ROUND(AVERAGE(K3:K$31)/100,4)</f>
        <v>1.9699999999999999E-2</v>
      </c>
      <c r="AH3" s="2879">
        <f>ROUND(AVERAGE(L3:L$31)/100,4)</f>
        <v>1.2699999999999999E-2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2951</v>
      </c>
      <c r="B5" s="2890">
        <f t="shared" ref="B5" si="2">B6*(1+N5)</f>
        <v>481.4103506697644</v>
      </c>
      <c r="C5" s="2890">
        <f t="shared" ref="C5" si="3">C6*(1+O5)</f>
        <v>347.29066026648707</v>
      </c>
      <c r="D5" s="2890">
        <f t="shared" ref="D5" si="4">C5</f>
        <v>347.29066026648707</v>
      </c>
      <c r="E5" s="2890">
        <f t="shared" ref="E5" si="5">E6*(1+P5)</f>
        <v>690.85977273901995</v>
      </c>
      <c r="F5" s="2890">
        <f t="shared" ref="F5" si="6">F6*(1+Q5)</f>
        <v>319.13136737000184</v>
      </c>
      <c r="G5" s="2883">
        <v>2020</v>
      </c>
      <c r="H5" s="2891">
        <v>3</v>
      </c>
      <c r="I5" s="2892">
        <v>0</v>
      </c>
      <c r="J5" s="2892">
        <v>0</v>
      </c>
      <c r="K5" s="2892">
        <v>0</v>
      </c>
      <c r="L5" s="2892">
        <v>0</v>
      </c>
      <c r="N5" s="2894">
        <f t="shared" ref="N5" si="7">I5/100</f>
        <v>0</v>
      </c>
      <c r="O5" s="2894">
        <f t="shared" ref="O5" si="8">J5/100</f>
        <v>0</v>
      </c>
      <c r="P5" s="2894">
        <f t="shared" ref="P5" si="9">K5/100</f>
        <v>0</v>
      </c>
      <c r="Q5" s="2894">
        <f t="shared" ref="Q5" si="10">L5/100</f>
        <v>0</v>
      </c>
      <c r="S5" s="2895"/>
      <c r="W5" s="2896" t="s">
        <v>2921</v>
      </c>
      <c r="X5" s="2897">
        <f>ROUND(IF(项目基本情况!B7="出让",SUMPRODUCT(PRODUCT(1+N5:N$31)),SUMPRODUCT(PRODUCT(1+N5:N$30))),4)</f>
        <v>1.5652999999999999</v>
      </c>
      <c r="Y5" s="2897">
        <f>ROUND(IF(项目基本情况!B7="出让",SUMPRODUCT(PRODUCT(1+O5:O$31)),SUMPRODUCT(PRODUCT(1+O5:O$30))),4)</f>
        <v>1.3472</v>
      </c>
      <c r="Z5" s="2897">
        <f t="shared" ref="Z5" si="11">Y5</f>
        <v>1.3472</v>
      </c>
      <c r="AA5" s="2897">
        <f>ROUND(IF(项目基本情况!B7="出让",SUMPRODUCT(PRODUCT(1+P5:P$31)),SUMPRODUCT(PRODUCT(1+P5:P$30))),4)</f>
        <v>1.6335999999999999</v>
      </c>
      <c r="AB5" s="2897">
        <f>ROUND(IF(项目基本情况!B7="出让",SUMPRODUCT(PRODUCT(1+Q5:Q$31)),SUMPRODUCT(PRODUCT(1+Q5:Q$30))),4)</f>
        <v>1.3880999999999999</v>
      </c>
      <c r="AD5" s="2898">
        <f>ROUND(AVERAGE(I5:I$31)/100,4)</f>
        <v>1.7899999999999999E-2</v>
      </c>
      <c r="AE5" s="2898">
        <f>ROUND(AVERAGE(J5:J$31)/100,4)</f>
        <v>1.2E-2</v>
      </c>
      <c r="AF5" s="2898">
        <f t="shared" ref="AF5" si="12">AE5</f>
        <v>1.2E-2</v>
      </c>
      <c r="AG5" s="2898">
        <f>ROUND(AVERAGE(K5:K$31)/100,4)</f>
        <v>1.9699999999999999E-2</v>
      </c>
      <c r="AH5" s="2898">
        <f>ROUND(AVERAGE(L5:L$31)/100,4)</f>
        <v>1.2699999999999999E-2</v>
      </c>
    </row>
    <row r="6" spans="1:34" s="2906" customFormat="1">
      <c r="A6" s="2899" t="s">
        <v>2950</v>
      </c>
      <c r="B6" s="2900">
        <f t="shared" ref="B6" si="13">B7*(1+N6)</f>
        <v>481.4103506697644</v>
      </c>
      <c r="C6" s="2900">
        <f t="shared" ref="C6" si="14">C7*(1+O6)</f>
        <v>347.29066026648707</v>
      </c>
      <c r="D6" s="2900">
        <f t="shared" ref="D6" si="15">C6</f>
        <v>347.29066026648707</v>
      </c>
      <c r="E6" s="2900">
        <f t="shared" ref="E6" si="16">E7*(1+P6)</f>
        <v>690.85977273901995</v>
      </c>
      <c r="F6" s="2900">
        <f t="shared" ref="F6" si="17">F7*(1+Q6)</f>
        <v>319.13136737000184</v>
      </c>
      <c r="G6" s="2883">
        <v>2020</v>
      </c>
      <c r="H6" s="2901">
        <v>2</v>
      </c>
      <c r="I6" s="2863">
        <v>0.31</v>
      </c>
      <c r="J6" s="2863">
        <v>-0.78</v>
      </c>
      <c r="K6" s="2863">
        <v>0.5</v>
      </c>
      <c r="L6" s="2864">
        <v>0.47</v>
      </c>
      <c r="M6" s="2887"/>
      <c r="N6" s="2902">
        <f t="shared" ref="N6" si="18">I6/100</f>
        <v>3.0999999999999999E-3</v>
      </c>
      <c r="O6" s="2888">
        <f t="shared" ref="O6" si="19">J6/100</f>
        <v>-7.8000000000000005E-3</v>
      </c>
      <c r="P6" s="2888">
        <f t="shared" ref="P6" si="20">K6/100</f>
        <v>5.0000000000000001E-3</v>
      </c>
      <c r="Q6" s="2888">
        <f t="shared" ref="Q6" si="21">L6/100</f>
        <v>4.6999999999999993E-3</v>
      </c>
      <c r="R6" s="2903"/>
      <c r="S6" s="2904"/>
      <c r="T6" s="2905"/>
      <c r="U6" s="2905"/>
      <c r="V6" s="2905"/>
      <c r="W6" s="2887"/>
      <c r="X6" s="2887">
        <f>ROUND(IF(项目基本情况!B8="出让",SUMPRODUCT(PRODUCT(1+N6:N$31)),SUMPRODUCT(PRODUCT(1+N6:N$30))),4)</f>
        <v>1.5652999999999999</v>
      </c>
      <c r="Y6" s="2887">
        <f>ROUND(IF(项目基本情况!B8="出让",SUMPRODUCT(PRODUCT(1+O6:O$31)),SUMPRODUCT(PRODUCT(1+O6:O$30))),4)</f>
        <v>1.3472</v>
      </c>
      <c r="Z6" s="2887">
        <f t="shared" ref="Z6" si="22">Y6</f>
        <v>1.3472</v>
      </c>
      <c r="AA6" s="2887">
        <f>ROUND(IF(项目基本情况!B8="出让",SUMPRODUCT(PRODUCT(1+P6:P$31)),SUMPRODUCT(PRODUCT(1+P6:P$30))),4)</f>
        <v>1.6335999999999999</v>
      </c>
      <c r="AB6" s="2887">
        <f>ROUND(IF(项目基本情况!B8="出让",SUMPRODUCT(PRODUCT(1+Q6:Q$31)),SUMPRODUCT(PRODUCT(1+Q6:Q$30))),4)</f>
        <v>1.3880999999999999</v>
      </c>
      <c r="AC6" s="2887"/>
      <c r="AD6" s="2888">
        <f>ROUND(AVERAGE(I6:I$31)/100,4)</f>
        <v>1.8599999999999998E-2</v>
      </c>
      <c r="AE6" s="2888">
        <f>ROUND(AVERAGE(J6:J$31)/100,4)</f>
        <v>1.2500000000000001E-2</v>
      </c>
      <c r="AF6" s="2888">
        <f t="shared" ref="AF6" si="23">AE6</f>
        <v>1.2500000000000001E-2</v>
      </c>
      <c r="AG6" s="2888">
        <f>ROUND(AVERAGE(K6:K$31)/100,4)</f>
        <v>2.0400000000000001E-2</v>
      </c>
      <c r="AH6" s="2888">
        <f>ROUND(AVERAGE(L6:L$31)/100,4)</f>
        <v>1.32E-2</v>
      </c>
    </row>
    <row r="7" spans="1:34" s="2906" customFormat="1">
      <c r="A7" s="2899" t="s">
        <v>2948</v>
      </c>
      <c r="B7" s="2900">
        <f t="shared" ref="B7" si="24">B8*(1+N7)</f>
        <v>479.92259063878413</v>
      </c>
      <c r="C7" s="2900">
        <f t="shared" ref="C7" si="25">C8*(1+O7)</f>
        <v>350.02082268341775</v>
      </c>
      <c r="D7" s="2900">
        <f t="shared" ref="D7" si="26">C7</f>
        <v>350.02082268341775</v>
      </c>
      <c r="E7" s="2900">
        <f t="shared" ref="E7" si="27">E8*(1+P7)</f>
        <v>687.42265944181099</v>
      </c>
      <c r="F7" s="2900">
        <f t="shared" ref="F7" si="28">F8*(1+Q7)</f>
        <v>317.63846657708956</v>
      </c>
      <c r="G7" s="2883">
        <v>2020</v>
      </c>
      <c r="H7" s="2901">
        <v>1</v>
      </c>
      <c r="I7" s="2863">
        <v>0.12</v>
      </c>
      <c r="J7" s="2863">
        <v>-0.4</v>
      </c>
      <c r="K7" s="2863">
        <v>0.21</v>
      </c>
      <c r="L7" s="2864">
        <v>0.27</v>
      </c>
      <c r="M7" s="2887"/>
      <c r="N7" s="2902">
        <f t="shared" ref="N7" si="29">I7/100</f>
        <v>1.1999999999999999E-3</v>
      </c>
      <c r="O7" s="2888">
        <f t="shared" ref="O7" si="30">J7/100</f>
        <v>-4.0000000000000001E-3</v>
      </c>
      <c r="P7" s="2888">
        <f t="shared" ref="P7" si="31">K7/100</f>
        <v>2.0999999999999999E-3</v>
      </c>
      <c r="Q7" s="2888">
        <f t="shared" ref="Q7" si="32">L7/100</f>
        <v>2.7000000000000001E-3</v>
      </c>
      <c r="R7" s="2903"/>
      <c r="S7" s="2904">
        <f>B7/B8-1</f>
        <v>1.2000000000000899E-3</v>
      </c>
      <c r="T7" s="2905">
        <f>C7/C8-1</f>
        <v>-4.0000000000000036E-3</v>
      </c>
      <c r="U7" s="2905">
        <f>E7/E8-1</f>
        <v>2.0999999999999908E-3</v>
      </c>
      <c r="V7" s="2905">
        <f>F7/F8-1</f>
        <v>2.6999999999999247E-3</v>
      </c>
      <c r="W7" s="2887"/>
      <c r="X7" s="2887">
        <f>ROUND(IF(项目基本情况!B8="出让",SUMPRODUCT(PRODUCT(1+N7:N$31)),SUMPRODUCT(PRODUCT(1+N7:N$30))),4)</f>
        <v>1.5605</v>
      </c>
      <c r="Y7" s="2887">
        <f>ROUND(IF(项目基本情况!B8="出让",SUMPRODUCT(PRODUCT(1+O7:O$31)),SUMPRODUCT(PRODUCT(1+O7:O$30))),4)</f>
        <v>1.3577999999999999</v>
      </c>
      <c r="Z7" s="2887">
        <f t="shared" ref="Z7" si="33">Y7</f>
        <v>1.3577999999999999</v>
      </c>
      <c r="AA7" s="2887">
        <f>ROUND(IF(项目基本情况!B8="出让",SUMPRODUCT(PRODUCT(1+P7:P$31)),SUMPRODUCT(PRODUCT(1+P7:P$30))),4)</f>
        <v>1.6254999999999999</v>
      </c>
      <c r="AB7" s="2887">
        <f>ROUND(IF(项目基本情况!B8="出让",SUMPRODUCT(PRODUCT(1+Q7:Q$31)),SUMPRODUCT(PRODUCT(1+Q7:Q$30))),4)</f>
        <v>1.3815999999999999</v>
      </c>
      <c r="AC7" s="2887"/>
      <c r="AD7" s="2888">
        <f>ROUND(AVERAGE(I7:I$31)/100,4)</f>
        <v>1.9199999999999998E-2</v>
      </c>
      <c r="AE7" s="2888">
        <f>ROUND(AVERAGE(J7:J$31)/100,4)</f>
        <v>1.3299999999999999E-2</v>
      </c>
      <c r="AF7" s="2888">
        <f t="shared" ref="AF7" si="34">AE7</f>
        <v>1.3299999999999999E-2</v>
      </c>
      <c r="AG7" s="2888">
        <f>ROUND(AVERAGE(K7:K$31)/100,4)</f>
        <v>2.1100000000000001E-2</v>
      </c>
      <c r="AH7" s="2888">
        <f>ROUND(AVERAGE(L7:L$31)/100,4)</f>
        <v>1.3599999999999999E-2</v>
      </c>
    </row>
    <row r="8" spans="1:34" s="2906" customFormat="1">
      <c r="A8" s="2899" t="s">
        <v>2945</v>
      </c>
      <c r="B8" s="2900">
        <f t="shared" ref="B8" si="35">B9*(1+N8)</f>
        <v>479.34737379023579</v>
      </c>
      <c r="C8" s="2900">
        <f t="shared" ref="C8" si="36">C9*(1+O8)</f>
        <v>351.4265287986122</v>
      </c>
      <c r="D8" s="2900">
        <f t="shared" ref="D8" si="37">C8</f>
        <v>351.4265287986122</v>
      </c>
      <c r="E8" s="2900">
        <f t="shared" ref="E8" si="38">E9*(1+P8)</f>
        <v>685.98209703803116</v>
      </c>
      <c r="F8" s="2900">
        <f t="shared" ref="F8" si="39">F9*(1+Q8)</f>
        <v>316.78315206651001</v>
      </c>
      <c r="G8" s="2883">
        <v>2019</v>
      </c>
      <c r="H8" s="2901">
        <v>4</v>
      </c>
      <c r="I8" s="2901">
        <v>0.45</v>
      </c>
      <c r="J8" s="2901">
        <v>-0.12</v>
      </c>
      <c r="K8" s="2901">
        <v>0.54</v>
      </c>
      <c r="L8" s="2907">
        <v>0.48</v>
      </c>
      <c r="M8" s="2887"/>
      <c r="N8" s="2902">
        <f t="shared" ref="N8" si="40">I8/100</f>
        <v>4.5000000000000005E-3</v>
      </c>
      <c r="O8" s="2888">
        <f t="shared" ref="O8" si="41">J8/100</f>
        <v>-1.1999999999999999E-3</v>
      </c>
      <c r="P8" s="2888">
        <f t="shared" ref="P8" si="42">K8/100</f>
        <v>5.4000000000000003E-3</v>
      </c>
      <c r="Q8" s="2888">
        <f t="shared" ref="Q8" si="43">L8/100</f>
        <v>4.7999999999999996E-3</v>
      </c>
      <c r="R8" s="2903"/>
      <c r="S8" s="2904"/>
      <c r="T8" s="2905"/>
      <c r="U8" s="2905"/>
      <c r="V8" s="2905"/>
      <c r="W8" s="2887"/>
      <c r="X8" s="2887">
        <f>ROUND(IF(项目基本情况!B8="出让",SUMPRODUCT(PRODUCT(1+N8:N$31)),SUMPRODUCT(PRODUCT(1+N8:N$30))),4)</f>
        <v>1.5586</v>
      </c>
      <c r="Y8" s="2887">
        <f>ROUND(IF(项目基本情况!B8="出让",SUMPRODUCT(PRODUCT(1+O8:O$31)),SUMPRODUCT(PRODUCT(1+O8:O$30))),4)</f>
        <v>1.3633</v>
      </c>
      <c r="Z8" s="2887">
        <f t="shared" ref="Z8" si="44">Y8</f>
        <v>1.3633</v>
      </c>
      <c r="AA8" s="2887">
        <f>ROUND(IF(项目基本情况!B8="出让",SUMPRODUCT(PRODUCT(1+P8:P$31)),SUMPRODUCT(PRODUCT(1+P8:P$30))),4)</f>
        <v>1.6221000000000001</v>
      </c>
      <c r="AB8" s="2887">
        <f>ROUND(IF(项目基本情况!B8="出让",SUMPRODUCT(PRODUCT(1+Q8:Q$31)),SUMPRODUCT(PRODUCT(1+Q8:Q$30))),4)</f>
        <v>1.3777999999999999</v>
      </c>
      <c r="AC8" s="2887"/>
      <c r="AD8" s="2888">
        <f>ROUND(AVERAGE(I8:I$31)/100,4)</f>
        <v>0.02</v>
      </c>
      <c r="AE8" s="2888">
        <f>ROUND(AVERAGE(J8:J$31)/100,4)</f>
        <v>1.4E-2</v>
      </c>
      <c r="AF8" s="2888">
        <f t="shared" ref="AF8" si="45">AE8</f>
        <v>1.4E-2</v>
      </c>
      <c r="AG8" s="2888">
        <f>ROUND(AVERAGE(K8:K$31)/100,4)</f>
        <v>2.1899999999999999E-2</v>
      </c>
      <c r="AH8" s="2888">
        <f>ROUND(AVERAGE(L8:L$31)/100,4)</f>
        <v>1.4E-2</v>
      </c>
    </row>
    <row r="9" spans="1:34" s="2906" customFormat="1" ht="13.5" thickBot="1">
      <c r="A9" s="2899" t="s">
        <v>2944</v>
      </c>
      <c r="B9" s="2900">
        <f t="shared" ref="B9" si="46">B10*(1+N9)</f>
        <v>477.19997390765138</v>
      </c>
      <c r="C9" s="2900">
        <f t="shared" ref="C9" si="47">C10*(1+O9)</f>
        <v>351.84874729536665</v>
      </c>
      <c r="D9" s="2900">
        <f t="shared" ref="D9" si="48">C9</f>
        <v>351.84874729536665</v>
      </c>
      <c r="E9" s="2900">
        <f t="shared" ref="E9" si="49">E10*(1+P9)</f>
        <v>682.29768951465201</v>
      </c>
      <c r="F9" s="2900">
        <f t="shared" ref="F9" si="50">F10*(1+Q9)</f>
        <v>315.26985675409043</v>
      </c>
      <c r="G9" s="2883">
        <v>2019</v>
      </c>
      <c r="H9" s="2901">
        <v>3</v>
      </c>
      <c r="I9" s="2901">
        <v>0.61</v>
      </c>
      <c r="J9" s="2901">
        <v>0.67</v>
      </c>
      <c r="K9" s="2901">
        <v>0.6</v>
      </c>
      <c r="L9" s="2907">
        <v>1.03</v>
      </c>
      <c r="M9" s="2887"/>
      <c r="N9" s="2902">
        <f t="shared" ref="N9" si="51">I9/100</f>
        <v>6.0999999999999995E-3</v>
      </c>
      <c r="O9" s="2888">
        <f t="shared" ref="O9" si="52">J9/100</f>
        <v>6.7000000000000002E-3</v>
      </c>
      <c r="P9" s="2888">
        <f t="shared" ref="P9" si="53">K9/100</f>
        <v>6.0000000000000001E-3</v>
      </c>
      <c r="Q9" s="2888">
        <f t="shared" ref="Q9" si="54">L9/100</f>
        <v>1.03E-2</v>
      </c>
      <c r="R9" s="2903"/>
      <c r="S9" s="2904"/>
      <c r="T9" s="2905"/>
      <c r="U9" s="2905"/>
      <c r="V9" s="2905"/>
      <c r="W9" s="2887"/>
      <c r="X9" s="2887">
        <f>ROUND(IF(项目基本情况!B8="出让",SUMPRODUCT(PRODUCT(1+N9:N$31)),SUMPRODUCT(PRODUCT(1+N9:N$30))),4)</f>
        <v>1.5516000000000001</v>
      </c>
      <c r="Y9" s="2887">
        <f>ROUND(IF(项目基本情况!B8="出让",SUMPRODUCT(PRODUCT(1+O9:O$31)),SUMPRODUCT(PRODUCT(1+O9:O$30))),4)</f>
        <v>1.3649</v>
      </c>
      <c r="Z9" s="2887">
        <f t="shared" ref="Z9" si="55">Y9</f>
        <v>1.3649</v>
      </c>
      <c r="AA9" s="2887">
        <f>ROUND(IF(项目基本情况!B8="出让",SUMPRODUCT(PRODUCT(1+P9:P$31)),SUMPRODUCT(PRODUCT(1+P9:P$30))),4)</f>
        <v>1.6133999999999999</v>
      </c>
      <c r="AB9" s="2887">
        <f>ROUND(IF(项目基本情况!B8="出让",SUMPRODUCT(PRODUCT(1+Q9:Q$31)),SUMPRODUCT(PRODUCT(1+Q9:Q$30))),4)</f>
        <v>1.3713</v>
      </c>
      <c r="AC9" s="2887"/>
      <c r="AD9" s="2888">
        <f>ROUND(AVERAGE(I9:I$31)/100,4)</f>
        <v>2.07E-2</v>
      </c>
      <c r="AE9" s="2888">
        <f>ROUND(AVERAGE(J9:J$31)/100,4)</f>
        <v>1.47E-2</v>
      </c>
      <c r="AF9" s="2888">
        <f t="shared" ref="AF9" si="56">AE9</f>
        <v>1.47E-2</v>
      </c>
      <c r="AG9" s="2888">
        <f>ROUND(AVERAGE(K9:K$31)/100,4)</f>
        <v>2.2599999999999999E-2</v>
      </c>
      <c r="AH9" s="2888">
        <f>ROUND(AVERAGE(L9:L$31)/100,4)</f>
        <v>1.44E-2</v>
      </c>
    </row>
    <row r="10" spans="1:34" s="2906" customFormat="1">
      <c r="A10" s="2899" t="s">
        <v>2941</v>
      </c>
      <c r="B10" s="2900">
        <f t="shared" ref="B10:B15" si="57">B11*(1+N10)</f>
        <v>474.30670301923408</v>
      </c>
      <c r="C10" s="2900">
        <f t="shared" ref="C10" si="58">C11*(1+O10)</f>
        <v>349.50705005996491</v>
      </c>
      <c r="D10" s="2900">
        <f t="shared" ref="D10" si="59">C10</f>
        <v>349.50705005996491</v>
      </c>
      <c r="E10" s="2900">
        <f t="shared" ref="E10" si="60">E11*(1+P10)</f>
        <v>678.22831959706957</v>
      </c>
      <c r="F10" s="2900">
        <f t="shared" ref="F10" si="61">F11*(1+Q10)</f>
        <v>312.0556832169558</v>
      </c>
      <c r="G10" s="2883">
        <v>2019</v>
      </c>
      <c r="H10" s="2908">
        <v>2</v>
      </c>
      <c r="I10" s="2908">
        <v>1.53</v>
      </c>
      <c r="J10" s="2908">
        <v>1.01</v>
      </c>
      <c r="K10" s="2908">
        <v>1.62</v>
      </c>
      <c r="L10" s="2909">
        <v>1.25</v>
      </c>
      <c r="M10" s="2887"/>
      <c r="N10" s="2902">
        <f t="shared" ref="N10" si="62">I10/100</f>
        <v>1.5300000000000001E-2</v>
      </c>
      <c r="O10" s="2888">
        <f t="shared" ref="O10" si="63">J10/100</f>
        <v>1.01E-2</v>
      </c>
      <c r="P10" s="2888">
        <f t="shared" ref="P10" si="64">K10/100</f>
        <v>1.6200000000000003E-2</v>
      </c>
      <c r="Q10" s="2888">
        <f t="shared" ref="Q10" si="65">L10/100</f>
        <v>1.2500000000000001E-2</v>
      </c>
      <c r="R10" s="2903"/>
      <c r="S10" s="2904"/>
      <c r="T10" s="2905"/>
      <c r="U10" s="2905"/>
      <c r="V10" s="2905"/>
      <c r="W10" s="2887"/>
      <c r="X10" s="2887">
        <f>ROUND(IF(项目基本情况!B8="出让",SUMPRODUCT(PRODUCT(1+N10:N$31)),SUMPRODUCT(PRODUCT(1+N10:N$30))),4)</f>
        <v>1.5422</v>
      </c>
      <c r="Y10" s="2887">
        <f>ROUND(IF(项目基本情况!B8="出让",SUMPRODUCT(PRODUCT(1+O10:O$31)),SUMPRODUCT(PRODUCT(1+O10:O$30))),4)</f>
        <v>1.3557999999999999</v>
      </c>
      <c r="Z10" s="2887">
        <f t="shared" ref="Z10" si="66">Y10</f>
        <v>1.3557999999999999</v>
      </c>
      <c r="AA10" s="2887">
        <f>ROUND(IF(项目基本情况!B8="出让",SUMPRODUCT(PRODUCT(1+P10:P$31)),SUMPRODUCT(PRODUCT(1+P10:P$30))),4)</f>
        <v>1.6036999999999999</v>
      </c>
      <c r="AB10" s="2887">
        <f>ROUND(IF(项目基本情况!B8="出让",SUMPRODUCT(PRODUCT(1+Q10:Q$31)),SUMPRODUCT(PRODUCT(1+Q10:Q$30))),4)</f>
        <v>1.3573</v>
      </c>
      <c r="AC10" s="2887"/>
      <c r="AD10" s="2888">
        <f>ROUND(AVERAGE(I10:I$31)/100,4)</f>
        <v>2.1299999999999999E-2</v>
      </c>
      <c r="AE10" s="2888">
        <f>ROUND(AVERAGE(J10:J$31)/100,4)</f>
        <v>1.4999999999999999E-2</v>
      </c>
      <c r="AF10" s="2888">
        <f t="shared" ref="AF10" si="67">AE10</f>
        <v>1.4999999999999999E-2</v>
      </c>
      <c r="AG10" s="2888">
        <f>ROUND(AVERAGE(K10:K$31)/100,4)</f>
        <v>2.3300000000000001E-2</v>
      </c>
      <c r="AH10" s="2888">
        <f>ROUND(AVERAGE(L10:L$31)/100,4)</f>
        <v>1.46E-2</v>
      </c>
    </row>
    <row r="11" spans="1:34" s="2906" customFormat="1" ht="13.5" thickBot="1">
      <c r="A11" s="2899" t="s">
        <v>2940</v>
      </c>
      <c r="B11" s="2900">
        <f t="shared" si="57"/>
        <v>467.15916775261894</v>
      </c>
      <c r="C11" s="2900">
        <f t="shared" ref="C11" si="68">C12*(1+O11)</f>
        <v>346.01232557169084</v>
      </c>
      <c r="D11" s="2900">
        <f t="shared" ref="D11" si="69">C11</f>
        <v>346.01232557169084</v>
      </c>
      <c r="E11" s="2900">
        <f t="shared" ref="E11" si="70">E12*(1+P11)</f>
        <v>667.41617752122568</v>
      </c>
      <c r="F11" s="2900">
        <f t="shared" ref="F11" si="71">F12*(1+Q11)</f>
        <v>308.20314391798104</v>
      </c>
      <c r="G11" s="2883">
        <v>2019</v>
      </c>
      <c r="H11" s="2901">
        <v>1</v>
      </c>
      <c r="I11" s="2901">
        <v>0.6</v>
      </c>
      <c r="J11" s="2901">
        <v>0.37</v>
      </c>
      <c r="K11" s="2901">
        <v>0.63</v>
      </c>
      <c r="L11" s="2907">
        <v>1.1299999999999999</v>
      </c>
      <c r="M11" s="2887"/>
      <c r="N11" s="2902">
        <f t="shared" ref="N11" si="72">I11/100</f>
        <v>6.0000000000000001E-3</v>
      </c>
      <c r="O11" s="2888">
        <f t="shared" ref="O11" si="73">J11/100</f>
        <v>3.7000000000000002E-3</v>
      </c>
      <c r="P11" s="2888">
        <f t="shared" ref="P11" si="74">K11/100</f>
        <v>6.3E-3</v>
      </c>
      <c r="Q11" s="2888">
        <f t="shared" ref="Q11" si="75">L11/100</f>
        <v>1.1299999999999999E-2</v>
      </c>
      <c r="R11" s="2903"/>
      <c r="S11" s="2904">
        <f>B11/B12-1</f>
        <v>6.0000000000000053E-3</v>
      </c>
      <c r="T11" s="2905">
        <f>C11/C12-1</f>
        <v>3.7000000000000366E-3</v>
      </c>
      <c r="U11" s="2905">
        <f>E11/E12-1</f>
        <v>6.2999999999999723E-3</v>
      </c>
      <c r="V11" s="2905">
        <f>F11/F12-1</f>
        <v>1.1300000000000088E-2</v>
      </c>
      <c r="W11" s="2887"/>
      <c r="X11" s="2887">
        <f>ROUND(IF(项目基本情况!B8="出让",SUMPRODUCT(PRODUCT(1+N11:N$31)),SUMPRODUCT(PRODUCT(1+N11:N$30))),4)</f>
        <v>1.5189999999999999</v>
      </c>
      <c r="Y11" s="2887">
        <f>ROUND(IF(项目基本情况!B8="出让",SUMPRODUCT(PRODUCT(1+O11:O$31)),SUMPRODUCT(PRODUCT(1+O11:O$30))),4)</f>
        <v>1.3423</v>
      </c>
      <c r="Z11" s="2887">
        <f t="shared" ref="Z11" si="76">Y11</f>
        <v>1.3423</v>
      </c>
      <c r="AA11" s="2887">
        <f>ROUND(IF(项目基本情况!B8="出让",SUMPRODUCT(PRODUCT(1+P11:P$31)),SUMPRODUCT(PRODUCT(1+P11:P$30))),4)</f>
        <v>1.5782</v>
      </c>
      <c r="AB11" s="2887">
        <f>ROUND(IF(项目基本情况!B8="出让",SUMPRODUCT(PRODUCT(1+Q11:Q$31)),SUMPRODUCT(PRODUCT(1+Q11:Q$30))),4)</f>
        <v>1.3405</v>
      </c>
      <c r="AC11" s="2887"/>
      <c r="AD11" s="2888">
        <f>ROUND(AVERAGE(I11:I$31)/100,4)</f>
        <v>2.1600000000000001E-2</v>
      </c>
      <c r="AE11" s="2888">
        <f>ROUND(AVERAGE(J11:J$31)/100,4)</f>
        <v>1.5299999999999999E-2</v>
      </c>
      <c r="AF11" s="2888">
        <f t="shared" ref="AF11" si="77">AE11</f>
        <v>1.5299999999999999E-2</v>
      </c>
      <c r="AG11" s="2888">
        <f>ROUND(AVERAGE(K11:K$31)/100,4)</f>
        <v>2.3699999999999999E-2</v>
      </c>
      <c r="AH11" s="2888">
        <f>ROUND(AVERAGE(L11:L$31)/100,4)</f>
        <v>1.47E-2</v>
      </c>
    </row>
    <row r="12" spans="1:34" s="2906" customFormat="1">
      <c r="A12" s="2899" t="s">
        <v>2937</v>
      </c>
      <c r="B12" s="2910">
        <f t="shared" si="57"/>
        <v>464.37293017158942</v>
      </c>
      <c r="C12" s="2910">
        <f t="shared" ref="C12" si="78">C13*(1+O12)</f>
        <v>344.73679941385956</v>
      </c>
      <c r="D12" s="2910">
        <f t="shared" ref="D12" si="79">C12</f>
        <v>344.73679941385956</v>
      </c>
      <c r="E12" s="2910">
        <f t="shared" ref="E12" si="80">E13*(1+P12)</f>
        <v>663.2377795103107</v>
      </c>
      <c r="F12" s="2911">
        <f t="shared" ref="F12" si="81">F13*(1+Q12)</f>
        <v>304.75936311478398</v>
      </c>
      <c r="G12" s="3550">
        <v>2018</v>
      </c>
      <c r="H12" s="2908">
        <v>4</v>
      </c>
      <c r="I12" s="2908">
        <v>0.96</v>
      </c>
      <c r="J12" s="2908">
        <v>1.03</v>
      </c>
      <c r="K12" s="2908">
        <v>0.92</v>
      </c>
      <c r="L12" s="2909">
        <v>1.29</v>
      </c>
      <c r="M12" s="2887"/>
      <c r="N12" s="2902">
        <f t="shared" ref="N12" si="82">I12/100</f>
        <v>9.5999999999999992E-3</v>
      </c>
      <c r="O12" s="2888">
        <f t="shared" ref="O12" si="83">J12/100</f>
        <v>1.03E-2</v>
      </c>
      <c r="P12" s="2888">
        <f t="shared" ref="P12" si="84">K12/100</f>
        <v>9.1999999999999998E-3</v>
      </c>
      <c r="Q12" s="2888">
        <f t="shared" ref="Q12" si="85">L12/100</f>
        <v>1.29E-2</v>
      </c>
      <c r="R12" s="2903"/>
      <c r="S12" s="2912"/>
      <c r="T12" s="2913"/>
      <c r="U12" s="2913"/>
      <c r="V12" s="2913"/>
      <c r="W12" s="2887"/>
      <c r="X12" s="2887">
        <f>ROUND(SUMPRODUCT(PRODUCT(1+N12:N$30)),4)</f>
        <v>1.5099</v>
      </c>
      <c r="Y12" s="2887">
        <f>ROUND(SUMPRODUCT(PRODUCT(1+O12:O$30)),4)</f>
        <v>1.3372999999999999</v>
      </c>
      <c r="Z12" s="2887">
        <f t="shared" ref="Z12" si="86">Y12</f>
        <v>1.3372999999999999</v>
      </c>
      <c r="AA12" s="2887">
        <f>ROUND(SUMPRODUCT(PRODUCT(1+P12:P$30)),4)</f>
        <v>1.5683</v>
      </c>
      <c r="AB12" s="2887">
        <f>ROUND(SUMPRODUCT(PRODUCT(1+Q12:Q$30)),4)</f>
        <v>1.3255999999999999</v>
      </c>
      <c r="AC12" s="2887"/>
      <c r="AD12" s="2888">
        <f>ROUND(AVERAGE(I12:I$31)/100,4)</f>
        <v>2.24E-2</v>
      </c>
      <c r="AE12" s="2888">
        <f>ROUND(AVERAGE(J12:J$31)/100,4)</f>
        <v>1.5800000000000002E-2</v>
      </c>
      <c r="AF12" s="2888">
        <f t="shared" ref="AF12" si="87">AE12</f>
        <v>1.5800000000000002E-2</v>
      </c>
      <c r="AG12" s="2888">
        <f>ROUND(AVERAGE(K12:K$31)/100,4)</f>
        <v>2.4500000000000001E-2</v>
      </c>
      <c r="AH12" s="2888">
        <f>ROUND(AVERAGE(L12:L$31)/100,4)</f>
        <v>1.49E-2</v>
      </c>
    </row>
    <row r="13" spans="1:34" s="2906" customFormat="1" ht="14.45" customHeight="1">
      <c r="A13" s="2899" t="s">
        <v>2930</v>
      </c>
      <c r="B13" s="2900">
        <f t="shared" si="57"/>
        <v>459.95733971036987</v>
      </c>
      <c r="C13" s="2900">
        <f t="shared" ref="C13" si="88">C14*(1+O13)</f>
        <v>341.22221064422405</v>
      </c>
      <c r="D13" s="2900">
        <f t="shared" ref="D13" si="89">C13</f>
        <v>341.22221064422405</v>
      </c>
      <c r="E13" s="2900">
        <f t="shared" ref="E13" si="90">E14*(1+P13)</f>
        <v>657.19161663724799</v>
      </c>
      <c r="F13" s="2900">
        <f t="shared" ref="F13" si="91">F14*(1+Q13)</f>
        <v>300.87803644464805</v>
      </c>
      <c r="G13" s="3550"/>
      <c r="H13" s="2901">
        <v>3</v>
      </c>
      <c r="I13" s="2901">
        <v>1.51</v>
      </c>
      <c r="J13" s="2901">
        <v>1.41</v>
      </c>
      <c r="K13" s="2901">
        <v>1.52</v>
      </c>
      <c r="L13" s="2907">
        <v>1.74</v>
      </c>
      <c r="M13" s="2887"/>
      <c r="N13" s="2902">
        <f t="shared" ref="N13" si="92">I13/100</f>
        <v>1.5100000000000001E-2</v>
      </c>
      <c r="O13" s="2888">
        <f t="shared" ref="O13" si="93">J13/100</f>
        <v>1.41E-2</v>
      </c>
      <c r="P13" s="2888">
        <f t="shared" ref="P13" si="94">K13/100</f>
        <v>1.52E-2</v>
      </c>
      <c r="Q13" s="2888">
        <f t="shared" ref="Q13" si="95">L13/100</f>
        <v>1.7399999999999999E-2</v>
      </c>
      <c r="R13" s="2903"/>
      <c r="S13" s="2902"/>
      <c r="T13" s="2888"/>
      <c r="U13" s="2888"/>
      <c r="V13" s="2888"/>
      <c r="W13" s="2887"/>
      <c r="X13" s="2887">
        <f>ROUND(SUMPRODUCT(PRODUCT(1+N13:N$30)),4)</f>
        <v>1.4956</v>
      </c>
      <c r="Y13" s="2887">
        <f>ROUND(SUMPRODUCT(PRODUCT(1+O13:O$30)),4)</f>
        <v>1.3237000000000001</v>
      </c>
      <c r="Z13" s="2887">
        <f t="shared" ref="Z13" si="96">Y13</f>
        <v>1.3237000000000001</v>
      </c>
      <c r="AA13" s="2887">
        <f>ROUND(SUMPRODUCT(PRODUCT(1+P13:P$30)),4)</f>
        <v>1.554</v>
      </c>
      <c r="AB13" s="2887">
        <f>ROUND(SUMPRODUCT(PRODUCT(1+Q13:Q$30)),4)</f>
        <v>1.3087</v>
      </c>
      <c r="AC13" s="2887"/>
      <c r="AD13" s="2888">
        <f>ROUND(AVERAGE(I13:I$31)/100,4)</f>
        <v>2.3099999999999999E-2</v>
      </c>
      <c r="AE13" s="2888">
        <f>ROUND(AVERAGE(J13:J$31)/100,4)</f>
        <v>1.61E-2</v>
      </c>
      <c r="AF13" s="2888">
        <f t="shared" ref="AF13" si="97">AE13</f>
        <v>1.61E-2</v>
      </c>
      <c r="AG13" s="2888">
        <f>ROUND(AVERAGE(K13:K$31)/100,4)</f>
        <v>2.53E-2</v>
      </c>
      <c r="AH13" s="2888">
        <f>ROUND(AVERAGE(L13:L$31)/100,4)</f>
        <v>1.4999999999999999E-2</v>
      </c>
    </row>
    <row r="14" spans="1:34" s="2906" customFormat="1" ht="14.45" customHeight="1">
      <c r="A14" s="2899" t="s">
        <v>2931</v>
      </c>
      <c r="B14" s="2900">
        <f t="shared" si="57"/>
        <v>453.11529869999993</v>
      </c>
      <c r="C14" s="2900">
        <f t="shared" ref="C14" si="98">C15*(1+O14)</f>
        <v>336.47787264000004</v>
      </c>
      <c r="D14" s="2900">
        <f t="shared" ref="D14" si="99">C14</f>
        <v>336.47787264000004</v>
      </c>
      <c r="E14" s="2900">
        <f t="shared" ref="E14" si="100">E15*(1+P14)</f>
        <v>647.35186823999993</v>
      </c>
      <c r="F14" s="2900">
        <f t="shared" ref="F14" si="101">F15*(1+Q14)</f>
        <v>295.73229452000004</v>
      </c>
      <c r="G14" s="3550"/>
      <c r="H14" s="2914">
        <v>2</v>
      </c>
      <c r="I14" s="2914">
        <v>1.49</v>
      </c>
      <c r="J14" s="2914">
        <v>0.96</v>
      </c>
      <c r="K14" s="2914">
        <v>1.58</v>
      </c>
      <c r="L14" s="2915">
        <v>2.44</v>
      </c>
      <c r="M14" s="2887"/>
      <c r="N14" s="2902">
        <f t="shared" ref="N14" si="102">I14/100</f>
        <v>1.49E-2</v>
      </c>
      <c r="O14" s="2888">
        <f t="shared" ref="O14" si="103">J14/100</f>
        <v>9.5999999999999992E-3</v>
      </c>
      <c r="P14" s="2888">
        <f t="shared" ref="P14" si="104">K14/100</f>
        <v>1.5800000000000002E-2</v>
      </c>
      <c r="Q14" s="2888">
        <f t="shared" ref="Q14" si="105">L14/100</f>
        <v>2.4399999999999998E-2</v>
      </c>
      <c r="R14" s="2903"/>
      <c r="S14" s="2902"/>
      <c r="T14" s="2888"/>
      <c r="U14" s="2888"/>
      <c r="V14" s="2888"/>
      <c r="W14" s="2887"/>
      <c r="X14" s="2887">
        <f>ROUND(SUMPRODUCT(PRODUCT(1+N14:N$30)),4)</f>
        <v>1.4733000000000001</v>
      </c>
      <c r="Y14" s="2887">
        <f>ROUND(SUMPRODUCT(PRODUCT(1+O14:O$30)),4)</f>
        <v>1.3052999999999999</v>
      </c>
      <c r="Z14" s="2887">
        <f t="shared" ref="Z14" si="106">Y14</f>
        <v>1.3052999999999999</v>
      </c>
      <c r="AA14" s="2887">
        <f>ROUND(SUMPRODUCT(PRODUCT(1+P14:P$30)),4)</f>
        <v>1.5306999999999999</v>
      </c>
      <c r="AB14" s="2887">
        <f>ROUND(SUMPRODUCT(PRODUCT(1+Q14:Q$30)),4)</f>
        <v>1.2863</v>
      </c>
      <c r="AC14" s="2887"/>
      <c r="AD14" s="2888">
        <f>ROUND(AVERAGE(I14:I$31)/100,4)</f>
        <v>2.35E-2</v>
      </c>
      <c r="AE14" s="2888">
        <f>ROUND(AVERAGE(J14:J$31)/100,4)</f>
        <v>1.6199999999999999E-2</v>
      </c>
      <c r="AF14" s="2888">
        <f t="shared" ref="AF14" si="107">AE14</f>
        <v>1.6199999999999999E-2</v>
      </c>
      <c r="AG14" s="2888">
        <f>ROUND(AVERAGE(K14:K$31)/100,4)</f>
        <v>2.5899999999999999E-2</v>
      </c>
      <c r="AH14" s="2888">
        <f>ROUND(AVERAGE(L14:L$31)/100,4)</f>
        <v>1.49E-2</v>
      </c>
    </row>
    <row r="15" spans="1:34" s="2906" customFormat="1" ht="15" customHeight="1" thickBot="1">
      <c r="A15" s="2899" t="s">
        <v>2927</v>
      </c>
      <c r="B15" s="2900">
        <f t="shared" si="57"/>
        <v>446.46299999999997</v>
      </c>
      <c r="C15" s="2900">
        <f t="shared" ref="C15" si="108">C16*(1+O15)</f>
        <v>333.27840000000003</v>
      </c>
      <c r="D15" s="2900">
        <f t="shared" ref="D15:D20" si="109">C15</f>
        <v>333.27840000000003</v>
      </c>
      <c r="E15" s="2900">
        <f t="shared" ref="E15" si="110">E16*(1+P15)</f>
        <v>637.28279999999995</v>
      </c>
      <c r="F15" s="2900">
        <f t="shared" ref="F15" si="111">F16*(1+Q15)</f>
        <v>288.68830000000003</v>
      </c>
      <c r="G15" s="3551"/>
      <c r="H15" s="2901">
        <v>1</v>
      </c>
      <c r="I15" s="2901">
        <v>1.7</v>
      </c>
      <c r="J15" s="2901">
        <v>1.92</v>
      </c>
      <c r="K15" s="2901">
        <v>1.64</v>
      </c>
      <c r="L15" s="2907">
        <v>2.0099999999999998</v>
      </c>
      <c r="M15" s="2887"/>
      <c r="N15" s="2902">
        <f t="shared" ref="N15:N20" si="112">I15/100</f>
        <v>1.7000000000000001E-2</v>
      </c>
      <c r="O15" s="2888">
        <f t="shared" ref="O15" si="113">J15/100</f>
        <v>1.9199999999999998E-2</v>
      </c>
      <c r="P15" s="2888">
        <f t="shared" ref="P15" si="114">K15/100</f>
        <v>1.6399999999999998E-2</v>
      </c>
      <c r="Q15" s="2888">
        <f t="shared" ref="Q15" si="115">L15/100</f>
        <v>2.0099999999999996E-2</v>
      </c>
      <c r="R15" s="2903"/>
      <c r="S15" s="2904">
        <f>B15/B16-1</f>
        <v>1.6999999999999904E-2</v>
      </c>
      <c r="T15" s="2905">
        <f>C15/C16-1</f>
        <v>1.9200000000000106E-2</v>
      </c>
      <c r="U15" s="2905">
        <f>E15/E16-1</f>
        <v>1.639999999999997E-2</v>
      </c>
      <c r="V15" s="2905">
        <f>F15/F16-1</f>
        <v>2.0100000000000007E-2</v>
      </c>
      <c r="W15" s="2887"/>
      <c r="X15" s="2887">
        <f>ROUND(SUMPRODUCT(PRODUCT(1+N15:N$30)),4)</f>
        <v>1.4517</v>
      </c>
      <c r="Y15" s="2887">
        <f>ROUND(SUMPRODUCT(PRODUCT(1+O15:O$30)),4)</f>
        <v>1.2928999999999999</v>
      </c>
      <c r="Z15" s="2887">
        <f t="shared" ref="Z15" si="116">Y15</f>
        <v>1.2928999999999999</v>
      </c>
      <c r="AA15" s="2887">
        <f>ROUND(SUMPRODUCT(PRODUCT(1+P15:P$30)),4)</f>
        <v>1.5068999999999999</v>
      </c>
      <c r="AB15" s="2887">
        <f>ROUND(SUMPRODUCT(PRODUCT(1+Q15:Q$30)),4)</f>
        <v>1.2557</v>
      </c>
      <c r="AC15" s="2887"/>
      <c r="AD15" s="2888">
        <f>ROUND(AVERAGE(I15:I$31)/100,4)</f>
        <v>2.4E-2</v>
      </c>
      <c r="AE15" s="2888">
        <f>ROUND(AVERAGE(J15:J$31)/100,4)</f>
        <v>1.66E-2</v>
      </c>
      <c r="AF15" s="2888">
        <f t="shared" ref="AF15" si="117">AE15</f>
        <v>1.66E-2</v>
      </c>
      <c r="AG15" s="2888">
        <f>ROUND(AVERAGE(K15:K$31)/100,4)</f>
        <v>2.6499999999999999E-2</v>
      </c>
      <c r="AH15" s="2888">
        <f>ROUND(AVERAGE(L15:L$31)/100,4)</f>
        <v>1.43E-2</v>
      </c>
    </row>
    <row r="16" spans="1:34">
      <c r="A16" s="2899" t="s">
        <v>2919</v>
      </c>
      <c r="B16" s="2916">
        <v>439</v>
      </c>
      <c r="C16" s="2916">
        <v>327</v>
      </c>
      <c r="D16" s="2916">
        <f t="shared" si="109"/>
        <v>327</v>
      </c>
      <c r="E16" s="2916">
        <v>627</v>
      </c>
      <c r="F16" s="2917">
        <v>283</v>
      </c>
      <c r="G16" s="3549">
        <v>2017</v>
      </c>
      <c r="H16" s="2908">
        <v>4</v>
      </c>
      <c r="I16" s="2908">
        <v>1.71</v>
      </c>
      <c r="J16" s="2908">
        <v>1.78</v>
      </c>
      <c r="K16" s="2908">
        <v>1.71</v>
      </c>
      <c r="L16" s="2909">
        <v>1.43</v>
      </c>
      <c r="N16" s="2918">
        <f t="shared" si="112"/>
        <v>1.7100000000000001E-2</v>
      </c>
      <c r="O16" s="2919">
        <f t="shared" ref="O16" si="118">J16/100</f>
        <v>1.78E-2</v>
      </c>
      <c r="P16" s="2919">
        <f t="shared" ref="P16" si="119">K16/100</f>
        <v>1.7100000000000001E-2</v>
      </c>
      <c r="Q16" s="2919">
        <f t="shared" ref="Q16" si="120">L16/100</f>
        <v>1.43E-2</v>
      </c>
      <c r="R16" s="2903"/>
      <c r="S16" s="2912"/>
      <c r="T16" s="2913"/>
      <c r="U16" s="2913"/>
      <c r="V16" s="2913"/>
      <c r="X16" s="2887">
        <f>ROUND(SUMPRODUCT(PRODUCT(1+N16:N$30)),4)</f>
        <v>1.4274</v>
      </c>
      <c r="Y16" s="2887">
        <f>ROUND(SUMPRODUCT(PRODUCT(1+O16:O$30)),4)</f>
        <v>1.2685</v>
      </c>
      <c r="Z16" s="2887">
        <f t="shared" si="0"/>
        <v>1.2685</v>
      </c>
      <c r="AA16" s="2887">
        <f>ROUND(SUMPRODUCT(PRODUCT(1+P16:P$30)),4)</f>
        <v>1.4825999999999999</v>
      </c>
      <c r="AB16" s="2887">
        <f>ROUND(SUMPRODUCT(PRODUCT(1+Q16:Q$30)),4)</f>
        <v>1.2309000000000001</v>
      </c>
      <c r="AD16" s="2888">
        <f>ROUND(AVERAGE(I16:I$31)/100,4)</f>
        <v>2.4500000000000001E-2</v>
      </c>
      <c r="AE16" s="2888">
        <f>ROUND(AVERAGE(J16:J$31)/100,4)</f>
        <v>1.6500000000000001E-2</v>
      </c>
      <c r="AF16" s="2888">
        <f t="shared" si="1"/>
        <v>1.6500000000000001E-2</v>
      </c>
      <c r="AG16" s="2888">
        <f>ROUND(AVERAGE(K16:K$31)/100,4)</f>
        <v>2.7099999999999999E-2</v>
      </c>
      <c r="AH16" s="2888">
        <f>ROUND(AVERAGE(L16:L$31)/100,4)</f>
        <v>1.3899999999999999E-2</v>
      </c>
    </row>
    <row r="17" spans="1:34" s="2906" customFormat="1" ht="14.45" customHeight="1">
      <c r="A17" s="2899" t="s">
        <v>2922</v>
      </c>
      <c r="B17" s="2900">
        <f t="shared" ref="B17:C19" si="121">B18*(1+N17)</f>
        <v>431.80730811680002</v>
      </c>
      <c r="C17" s="2900">
        <f t="shared" si="121"/>
        <v>320.57880516480003</v>
      </c>
      <c r="D17" s="2900">
        <f t="shared" si="109"/>
        <v>320.57880516480003</v>
      </c>
      <c r="E17" s="2900">
        <f t="shared" ref="E17:F19" si="122">E18*(1+P17)</f>
        <v>615.96110553196797</v>
      </c>
      <c r="F17" s="2900">
        <f t="shared" si="122"/>
        <v>279.46777300108801</v>
      </c>
      <c r="G17" s="3550"/>
      <c r="H17" s="2901">
        <v>3</v>
      </c>
      <c r="I17" s="2901">
        <v>2.98</v>
      </c>
      <c r="J17" s="2901">
        <v>2.11</v>
      </c>
      <c r="K17" s="2901">
        <v>3.24</v>
      </c>
      <c r="L17" s="2907">
        <v>1.72</v>
      </c>
      <c r="M17" s="2887"/>
      <c r="N17" s="2902">
        <f t="shared" si="112"/>
        <v>2.98E-2</v>
      </c>
      <c r="O17" s="2920">
        <f t="shared" ref="O17:O18" si="123">J17/100</f>
        <v>2.1099999999999997E-2</v>
      </c>
      <c r="P17" s="2920">
        <f t="shared" ref="P17:P18" si="124">K17/100</f>
        <v>3.2400000000000005E-2</v>
      </c>
      <c r="Q17" s="2920">
        <f t="shared" ref="Q17:Q18" si="125">L17/100</f>
        <v>1.72E-2</v>
      </c>
      <c r="R17" s="2903"/>
      <c r="S17" s="2902"/>
      <c r="T17" s="2888"/>
      <c r="U17" s="2888"/>
      <c r="V17" s="2888"/>
      <c r="W17" s="2887"/>
      <c r="X17" s="2887">
        <f>ROUND(SUMPRODUCT(PRODUCT(1+N17:N$30)),4)</f>
        <v>1.4034</v>
      </c>
      <c r="Y17" s="2887">
        <f>ROUND(SUMPRODUCT(PRODUCT(1+O17:O$30)),4)</f>
        <v>1.2463</v>
      </c>
      <c r="Z17" s="2887">
        <f t="shared" si="0"/>
        <v>1.2463</v>
      </c>
      <c r="AA17" s="2887">
        <f>ROUND(SUMPRODUCT(PRODUCT(1+P17:P$30)),4)</f>
        <v>1.4577</v>
      </c>
      <c r="AB17" s="2887">
        <f>ROUND(SUMPRODUCT(PRODUCT(1+Q17:Q$30)),4)</f>
        <v>1.2136</v>
      </c>
      <c r="AC17" s="2887"/>
      <c r="AD17" s="2888">
        <f>ROUND(AVERAGE(I17:I$31)/100,4)</f>
        <v>2.4899999999999999E-2</v>
      </c>
      <c r="AE17" s="2888">
        <f>ROUND(AVERAGE(J17:J$31)/100,4)</f>
        <v>1.6400000000000001E-2</v>
      </c>
      <c r="AF17" s="2888">
        <f t="shared" si="1"/>
        <v>1.6400000000000001E-2</v>
      </c>
      <c r="AG17" s="2888">
        <f>ROUND(AVERAGE(K17:K$31)/100,4)</f>
        <v>2.7799999999999998E-2</v>
      </c>
      <c r="AH17" s="2888">
        <f>ROUND(AVERAGE(L17:L$31)/100,4)</f>
        <v>1.3899999999999999E-2</v>
      </c>
    </row>
    <row r="18" spans="1:34" s="2865" customFormat="1" ht="14.45" customHeight="1">
      <c r="A18" s="2899" t="s">
        <v>2561</v>
      </c>
      <c r="B18" s="2900">
        <f t="shared" si="121"/>
        <v>419.31181600000002</v>
      </c>
      <c r="C18" s="2900">
        <f t="shared" si="121"/>
        <v>313.95436800000004</v>
      </c>
      <c r="D18" s="2900">
        <f t="shared" si="109"/>
        <v>313.95436800000004</v>
      </c>
      <c r="E18" s="2900">
        <f t="shared" si="122"/>
        <v>596.63028431999999</v>
      </c>
      <c r="F18" s="2900">
        <f t="shared" si="122"/>
        <v>274.74220703999998</v>
      </c>
      <c r="G18" s="3550"/>
      <c r="H18" s="2914">
        <v>2</v>
      </c>
      <c r="I18" s="2914">
        <v>3.4</v>
      </c>
      <c r="J18" s="2914">
        <v>2</v>
      </c>
      <c r="K18" s="2914">
        <v>3.82</v>
      </c>
      <c r="L18" s="2915">
        <v>1.68</v>
      </c>
      <c r="N18" s="2902">
        <f t="shared" si="112"/>
        <v>3.4000000000000002E-2</v>
      </c>
      <c r="O18" s="2920">
        <f t="shared" si="123"/>
        <v>0.02</v>
      </c>
      <c r="P18" s="2920">
        <f t="shared" si="124"/>
        <v>3.8199999999999998E-2</v>
      </c>
      <c r="Q18" s="2920">
        <f t="shared" si="125"/>
        <v>1.6799999999999999E-2</v>
      </c>
      <c r="S18" s="2902"/>
      <c r="T18" s="2888"/>
      <c r="U18" s="2888"/>
      <c r="V18" s="2888"/>
      <c r="X18" s="2887">
        <f>ROUND(SUMPRODUCT(PRODUCT(1+N18:N$30)),4)</f>
        <v>1.3628</v>
      </c>
      <c r="Y18" s="2887">
        <f>ROUND(SUMPRODUCT(PRODUCT(1+O18:O$30)),4)</f>
        <v>1.2205999999999999</v>
      </c>
      <c r="Z18" s="2887">
        <f t="shared" si="0"/>
        <v>1.2205999999999999</v>
      </c>
      <c r="AA18" s="2887">
        <f>ROUND(SUMPRODUCT(PRODUCT(1+P18:P$30)),4)</f>
        <v>1.4118999999999999</v>
      </c>
      <c r="AB18" s="2887">
        <f>ROUND(SUMPRODUCT(PRODUCT(1+Q18:Q$30)),4)</f>
        <v>1.1930000000000001</v>
      </c>
      <c r="AD18" s="2888">
        <f>ROUND(AVERAGE(I18:I$31)/100,4)</f>
        <v>2.46E-2</v>
      </c>
      <c r="AE18" s="2888">
        <f>ROUND(AVERAGE(J18:J$31)/100,4)</f>
        <v>1.6E-2</v>
      </c>
      <c r="AF18" s="2888">
        <f t="shared" si="1"/>
        <v>1.6E-2</v>
      </c>
      <c r="AG18" s="2888">
        <f>ROUND(AVERAGE(K18:K$31)/100,4)</f>
        <v>2.75E-2</v>
      </c>
      <c r="AH18" s="2888">
        <f>ROUND(AVERAGE(L18:L$31)/100,4)</f>
        <v>1.37E-2</v>
      </c>
    </row>
    <row r="19" spans="1:34" s="2906" customFormat="1" ht="15" customHeight="1" thickBot="1">
      <c r="A19" s="2899" t="s">
        <v>2562</v>
      </c>
      <c r="B19" s="2900">
        <f t="shared" si="121"/>
        <v>405.524</v>
      </c>
      <c r="C19" s="2900">
        <f t="shared" si="121"/>
        <v>307.79840000000002</v>
      </c>
      <c r="D19" s="2900">
        <f t="shared" si="109"/>
        <v>307.79840000000002</v>
      </c>
      <c r="E19" s="2900">
        <f t="shared" si="122"/>
        <v>574.67759999999998</v>
      </c>
      <c r="F19" s="2900">
        <f t="shared" si="122"/>
        <v>270.20280000000002</v>
      </c>
      <c r="G19" s="3551"/>
      <c r="H19" s="2901">
        <v>1</v>
      </c>
      <c r="I19" s="2901">
        <v>3.45</v>
      </c>
      <c r="J19" s="2901">
        <v>1.92</v>
      </c>
      <c r="K19" s="2901">
        <v>3.92</v>
      </c>
      <c r="L19" s="2907">
        <v>1.58</v>
      </c>
      <c r="M19" s="2887"/>
      <c r="N19" s="2904">
        <f t="shared" si="112"/>
        <v>3.4500000000000003E-2</v>
      </c>
      <c r="O19" s="2905">
        <f t="shared" ref="O19" si="126">J19/100</f>
        <v>1.9199999999999998E-2</v>
      </c>
      <c r="P19" s="2905">
        <f t="shared" ref="P19" si="127">K19/100</f>
        <v>3.9199999999999999E-2</v>
      </c>
      <c r="Q19" s="2905">
        <f t="shared" ref="Q19" si="128">L19/100</f>
        <v>1.5800000000000002E-2</v>
      </c>
      <c r="R19" s="2903"/>
      <c r="S19" s="2904">
        <f>B19/B20-1</f>
        <v>3.4499999999999975E-2</v>
      </c>
      <c r="T19" s="2905">
        <f>C19/C20-1</f>
        <v>1.9200000000000106E-2</v>
      </c>
      <c r="U19" s="2905">
        <f>E19/E20-1</f>
        <v>3.9199999999999902E-2</v>
      </c>
      <c r="V19" s="2905">
        <f>F19/F20-1</f>
        <v>1.5800000000000036E-2</v>
      </c>
      <c r="W19" s="2887"/>
      <c r="X19" s="2887">
        <f>ROUND(SUMPRODUCT(PRODUCT(1+N19:N$30)),4)</f>
        <v>1.3180000000000001</v>
      </c>
      <c r="Y19" s="2887">
        <f>ROUND(SUMPRODUCT(PRODUCT(1+O19:O$30)),4)</f>
        <v>1.1966000000000001</v>
      </c>
      <c r="Z19" s="2887">
        <f t="shared" si="0"/>
        <v>1.1966000000000001</v>
      </c>
      <c r="AA19" s="2887">
        <f>ROUND(SUMPRODUCT(PRODUCT(1+P19:P$30)),4)</f>
        <v>1.36</v>
      </c>
      <c r="AB19" s="2887">
        <f>ROUND(SUMPRODUCT(PRODUCT(1+Q19:Q$30)),4)</f>
        <v>1.1733</v>
      </c>
      <c r="AC19" s="2887"/>
      <c r="AD19" s="2888">
        <f>ROUND(AVERAGE(I19:I$31)/100,4)</f>
        <v>2.3900000000000001E-2</v>
      </c>
      <c r="AE19" s="2888">
        <f>ROUND(AVERAGE(J19:J$31)/100,4)</f>
        <v>1.5699999999999999E-2</v>
      </c>
      <c r="AF19" s="2888">
        <f t="shared" si="1"/>
        <v>1.5699999999999999E-2</v>
      </c>
      <c r="AG19" s="2888">
        <f>ROUND(AVERAGE(K19:K$31)/100,4)</f>
        <v>2.6599999999999999E-2</v>
      </c>
      <c r="AH19" s="2888">
        <f>ROUND(AVERAGE(L19:L$31)/100,4)</f>
        <v>1.34E-2</v>
      </c>
    </row>
    <row r="20" spans="1:34">
      <c r="A20" s="2899" t="s">
        <v>961</v>
      </c>
      <c r="B20" s="2921">
        <v>392</v>
      </c>
      <c r="C20" s="2921">
        <v>302</v>
      </c>
      <c r="D20" s="2921">
        <f t="shared" si="109"/>
        <v>302</v>
      </c>
      <c r="E20" s="2921">
        <v>553</v>
      </c>
      <c r="F20" s="2922">
        <v>266</v>
      </c>
      <c r="G20" s="3549">
        <v>2016</v>
      </c>
      <c r="H20" s="2908">
        <v>4</v>
      </c>
      <c r="I20" s="2908">
        <v>4.5599999999999996</v>
      </c>
      <c r="J20" s="2908">
        <v>2.15</v>
      </c>
      <c r="K20" s="2908">
        <v>5.32</v>
      </c>
      <c r="L20" s="2909">
        <v>1.57</v>
      </c>
      <c r="N20" s="2902">
        <f t="shared" si="112"/>
        <v>4.5599999999999995E-2</v>
      </c>
      <c r="O20" s="2888">
        <f t="shared" ref="O20:Q35" si="129">J20/100</f>
        <v>2.1499999999999998E-2</v>
      </c>
      <c r="P20" s="2888">
        <f t="shared" si="129"/>
        <v>5.3200000000000004E-2</v>
      </c>
      <c r="Q20" s="2888">
        <f t="shared" si="129"/>
        <v>1.5700000000000002E-2</v>
      </c>
      <c r="R20" s="2903"/>
      <c r="S20" s="2912"/>
      <c r="T20" s="2913"/>
      <c r="U20" s="2913"/>
      <c r="V20" s="2913"/>
      <c r="X20" s="2887">
        <f>ROUND(SUMPRODUCT(PRODUCT(1+N20:N$30)),4)</f>
        <v>1.274</v>
      </c>
      <c r="Y20" s="2887">
        <f>ROUND(SUMPRODUCT(PRODUCT(1+O20:O$30)),4)</f>
        <v>1.1740999999999999</v>
      </c>
      <c r="Z20" s="2887">
        <f t="shared" si="0"/>
        <v>1.1740999999999999</v>
      </c>
      <c r="AA20" s="2887">
        <f>ROUND(SUMPRODUCT(PRODUCT(1+P20:P$30)),4)</f>
        <v>1.3087</v>
      </c>
      <c r="AB20" s="2887">
        <f>ROUND(SUMPRODUCT(PRODUCT(1+Q20:Q$30)),4)</f>
        <v>1.1551</v>
      </c>
      <c r="AD20" s="2888">
        <f>ROUND(AVERAGE(I20:I$31)/100,4)</f>
        <v>2.3E-2</v>
      </c>
      <c r="AE20" s="2888">
        <f>ROUND(AVERAGE(J20:J$31)/100,4)</f>
        <v>1.55E-2</v>
      </c>
      <c r="AF20" s="2888">
        <f t="shared" si="1"/>
        <v>1.55E-2</v>
      </c>
      <c r="AG20" s="2888">
        <f>ROUND(AVERAGE(K20:K$31)/100,4)</f>
        <v>2.5600000000000001E-2</v>
      </c>
      <c r="AH20" s="2888">
        <f>ROUND(AVERAGE(L20:L$31)/100,4)</f>
        <v>1.32E-2</v>
      </c>
    </row>
    <row r="21" spans="1:34">
      <c r="A21" s="2899" t="s">
        <v>960</v>
      </c>
      <c r="B21" s="2900">
        <f t="shared" ref="B21:C23" si="130">B20/(1+N20)</f>
        <v>374.90436113236416</v>
      </c>
      <c r="C21" s="2900">
        <f t="shared" si="130"/>
        <v>295.64366128242779</v>
      </c>
      <c r="D21" s="2900">
        <f t="shared" ref="D21:D80" si="131">C21</f>
        <v>295.64366128242779</v>
      </c>
      <c r="E21" s="2900">
        <f t="shared" ref="E21:F23" si="132">E20/(1+P20)</f>
        <v>525.06646410938095</v>
      </c>
      <c r="F21" s="2900">
        <f t="shared" si="132"/>
        <v>261.88835286009646</v>
      </c>
      <c r="G21" s="3550"/>
      <c r="H21" s="2901">
        <v>3</v>
      </c>
      <c r="I21" s="2901">
        <v>4.12</v>
      </c>
      <c r="J21" s="2901">
        <v>2</v>
      </c>
      <c r="K21" s="2901">
        <v>4.79</v>
      </c>
      <c r="L21" s="2907">
        <v>1.97</v>
      </c>
      <c r="N21" s="2902">
        <f t="shared" ref="N21:Q55" si="133">I21/100</f>
        <v>4.1200000000000001E-2</v>
      </c>
      <c r="O21" s="2888">
        <f t="shared" si="129"/>
        <v>0.02</v>
      </c>
      <c r="P21" s="2888">
        <f t="shared" si="129"/>
        <v>4.7899999999999998E-2</v>
      </c>
      <c r="Q21" s="2888">
        <f t="shared" si="129"/>
        <v>1.9699999999999999E-2</v>
      </c>
      <c r="R21" s="2903"/>
      <c r="S21" s="2902"/>
      <c r="T21" s="2888"/>
      <c r="U21" s="2888"/>
      <c r="V21" s="2888"/>
      <c r="X21" s="2887">
        <f>ROUND(SUMPRODUCT(PRODUCT(1+N21:N$30)),4)</f>
        <v>1.2184999999999999</v>
      </c>
      <c r="Y21" s="2887">
        <f>ROUND(SUMPRODUCT(PRODUCT(1+O21:O$30)),4)</f>
        <v>1.1494</v>
      </c>
      <c r="Z21" s="2887">
        <f t="shared" si="0"/>
        <v>1.1494</v>
      </c>
      <c r="AA21" s="2887">
        <f>ROUND(SUMPRODUCT(PRODUCT(1+P21:P$30)),4)</f>
        <v>1.2425999999999999</v>
      </c>
      <c r="AB21" s="2887">
        <f>ROUND(SUMPRODUCT(PRODUCT(1+Q21:Q$30)),4)</f>
        <v>1.1372</v>
      </c>
      <c r="AD21" s="2888">
        <f>ROUND(AVERAGE(I21:I$31)/100,4)</f>
        <v>2.0899999999999998E-2</v>
      </c>
      <c r="AE21" s="2888">
        <f>ROUND(AVERAGE(J21:J$31)/100,4)</f>
        <v>1.49E-2</v>
      </c>
      <c r="AF21" s="2888">
        <f t="shared" si="1"/>
        <v>1.49E-2</v>
      </c>
      <c r="AG21" s="2888">
        <f>ROUND(AVERAGE(K21:K$31)/100,4)</f>
        <v>2.3099999999999999E-2</v>
      </c>
      <c r="AH21" s="2888">
        <f>ROUND(AVERAGE(L21:L$31)/100,4)</f>
        <v>1.2999999999999999E-2</v>
      </c>
    </row>
    <row r="22" spans="1:34">
      <c r="A22" s="2899" t="s">
        <v>950</v>
      </c>
      <c r="B22" s="2900">
        <f t="shared" si="130"/>
        <v>360.06949782209392</v>
      </c>
      <c r="C22" s="2900">
        <f t="shared" si="130"/>
        <v>289.84672674747821</v>
      </c>
      <c r="D22" s="2900">
        <f t="shared" si="131"/>
        <v>289.84672674747821</v>
      </c>
      <c r="E22" s="2900">
        <f t="shared" si="132"/>
        <v>501.06543001181495</v>
      </c>
      <c r="F22" s="2900">
        <f t="shared" si="132"/>
        <v>256.82882500744967</v>
      </c>
      <c r="G22" s="3550"/>
      <c r="H22" s="2914">
        <v>2</v>
      </c>
      <c r="I22" s="2914">
        <v>3.85</v>
      </c>
      <c r="J22" s="2914">
        <v>1.95</v>
      </c>
      <c r="K22" s="2914">
        <v>4.4800000000000004</v>
      </c>
      <c r="L22" s="2915">
        <v>1.41</v>
      </c>
      <c r="N22" s="2902">
        <f t="shared" si="133"/>
        <v>3.85E-2</v>
      </c>
      <c r="O22" s="2888">
        <f t="shared" si="129"/>
        <v>1.95E-2</v>
      </c>
      <c r="P22" s="2888">
        <f t="shared" si="129"/>
        <v>4.4800000000000006E-2</v>
      </c>
      <c r="Q22" s="2888">
        <f t="shared" si="129"/>
        <v>1.41E-2</v>
      </c>
      <c r="R22" s="2903"/>
      <c r="S22" s="2902"/>
      <c r="T22" s="2888"/>
      <c r="U22" s="2888"/>
      <c r="V22" s="2888"/>
      <c r="X22" s="2887">
        <f>ROUND(SUMPRODUCT(PRODUCT(1+N22:N$30)),4)</f>
        <v>1.1702999999999999</v>
      </c>
      <c r="Y22" s="2887">
        <f>ROUND(SUMPRODUCT(PRODUCT(1+O22:O$30)),4)</f>
        <v>1.1269</v>
      </c>
      <c r="Z22" s="2887">
        <f t="shared" si="0"/>
        <v>1.1269</v>
      </c>
      <c r="AA22" s="2887">
        <f>ROUND(SUMPRODUCT(PRODUCT(1+P22:P$30)),4)</f>
        <v>1.1858</v>
      </c>
      <c r="AB22" s="2887">
        <f>ROUND(SUMPRODUCT(PRODUCT(1+Q22:Q$30)),4)</f>
        <v>1.1152</v>
      </c>
      <c r="AD22" s="2888">
        <f>ROUND(AVERAGE(I22:I$31)/100,4)</f>
        <v>1.89E-2</v>
      </c>
      <c r="AE22" s="2888">
        <f>ROUND(AVERAGE(J22:J$31)/100,4)</f>
        <v>1.44E-2</v>
      </c>
      <c r="AF22" s="2888">
        <f t="shared" si="1"/>
        <v>1.44E-2</v>
      </c>
      <c r="AG22" s="2888">
        <f>ROUND(AVERAGE(K22:K$31)/100,4)</f>
        <v>2.06E-2</v>
      </c>
      <c r="AH22" s="2888">
        <f>ROUND(AVERAGE(L22:L$31)/100,4)</f>
        <v>1.23E-2</v>
      </c>
    </row>
    <row r="23" spans="1:34" ht="13.5" thickBot="1">
      <c r="A23" s="2899" t="s">
        <v>959</v>
      </c>
      <c r="B23" s="2900">
        <f t="shared" si="130"/>
        <v>346.720748986128</v>
      </c>
      <c r="C23" s="2900">
        <f t="shared" si="130"/>
        <v>284.30282172386285</v>
      </c>
      <c r="D23" s="2900">
        <f t="shared" si="131"/>
        <v>284.30282172386285</v>
      </c>
      <c r="E23" s="2900">
        <f t="shared" si="132"/>
        <v>479.58023546306947</v>
      </c>
      <c r="F23" s="2900">
        <f t="shared" si="132"/>
        <v>253.25788877571213</v>
      </c>
      <c r="G23" s="3553"/>
      <c r="H23" s="2901">
        <v>1</v>
      </c>
      <c r="I23" s="2901">
        <v>4.09</v>
      </c>
      <c r="J23" s="2901">
        <v>2.93</v>
      </c>
      <c r="K23" s="2901">
        <v>4.54</v>
      </c>
      <c r="L23" s="2907">
        <v>1.48</v>
      </c>
      <c r="N23" s="2902">
        <f t="shared" si="133"/>
        <v>4.0899999999999999E-2</v>
      </c>
      <c r="O23" s="2888">
        <f t="shared" si="129"/>
        <v>2.9300000000000003E-2</v>
      </c>
      <c r="P23" s="2888">
        <f t="shared" si="129"/>
        <v>4.5400000000000003E-2</v>
      </c>
      <c r="Q23" s="2888">
        <f t="shared" si="129"/>
        <v>1.4800000000000001E-2</v>
      </c>
      <c r="R23" s="2903"/>
      <c r="S23" s="2904">
        <f>B23/B24-1</f>
        <v>4.1203450408792808E-2</v>
      </c>
      <c r="T23" s="2905">
        <f>C23/C24-1</f>
        <v>2.6363977342465095E-2</v>
      </c>
      <c r="U23" s="2905">
        <f>E23/E24-1</f>
        <v>4.4837114298626357E-2</v>
      </c>
      <c r="V23" s="2905">
        <f>F23/F24-1</f>
        <v>1.7099954922538574E-2</v>
      </c>
      <c r="X23" s="2887">
        <f>ROUND(SUMPRODUCT(PRODUCT(1+N23:N$30)),4)</f>
        <v>1.1269</v>
      </c>
      <c r="Y23" s="2887">
        <f>ROUND(SUMPRODUCT(PRODUCT(1+O23:O$30)),4)</f>
        <v>1.1052999999999999</v>
      </c>
      <c r="Z23" s="2887">
        <f t="shared" si="0"/>
        <v>1.1052999999999999</v>
      </c>
      <c r="AA23" s="2887">
        <f>ROUND(SUMPRODUCT(PRODUCT(1+P23:P$30)),4)</f>
        <v>1.1349</v>
      </c>
      <c r="AB23" s="2887">
        <f>ROUND(SUMPRODUCT(PRODUCT(1+Q23:Q$30)),4)</f>
        <v>1.0996999999999999</v>
      </c>
      <c r="AD23" s="2888">
        <f>ROUND(AVERAGE(I23:I$31)/100,4)</f>
        <v>1.67E-2</v>
      </c>
      <c r="AE23" s="2888">
        <f>ROUND(AVERAGE(J23:J$31)/100,4)</f>
        <v>1.38E-2</v>
      </c>
      <c r="AF23" s="2888">
        <f t="shared" si="1"/>
        <v>1.38E-2</v>
      </c>
      <c r="AG23" s="2888">
        <f>ROUND(AVERAGE(K23:K$31)/100,4)</f>
        <v>1.7899999999999999E-2</v>
      </c>
      <c r="AH23" s="2888">
        <f>ROUND(AVERAGE(L23:L$31)/100,4)</f>
        <v>1.21E-2</v>
      </c>
    </row>
    <row r="24" spans="1:34" ht="13.5" thickBot="1">
      <c r="A24" s="2899" t="s">
        <v>958</v>
      </c>
      <c r="B24" s="2921">
        <v>333</v>
      </c>
      <c r="C24" s="2921">
        <v>277</v>
      </c>
      <c r="D24" s="2921">
        <f t="shared" si="131"/>
        <v>277</v>
      </c>
      <c r="E24" s="2921">
        <v>459</v>
      </c>
      <c r="F24" s="2922">
        <v>249</v>
      </c>
      <c r="G24" s="3552">
        <v>2015</v>
      </c>
      <c r="H24" s="2923">
        <v>4</v>
      </c>
      <c r="I24" s="2923">
        <v>1.63</v>
      </c>
      <c r="J24" s="2923">
        <v>1.1100000000000001</v>
      </c>
      <c r="K24" s="2923">
        <v>1.77</v>
      </c>
      <c r="L24" s="2924">
        <v>1.89</v>
      </c>
      <c r="N24" s="2918">
        <f t="shared" si="133"/>
        <v>1.6299999999999999E-2</v>
      </c>
      <c r="O24" s="2919">
        <f t="shared" si="129"/>
        <v>1.11E-2</v>
      </c>
      <c r="P24" s="2919">
        <f t="shared" si="129"/>
        <v>1.77E-2</v>
      </c>
      <c r="Q24" s="2919">
        <f t="shared" si="129"/>
        <v>1.89E-2</v>
      </c>
      <c r="R24" s="2903"/>
      <c r="X24" s="2887">
        <f>ROUND(SUMPRODUCT(PRODUCT(1+N24:N$30)),4)</f>
        <v>1.0826</v>
      </c>
      <c r="Y24" s="2887">
        <f>ROUND(SUMPRODUCT(PRODUCT(1+O24:O$30)),4)</f>
        <v>1.0738000000000001</v>
      </c>
      <c r="Z24" s="2887">
        <f t="shared" si="0"/>
        <v>1.0738000000000001</v>
      </c>
      <c r="AA24" s="2887">
        <f>ROUND(SUMPRODUCT(PRODUCT(1+P24:P$30)),4)</f>
        <v>1.0855999999999999</v>
      </c>
      <c r="AB24" s="2887">
        <f>ROUND(SUMPRODUCT(PRODUCT(1+Q24:Q$30)),4)</f>
        <v>1.0837000000000001</v>
      </c>
      <c r="AD24" s="2888">
        <f>ROUND(AVERAGE(I24:I$31)/100,4)</f>
        <v>1.37E-2</v>
      </c>
      <c r="AE24" s="2888">
        <f>ROUND(AVERAGE(J24:J$31)/100,4)</f>
        <v>1.1900000000000001E-2</v>
      </c>
      <c r="AF24" s="2888">
        <f t="shared" si="1"/>
        <v>1.1900000000000001E-2</v>
      </c>
      <c r="AG24" s="2888">
        <f>ROUND(AVERAGE(K24:K$31)/100,4)</f>
        <v>1.4500000000000001E-2</v>
      </c>
      <c r="AH24" s="2888">
        <f>ROUND(AVERAGE(L24:L$31)/100,4)</f>
        <v>1.18E-2</v>
      </c>
    </row>
    <row r="25" spans="1:34">
      <c r="A25" s="2899" t="s">
        <v>957</v>
      </c>
      <c r="B25" s="2900">
        <f t="shared" ref="B25:C27" si="134">B24/(1+N24)</f>
        <v>327.65915576109415</v>
      </c>
      <c r="C25" s="2900">
        <f t="shared" si="134"/>
        <v>273.95905449510434</v>
      </c>
      <c r="D25" s="2900">
        <f t="shared" si="131"/>
        <v>273.95905449510434</v>
      </c>
      <c r="E25" s="2900">
        <f t="shared" ref="E25:F27" si="135">E24/(1+P24)</f>
        <v>451.01699911565294</v>
      </c>
      <c r="F25" s="2900">
        <f t="shared" si="135"/>
        <v>244.38119540681129</v>
      </c>
      <c r="G25" s="3550"/>
      <c r="H25" s="2926">
        <v>3</v>
      </c>
      <c r="I25" s="2926">
        <v>1.65</v>
      </c>
      <c r="J25" s="2926">
        <v>0.92</v>
      </c>
      <c r="K25" s="2926">
        <v>1.88</v>
      </c>
      <c r="L25" s="2927">
        <v>1.26</v>
      </c>
      <c r="N25" s="2902">
        <f t="shared" si="133"/>
        <v>1.6500000000000001E-2</v>
      </c>
      <c r="O25" s="2920">
        <f t="shared" si="129"/>
        <v>9.1999999999999998E-3</v>
      </c>
      <c r="P25" s="2920">
        <f t="shared" si="129"/>
        <v>1.8799999999999997E-2</v>
      </c>
      <c r="Q25" s="2920">
        <f t="shared" si="129"/>
        <v>1.26E-2</v>
      </c>
      <c r="R25" s="2903"/>
      <c r="S25" s="2902"/>
      <c r="T25" s="2888"/>
      <c r="U25" s="2888"/>
      <c r="V25" s="2888"/>
      <c r="X25" s="2887">
        <f>ROUND(SUMPRODUCT(PRODUCT(1+N25:N$30)),4)</f>
        <v>1.0651999999999999</v>
      </c>
      <c r="Y25" s="2887">
        <f>ROUND(SUMPRODUCT(PRODUCT(1+O25:O$30)),4)</f>
        <v>1.0621</v>
      </c>
      <c r="Z25" s="2887">
        <f t="shared" si="0"/>
        <v>1.0621</v>
      </c>
      <c r="AA25" s="2887">
        <f>ROUND(SUMPRODUCT(PRODUCT(1+P25:P$30)),4)</f>
        <v>1.0668</v>
      </c>
      <c r="AB25" s="2887">
        <f>ROUND(SUMPRODUCT(PRODUCT(1+Q25:Q$30)),4)</f>
        <v>1.0636000000000001</v>
      </c>
      <c r="AD25" s="2888">
        <f>ROUND(AVERAGE(I25:I$31)/100,4)</f>
        <v>1.3299999999999999E-2</v>
      </c>
      <c r="AE25" s="2888">
        <f>ROUND(AVERAGE(J25:J$31)/100,4)</f>
        <v>1.2E-2</v>
      </c>
      <c r="AF25" s="2888">
        <f t="shared" si="1"/>
        <v>1.2E-2</v>
      </c>
      <c r="AG25" s="2888">
        <f>ROUND(AVERAGE(K25:K$31)/100,4)</f>
        <v>1.4E-2</v>
      </c>
      <c r="AH25" s="2888">
        <f>ROUND(AVERAGE(L25:L$31)/100,4)</f>
        <v>1.0800000000000001E-2</v>
      </c>
    </row>
    <row r="26" spans="1:34">
      <c r="A26" s="2899" t="s">
        <v>956</v>
      </c>
      <c r="B26" s="2900">
        <f t="shared" si="134"/>
        <v>322.34053690220776</v>
      </c>
      <c r="C26" s="2900">
        <f t="shared" si="134"/>
        <v>271.46160770422546</v>
      </c>
      <c r="D26" s="2900">
        <f t="shared" si="131"/>
        <v>271.46160770422546</v>
      </c>
      <c r="E26" s="2900">
        <f t="shared" si="135"/>
        <v>442.69434542172456</v>
      </c>
      <c r="F26" s="2900">
        <f t="shared" si="135"/>
        <v>241.34030753190925</v>
      </c>
      <c r="G26" s="3550"/>
      <c r="H26" s="2914">
        <v>2</v>
      </c>
      <c r="I26" s="2914">
        <v>0.77</v>
      </c>
      <c r="J26" s="2914">
        <v>0.69</v>
      </c>
      <c r="K26" s="2914">
        <v>0.8</v>
      </c>
      <c r="L26" s="2915">
        <v>0.88</v>
      </c>
      <c r="N26" s="2902">
        <f t="shared" si="133"/>
        <v>7.7000000000000002E-3</v>
      </c>
      <c r="O26" s="2920">
        <f t="shared" si="129"/>
        <v>6.8999999999999999E-3</v>
      </c>
      <c r="P26" s="2920">
        <f t="shared" si="129"/>
        <v>8.0000000000000002E-3</v>
      </c>
      <c r="Q26" s="2920">
        <f t="shared" si="129"/>
        <v>8.8000000000000005E-3</v>
      </c>
      <c r="R26" s="2903"/>
      <c r="S26" s="2902"/>
      <c r="T26" s="2888"/>
      <c r="U26" s="2888"/>
      <c r="V26" s="2888"/>
      <c r="X26" s="2887">
        <f>ROUND(SUMPRODUCT(PRODUCT(1+N26:N$30)),4)</f>
        <v>1.048</v>
      </c>
      <c r="Y26" s="2887">
        <f>ROUND(SUMPRODUCT(PRODUCT(1+O26:O$30)),4)</f>
        <v>1.0524</v>
      </c>
      <c r="Z26" s="2887">
        <f t="shared" si="0"/>
        <v>1.0524</v>
      </c>
      <c r="AA26" s="2887">
        <f>ROUND(SUMPRODUCT(PRODUCT(1+P26:P$30)),4)</f>
        <v>1.0470999999999999</v>
      </c>
      <c r="AB26" s="2887">
        <f>ROUND(SUMPRODUCT(PRODUCT(1+Q26:Q$30)),4)</f>
        <v>1.0504</v>
      </c>
      <c r="AD26" s="2888">
        <f>ROUND(AVERAGE(I26:I$31)/100,4)</f>
        <v>1.2800000000000001E-2</v>
      </c>
      <c r="AE26" s="2888">
        <f>ROUND(AVERAGE(J26:J$31)/100,4)</f>
        <v>1.2500000000000001E-2</v>
      </c>
      <c r="AF26" s="2888">
        <f t="shared" si="1"/>
        <v>1.2500000000000001E-2</v>
      </c>
      <c r="AG26" s="2888">
        <f>ROUND(AVERAGE(K26:K$31)/100,4)</f>
        <v>1.32E-2</v>
      </c>
      <c r="AH26" s="2888">
        <f>ROUND(AVERAGE(L26:L$31)/100,4)</f>
        <v>1.0500000000000001E-2</v>
      </c>
    </row>
    <row r="27" spans="1:34">
      <c r="A27" s="2899" t="s">
        <v>955</v>
      </c>
      <c r="B27" s="2900">
        <f t="shared" si="134"/>
        <v>319.87748030386797</v>
      </c>
      <c r="C27" s="2900">
        <f t="shared" si="134"/>
        <v>269.60135833173649</v>
      </c>
      <c r="D27" s="2900">
        <f t="shared" si="131"/>
        <v>269.60135833173649</v>
      </c>
      <c r="E27" s="2900">
        <f t="shared" si="135"/>
        <v>439.18089823583784</v>
      </c>
      <c r="F27" s="2900">
        <f t="shared" si="135"/>
        <v>239.23503918706311</v>
      </c>
      <c r="G27" s="3553"/>
      <c r="H27" s="2901">
        <v>1</v>
      </c>
      <c r="I27" s="2901">
        <v>0.51</v>
      </c>
      <c r="J27" s="2901">
        <v>0.54</v>
      </c>
      <c r="K27" s="2901">
        <v>0.48</v>
      </c>
      <c r="L27" s="2907">
        <v>0.93</v>
      </c>
      <c r="N27" s="2904">
        <f t="shared" si="133"/>
        <v>5.1000000000000004E-3</v>
      </c>
      <c r="O27" s="2905">
        <f t="shared" si="129"/>
        <v>5.4000000000000003E-3</v>
      </c>
      <c r="P27" s="2905">
        <f t="shared" si="129"/>
        <v>4.7999999999999996E-3</v>
      </c>
      <c r="Q27" s="2905">
        <f t="shared" si="129"/>
        <v>9.300000000000001E-3</v>
      </c>
      <c r="R27" s="2903"/>
      <c r="S27" s="2904">
        <f>B27/B28-1</f>
        <v>5.9040261127922822E-3</v>
      </c>
      <c r="T27" s="2905">
        <f>C27/C28-1</f>
        <v>5.9752176557332781E-3</v>
      </c>
      <c r="U27" s="2905">
        <f>E27/E28-1</f>
        <v>4.9906138119859556E-3</v>
      </c>
      <c r="V27" s="2905">
        <f>F27/F28-1</f>
        <v>9.4305450930933787E-3</v>
      </c>
      <c r="X27" s="2887">
        <f>ROUND(SUMPRODUCT(PRODUCT(1+N27:N$30)),4)</f>
        <v>1.0399</v>
      </c>
      <c r="Y27" s="2887">
        <f>ROUND(SUMPRODUCT(PRODUCT(1+O27:O$30)),4)</f>
        <v>1.0451999999999999</v>
      </c>
      <c r="Z27" s="2887">
        <f t="shared" si="0"/>
        <v>1.0451999999999999</v>
      </c>
      <c r="AA27" s="2887">
        <f>ROUND(SUMPRODUCT(PRODUCT(1+P27:P$30)),4)</f>
        <v>1.0387999999999999</v>
      </c>
      <c r="AB27" s="2887">
        <f>ROUND(SUMPRODUCT(PRODUCT(1+Q27:Q$30)),4)</f>
        <v>1.0411999999999999</v>
      </c>
      <c r="AD27" s="2888">
        <f>ROUND(AVERAGE(I27:I$31)/100,4)</f>
        <v>1.38E-2</v>
      </c>
      <c r="AE27" s="2888">
        <f>ROUND(AVERAGE(J27:J$31)/100,4)</f>
        <v>1.3599999999999999E-2</v>
      </c>
      <c r="AF27" s="2888">
        <f t="shared" si="1"/>
        <v>1.3599999999999999E-2</v>
      </c>
      <c r="AG27" s="2888">
        <f>ROUND(AVERAGE(K27:K$31)/100,4)</f>
        <v>1.4200000000000001E-2</v>
      </c>
      <c r="AH27" s="2888">
        <f>ROUND(AVERAGE(L27:L$31)/100,4)</f>
        <v>1.0800000000000001E-2</v>
      </c>
    </row>
    <row r="28" spans="1:34" ht="13.5" thickBot="1">
      <c r="A28" s="2899" t="s">
        <v>954</v>
      </c>
      <c r="B28" s="2928">
        <v>318</v>
      </c>
      <c r="C28" s="2928">
        <v>268</v>
      </c>
      <c r="D28" s="2928">
        <f t="shared" si="131"/>
        <v>268</v>
      </c>
      <c r="E28" s="2928">
        <v>437</v>
      </c>
      <c r="F28" s="2929">
        <v>237</v>
      </c>
      <c r="G28" s="3552">
        <v>2014</v>
      </c>
      <c r="H28" s="2923">
        <v>4</v>
      </c>
      <c r="I28" s="2923">
        <v>0.21</v>
      </c>
      <c r="J28" s="2923">
        <v>0.41</v>
      </c>
      <c r="K28" s="2923">
        <v>0.12</v>
      </c>
      <c r="L28" s="2924">
        <v>0.89</v>
      </c>
      <c r="N28" s="2902">
        <f t="shared" si="133"/>
        <v>2.0999999999999999E-3</v>
      </c>
      <c r="O28" s="2888">
        <f t="shared" si="129"/>
        <v>4.0999999999999995E-3</v>
      </c>
      <c r="P28" s="2888">
        <f t="shared" si="129"/>
        <v>1.1999999999999999E-3</v>
      </c>
      <c r="Q28" s="2888">
        <f t="shared" si="129"/>
        <v>8.8999999999999999E-3</v>
      </c>
      <c r="R28" s="2903"/>
      <c r="S28" s="2912"/>
      <c r="T28" s="2913"/>
      <c r="U28" s="2913"/>
      <c r="V28" s="2913"/>
      <c r="X28" s="2887">
        <f>ROUND(SUMPRODUCT(PRODUCT(1+N28:N$30)),4)</f>
        <v>1.0347</v>
      </c>
      <c r="Y28" s="2887">
        <f>ROUND(SUMPRODUCT(PRODUCT(1+O28:O$30)),4)</f>
        <v>1.0395000000000001</v>
      </c>
      <c r="Z28" s="2887">
        <f t="shared" si="0"/>
        <v>1.0395000000000001</v>
      </c>
      <c r="AA28" s="2887">
        <f>ROUND(SUMPRODUCT(PRODUCT(1+P28:P$30)),4)</f>
        <v>1.0338000000000001</v>
      </c>
      <c r="AB28" s="2887">
        <f>ROUND(SUMPRODUCT(PRODUCT(1+Q28:Q$30)),4)</f>
        <v>1.0316000000000001</v>
      </c>
      <c r="AD28" s="2888">
        <f>ROUND(AVERAGE(I28:I$31)/100,4)</f>
        <v>1.6E-2</v>
      </c>
      <c r="AE28" s="2888">
        <f>ROUND(AVERAGE(J28:J$31)/100,4)</f>
        <v>1.5599999999999999E-2</v>
      </c>
      <c r="AF28" s="2888">
        <f t="shared" si="1"/>
        <v>1.5599999999999999E-2</v>
      </c>
      <c r="AG28" s="2888">
        <f>ROUND(AVERAGE(K28:K$31)/100,4)</f>
        <v>1.66E-2</v>
      </c>
      <c r="AH28" s="2888">
        <f>ROUND(AVERAGE(L28:L$31)/100,4)</f>
        <v>1.12E-2</v>
      </c>
    </row>
    <row r="29" spans="1:34">
      <c r="A29" s="2899" t="s">
        <v>953</v>
      </c>
      <c r="B29" s="2900">
        <f t="shared" ref="B29:C31" si="136">B28/(1+N28)</f>
        <v>317.33359944117353</v>
      </c>
      <c r="C29" s="2900">
        <f t="shared" si="136"/>
        <v>266.90568668459315</v>
      </c>
      <c r="D29" s="2900">
        <f t="shared" si="131"/>
        <v>266.90568668459315</v>
      </c>
      <c r="E29" s="2900">
        <f t="shared" ref="E29:F31" si="137">E28/(1+P28)</f>
        <v>436.47622852576905</v>
      </c>
      <c r="F29" s="2900">
        <f t="shared" si="137"/>
        <v>234.90930716622066</v>
      </c>
      <c r="G29" s="3550"/>
      <c r="H29" s="2930">
        <v>3</v>
      </c>
      <c r="I29" s="2930">
        <v>0.83</v>
      </c>
      <c r="J29" s="2930">
        <v>1.47</v>
      </c>
      <c r="K29" s="2930">
        <v>0.65</v>
      </c>
      <c r="L29" s="2931">
        <v>0.72</v>
      </c>
      <c r="N29" s="2902">
        <f t="shared" si="133"/>
        <v>8.3000000000000001E-3</v>
      </c>
      <c r="O29" s="2888">
        <f t="shared" si="129"/>
        <v>1.47E-2</v>
      </c>
      <c r="P29" s="2888">
        <f t="shared" si="129"/>
        <v>6.5000000000000006E-3</v>
      </c>
      <c r="Q29" s="2888">
        <f t="shared" si="129"/>
        <v>7.1999999999999998E-3</v>
      </c>
      <c r="R29" s="2903"/>
      <c r="S29" s="2902"/>
      <c r="T29" s="2888"/>
      <c r="U29" s="2888"/>
      <c r="V29" s="2888"/>
      <c r="X29" s="2887">
        <f>ROUND(SUMPRODUCT(PRODUCT(1+N29:N$30)),4)</f>
        <v>1.0325</v>
      </c>
      <c r="Y29" s="2887">
        <f>ROUND(SUMPRODUCT(PRODUCT(1+O29:O$30)),4)</f>
        <v>1.0353000000000001</v>
      </c>
      <c r="Z29" s="2887">
        <f t="shared" ref="Z29:Z30" si="138">Y29</f>
        <v>1.0353000000000001</v>
      </c>
      <c r="AA29" s="2887">
        <f>ROUND(SUMPRODUCT(PRODUCT(1+P29:P$30)),4)</f>
        <v>1.0326</v>
      </c>
      <c r="AB29" s="2887">
        <f>ROUND(SUMPRODUCT(PRODUCT(1+Q29:Q$30)),4)</f>
        <v>1.0225</v>
      </c>
      <c r="AD29" s="2888">
        <f>ROUND(AVERAGE(I29:I$31)/100,4)</f>
        <v>2.07E-2</v>
      </c>
      <c r="AE29" s="2888">
        <f>ROUND(AVERAGE(J29:J$31)/100,4)</f>
        <v>1.95E-2</v>
      </c>
      <c r="AF29" s="2888">
        <f t="shared" si="1"/>
        <v>1.95E-2</v>
      </c>
      <c r="AG29" s="2888">
        <f>ROUND(AVERAGE(K29:K$31)/100,4)</f>
        <v>2.1700000000000001E-2</v>
      </c>
      <c r="AH29" s="2888">
        <f>ROUND(AVERAGE(L29:L$31)/100,4)</f>
        <v>1.2E-2</v>
      </c>
    </row>
    <row r="30" spans="1:34" ht="13.5" thickBot="1">
      <c r="A30" s="2899" t="s">
        <v>952</v>
      </c>
      <c r="B30" s="2900">
        <f t="shared" si="136"/>
        <v>314.72141172386546</v>
      </c>
      <c r="C30" s="2900">
        <f t="shared" si="136"/>
        <v>263.03901319069001</v>
      </c>
      <c r="D30" s="2900">
        <f t="shared" si="131"/>
        <v>263.03901319069001</v>
      </c>
      <c r="E30" s="2900">
        <f t="shared" si="137"/>
        <v>433.65745506782821</v>
      </c>
      <c r="F30" s="2900">
        <f t="shared" si="137"/>
        <v>233.23005080045735</v>
      </c>
      <c r="G30" s="3550"/>
      <c r="H30" s="2923">
        <v>2</v>
      </c>
      <c r="I30" s="2923">
        <v>2.4</v>
      </c>
      <c r="J30" s="2923">
        <v>2.0299999999999998</v>
      </c>
      <c r="K30" s="2923">
        <v>2.59</v>
      </c>
      <c r="L30" s="2924">
        <v>1.52</v>
      </c>
      <c r="N30" s="2902">
        <f t="shared" si="133"/>
        <v>2.4E-2</v>
      </c>
      <c r="O30" s="2888">
        <f t="shared" si="129"/>
        <v>2.0299999999999999E-2</v>
      </c>
      <c r="P30" s="2888">
        <f t="shared" si="129"/>
        <v>2.5899999999999999E-2</v>
      </c>
      <c r="Q30" s="2888">
        <f t="shared" si="129"/>
        <v>1.52E-2</v>
      </c>
      <c r="R30" s="2903"/>
      <c r="S30" s="2902"/>
      <c r="T30" s="2888"/>
      <c r="U30" s="2888"/>
      <c r="V30" s="2888"/>
      <c r="X30" s="2887">
        <f>1+N30</f>
        <v>1.024</v>
      </c>
      <c r="Y30" s="2887">
        <f>1+O30</f>
        <v>1.0203</v>
      </c>
      <c r="Z30" s="2887">
        <f t="shared" si="138"/>
        <v>1.0203</v>
      </c>
      <c r="AA30" s="2887">
        <f>1+P30</f>
        <v>1.0259</v>
      </c>
      <c r="AB30" s="2887">
        <f>1+Q30</f>
        <v>1.0152000000000001</v>
      </c>
      <c r="AD30" s="2888">
        <f>ROUND(AVERAGE(I30:I$31)/100,4)</f>
        <v>2.69E-2</v>
      </c>
      <c r="AE30" s="2888">
        <f>ROUND(AVERAGE(J30:J$31)/100,4)</f>
        <v>2.1899999999999999E-2</v>
      </c>
      <c r="AF30" s="2888">
        <f t="shared" ref="AF30" si="139">AE30</f>
        <v>2.1899999999999999E-2</v>
      </c>
      <c r="AG30" s="2888">
        <f>ROUND(AVERAGE(K30:K$31)/100,4)</f>
        <v>2.9399999999999999E-2</v>
      </c>
      <c r="AH30" s="2888">
        <f>ROUND(AVERAGE(L30:L$31)/100,4)</f>
        <v>1.44E-2</v>
      </c>
    </row>
    <row r="31" spans="1:34" s="2936" customFormat="1" ht="13.5" thickBot="1">
      <c r="A31" s="2932" t="s">
        <v>951</v>
      </c>
      <c r="B31" s="2933">
        <f t="shared" si="136"/>
        <v>307.34512863658733</v>
      </c>
      <c r="C31" s="2933">
        <f t="shared" si="136"/>
        <v>257.80556031626975</v>
      </c>
      <c r="D31" s="2933">
        <f t="shared" si="131"/>
        <v>257.80556031626975</v>
      </c>
      <c r="E31" s="2933">
        <f t="shared" si="137"/>
        <v>422.70928459677179</v>
      </c>
      <c r="F31" s="2933">
        <f t="shared" si="137"/>
        <v>229.73803270336617</v>
      </c>
      <c r="G31" s="3553"/>
      <c r="H31" s="2934">
        <v>1</v>
      </c>
      <c r="I31" s="2934">
        <v>2.97</v>
      </c>
      <c r="J31" s="2934">
        <v>2.34</v>
      </c>
      <c r="K31" s="2934">
        <v>3.28</v>
      </c>
      <c r="L31" s="2935">
        <v>1.36</v>
      </c>
      <c r="N31" s="2937">
        <f t="shared" si="133"/>
        <v>2.9700000000000001E-2</v>
      </c>
      <c r="O31" s="2938">
        <f t="shared" si="129"/>
        <v>2.3399999999999997E-2</v>
      </c>
      <c r="P31" s="2938">
        <f t="shared" si="129"/>
        <v>3.2799999999999996E-2</v>
      </c>
      <c r="Q31" s="2938">
        <f t="shared" si="129"/>
        <v>1.3600000000000001E-2</v>
      </c>
      <c r="R31" s="2939"/>
      <c r="S31" s="2940">
        <f>B31/B32-1</f>
        <v>2.7910129219355539E-2</v>
      </c>
      <c r="T31" s="2941">
        <f>C31/C32-1</f>
        <v>2.3037937762975247E-2</v>
      </c>
      <c r="U31" s="2941">
        <f>E31/E32-1</f>
        <v>3.3519033243940788E-2</v>
      </c>
      <c r="V31" s="2941">
        <f>F31/F32-1</f>
        <v>1.2061818076502862E-2</v>
      </c>
      <c r="W31" s="2942" t="s">
        <v>2620</v>
      </c>
      <c r="X31" s="2943">
        <v>1</v>
      </c>
      <c r="Y31" s="2943">
        <v>1</v>
      </c>
      <c r="Z31" s="2943">
        <v>1</v>
      </c>
      <c r="AA31" s="2943">
        <v>1</v>
      </c>
      <c r="AB31" s="2943">
        <v>1</v>
      </c>
      <c r="AD31" s="2938">
        <f>I31/100</f>
        <v>2.9700000000000001E-2</v>
      </c>
      <c r="AE31" s="2938">
        <f>J31/100</f>
        <v>2.3399999999999997E-2</v>
      </c>
      <c r="AF31" s="2938">
        <f>AE31</f>
        <v>2.3399999999999997E-2</v>
      </c>
      <c r="AG31" s="2938">
        <f>K31/100</f>
        <v>3.2799999999999996E-2</v>
      </c>
      <c r="AH31" s="2938">
        <f>L31/100</f>
        <v>1.3600000000000001E-2</v>
      </c>
    </row>
    <row r="32" spans="1:34" ht="13.5" thickBot="1">
      <c r="A32" s="2899" t="s">
        <v>2563</v>
      </c>
      <c r="B32" s="2921">
        <v>299</v>
      </c>
      <c r="C32" s="2921">
        <v>252</v>
      </c>
      <c r="D32" s="2921">
        <f t="shared" si="131"/>
        <v>252</v>
      </c>
      <c r="E32" s="2921">
        <v>409</v>
      </c>
      <c r="F32" s="2922">
        <v>227</v>
      </c>
      <c r="G32" s="3557">
        <v>2013</v>
      </c>
      <c r="H32" s="2944">
        <v>4</v>
      </c>
      <c r="I32" s="2944">
        <v>1.83</v>
      </c>
      <c r="J32" s="2944">
        <v>1.68</v>
      </c>
      <c r="K32" s="2944">
        <v>1.97</v>
      </c>
      <c r="L32" s="2945">
        <v>0.87</v>
      </c>
      <c r="N32" s="2918">
        <f t="shared" si="133"/>
        <v>1.83E-2</v>
      </c>
      <c r="O32" s="2919">
        <f t="shared" si="129"/>
        <v>1.6799999999999999E-2</v>
      </c>
      <c r="P32" s="2919">
        <f t="shared" si="129"/>
        <v>1.9699999999999999E-2</v>
      </c>
      <c r="Q32" s="2919">
        <f t="shared" si="129"/>
        <v>8.6999999999999994E-3</v>
      </c>
      <c r="R32" s="2903"/>
      <c r="S32" s="2912"/>
      <c r="T32" s="2913"/>
      <c r="U32" s="2913"/>
      <c r="V32" s="2913"/>
      <c r="X32" s="2913"/>
      <c r="Y32" s="2913"/>
      <c r="Z32" s="2913"/>
    </row>
    <row r="33" spans="1:26">
      <c r="A33" s="2899" t="s">
        <v>2564</v>
      </c>
      <c r="B33" s="2900">
        <f t="shared" ref="B33:C35" si="140">B32/(1+N32)</f>
        <v>293.62663262299913</v>
      </c>
      <c r="C33" s="2900">
        <f t="shared" si="140"/>
        <v>247.83634933123525</v>
      </c>
      <c r="D33" s="2900">
        <f t="shared" si="131"/>
        <v>247.83634933123525</v>
      </c>
      <c r="E33" s="2900">
        <f t="shared" ref="E33:F35" si="141">E32/(1+P32)</f>
        <v>401.09836226341076</v>
      </c>
      <c r="F33" s="2900">
        <f t="shared" si="141"/>
        <v>225.04213343908003</v>
      </c>
      <c r="G33" s="3558"/>
      <c r="H33" s="2926">
        <v>3</v>
      </c>
      <c r="I33" s="2926">
        <v>1.86</v>
      </c>
      <c r="J33" s="2926">
        <v>1.72</v>
      </c>
      <c r="K33" s="2926">
        <v>1.98</v>
      </c>
      <c r="L33" s="2927">
        <v>0.88</v>
      </c>
      <c r="N33" s="2902">
        <f t="shared" si="133"/>
        <v>1.8600000000000002E-2</v>
      </c>
      <c r="O33" s="2920">
        <f t="shared" si="129"/>
        <v>1.72E-2</v>
      </c>
      <c r="P33" s="2920">
        <f t="shared" si="129"/>
        <v>1.9799999999999998E-2</v>
      </c>
      <c r="Q33" s="2920">
        <f t="shared" si="129"/>
        <v>8.8000000000000005E-3</v>
      </c>
      <c r="R33" s="2903"/>
      <c r="S33" s="2902"/>
      <c r="T33" s="2888"/>
      <c r="U33" s="2888"/>
      <c r="V33" s="2888"/>
    </row>
    <row r="34" spans="1:26">
      <c r="A34" s="2899" t="s">
        <v>2565</v>
      </c>
      <c r="B34" s="2900">
        <f t="shared" si="140"/>
        <v>288.2649053828776</v>
      </c>
      <c r="C34" s="2900">
        <f t="shared" si="140"/>
        <v>243.64564425013293</v>
      </c>
      <c r="D34" s="2900">
        <f t="shared" si="131"/>
        <v>243.64564425013293</v>
      </c>
      <c r="E34" s="2900">
        <f t="shared" si="141"/>
        <v>393.31080825986544</v>
      </c>
      <c r="F34" s="2900">
        <f t="shared" si="141"/>
        <v>223.07903790551154</v>
      </c>
      <c r="G34" s="3558"/>
      <c r="H34" s="2914">
        <v>2</v>
      </c>
      <c r="I34" s="2914">
        <v>2.04</v>
      </c>
      <c r="J34" s="2914">
        <v>2.33</v>
      </c>
      <c r="K34" s="2914">
        <v>2.0699999999999998</v>
      </c>
      <c r="L34" s="2915">
        <v>0.69</v>
      </c>
      <c r="N34" s="2902">
        <f t="shared" si="133"/>
        <v>2.0400000000000001E-2</v>
      </c>
      <c r="O34" s="2920">
        <f t="shared" si="129"/>
        <v>2.3300000000000001E-2</v>
      </c>
      <c r="P34" s="2920">
        <f t="shared" si="129"/>
        <v>2.07E-2</v>
      </c>
      <c r="Q34" s="2920">
        <f t="shared" si="129"/>
        <v>6.8999999999999999E-3</v>
      </c>
      <c r="R34" s="2903"/>
      <c r="S34" s="2902"/>
      <c r="T34" s="2888"/>
      <c r="U34" s="2888"/>
      <c r="V34" s="2888"/>
      <c r="X34" s="2946"/>
      <c r="Y34" s="2947"/>
    </row>
    <row r="35" spans="1:26">
      <c r="A35" s="2899" t="s">
        <v>2566</v>
      </c>
      <c r="B35" s="2900">
        <f t="shared" si="140"/>
        <v>282.50186729015837</v>
      </c>
      <c r="C35" s="2900">
        <f t="shared" si="140"/>
        <v>238.09796174155468</v>
      </c>
      <c r="D35" s="2900">
        <f t="shared" si="131"/>
        <v>238.09796174155468</v>
      </c>
      <c r="E35" s="2900">
        <f t="shared" si="141"/>
        <v>385.33438646014054</v>
      </c>
      <c r="F35" s="2900">
        <f t="shared" si="141"/>
        <v>221.55034055567739</v>
      </c>
      <c r="G35" s="3559"/>
      <c r="H35" s="2901">
        <v>1</v>
      </c>
      <c r="I35" s="2901">
        <v>1.67</v>
      </c>
      <c r="J35" s="2901">
        <v>1.31</v>
      </c>
      <c r="K35" s="2901">
        <v>1.85</v>
      </c>
      <c r="L35" s="2907">
        <v>0.96</v>
      </c>
      <c r="N35" s="2904">
        <f t="shared" si="133"/>
        <v>1.67E-2</v>
      </c>
      <c r="O35" s="2905">
        <f t="shared" si="129"/>
        <v>1.3100000000000001E-2</v>
      </c>
      <c r="P35" s="2905">
        <f t="shared" si="129"/>
        <v>1.8500000000000003E-2</v>
      </c>
      <c r="Q35" s="2905">
        <f t="shared" si="129"/>
        <v>9.5999999999999992E-3</v>
      </c>
      <c r="R35" s="2903"/>
      <c r="S35" s="2904">
        <f>B35/B36-1</f>
        <v>1.6193767230785472E-2</v>
      </c>
      <c r="T35" s="2905">
        <f>C35/C36-1</f>
        <v>1.7512657015190891E-2</v>
      </c>
      <c r="U35" s="2905">
        <f>E35/E36-1</f>
        <v>1.6713420739157048E-2</v>
      </c>
      <c r="V35" s="2905">
        <f>F35/F36-1</f>
        <v>7.0470025258062563E-3</v>
      </c>
      <c r="X35" s="2948"/>
      <c r="Y35" s="2888"/>
      <c r="Z35" s="2888"/>
    </row>
    <row r="36" spans="1:26" ht="13.5" thickBot="1">
      <c r="A36" s="2899" t="s">
        <v>2567</v>
      </c>
      <c r="B36" s="2949">
        <v>278</v>
      </c>
      <c r="C36" s="2949">
        <v>234</v>
      </c>
      <c r="D36" s="2949">
        <f t="shared" si="131"/>
        <v>234</v>
      </c>
      <c r="E36" s="2949">
        <v>379</v>
      </c>
      <c r="F36" s="2950">
        <v>220</v>
      </c>
      <c r="G36" s="3552">
        <v>2012</v>
      </c>
      <c r="H36" s="2923">
        <v>4</v>
      </c>
      <c r="I36" s="2923">
        <v>0.91</v>
      </c>
      <c r="J36" s="2923">
        <v>0.68</v>
      </c>
      <c r="K36" s="2923">
        <v>0.98</v>
      </c>
      <c r="L36" s="2924">
        <v>0.9</v>
      </c>
      <c r="N36" s="2902">
        <f t="shared" si="133"/>
        <v>9.1000000000000004E-3</v>
      </c>
      <c r="O36" s="2888">
        <f t="shared" si="133"/>
        <v>6.8000000000000005E-3</v>
      </c>
      <c r="P36" s="2888">
        <f t="shared" si="133"/>
        <v>9.7999999999999997E-3</v>
      </c>
      <c r="Q36" s="2888">
        <f t="shared" si="133"/>
        <v>9.0000000000000011E-3</v>
      </c>
      <c r="R36" s="2903"/>
      <c r="S36" s="2912"/>
      <c r="T36" s="2913"/>
      <c r="U36" s="2913"/>
      <c r="V36" s="2913"/>
      <c r="X36" s="2913"/>
      <c r="Y36" s="2913"/>
      <c r="Z36" s="2913"/>
    </row>
    <row r="37" spans="1:26">
      <c r="A37" s="2899" t="s">
        <v>2568</v>
      </c>
      <c r="B37" s="2900">
        <f>B36/(1+N36)</f>
        <v>275.49301357645425</v>
      </c>
      <c r="C37" s="2900">
        <f>C36/(1+O36)</f>
        <v>232.41954707985698</v>
      </c>
      <c r="D37" s="2900">
        <f t="shared" si="131"/>
        <v>232.41954707985698</v>
      </c>
      <c r="E37" s="2900">
        <f t="shared" ref="E37:F39" si="142">E36/(1+P36)</f>
        <v>375.32184591008121</v>
      </c>
      <c r="F37" s="2900">
        <f t="shared" si="142"/>
        <v>218.03766105054513</v>
      </c>
      <c r="G37" s="3550"/>
      <c r="H37" s="2926">
        <v>3</v>
      </c>
      <c r="I37" s="2926">
        <v>0.09</v>
      </c>
      <c r="J37" s="2926">
        <v>0.28999999999999998</v>
      </c>
      <c r="K37" s="2926">
        <v>-0.01</v>
      </c>
      <c r="L37" s="2927">
        <v>0.57999999999999996</v>
      </c>
      <c r="N37" s="2902">
        <f t="shared" si="133"/>
        <v>8.9999999999999998E-4</v>
      </c>
      <c r="O37" s="2888">
        <f t="shared" si="133"/>
        <v>2.8999999999999998E-3</v>
      </c>
      <c r="P37" s="2888">
        <f t="shared" si="133"/>
        <v>-1E-4</v>
      </c>
      <c r="Q37" s="2888">
        <f t="shared" si="133"/>
        <v>5.7999999999999996E-3</v>
      </c>
      <c r="R37" s="2903"/>
      <c r="S37" s="2902"/>
      <c r="T37" s="2888"/>
      <c r="U37" s="2888"/>
      <c r="V37" s="2888"/>
    </row>
    <row r="38" spans="1:26">
      <c r="A38" s="2899" t="s">
        <v>2569</v>
      </c>
      <c r="B38" s="2900">
        <f>B37/(1+N37)</f>
        <v>275.24529281292263</v>
      </c>
      <c r="C38" s="2900">
        <f>C37/(1+O37)</f>
        <v>231.74747938962707</v>
      </c>
      <c r="D38" s="2900">
        <f t="shared" si="131"/>
        <v>231.74747938962707</v>
      </c>
      <c r="E38" s="2900">
        <f t="shared" si="142"/>
        <v>375.35938184826603</v>
      </c>
      <c r="F38" s="2900">
        <f t="shared" si="142"/>
        <v>216.78033510692495</v>
      </c>
      <c r="G38" s="3550"/>
      <c r="H38" s="2914">
        <v>2</v>
      </c>
      <c r="I38" s="2914">
        <v>0.02</v>
      </c>
      <c r="J38" s="2914">
        <v>0.12</v>
      </c>
      <c r="K38" s="2914">
        <v>-0.08</v>
      </c>
      <c r="L38" s="2915">
        <v>1.24</v>
      </c>
      <c r="N38" s="2902">
        <f t="shared" si="133"/>
        <v>2.0000000000000001E-4</v>
      </c>
      <c r="O38" s="2888">
        <f t="shared" si="133"/>
        <v>1.1999999999999999E-3</v>
      </c>
      <c r="P38" s="2888">
        <f t="shared" si="133"/>
        <v>-8.0000000000000004E-4</v>
      </c>
      <c r="Q38" s="2888">
        <f t="shared" si="133"/>
        <v>1.24E-2</v>
      </c>
      <c r="R38" s="2903"/>
      <c r="S38" s="2902"/>
      <c r="T38" s="2888"/>
      <c r="U38" s="2888"/>
      <c r="V38" s="2888"/>
    </row>
    <row r="39" spans="1:26" ht="13.5" thickBot="1">
      <c r="A39" s="2899" t="s">
        <v>2570</v>
      </c>
      <c r="B39" s="2900">
        <f>B38/(1+N38)</f>
        <v>275.19025476197027</v>
      </c>
      <c r="C39" s="2951">
        <v>232</v>
      </c>
      <c r="D39" s="2951">
        <f t="shared" si="131"/>
        <v>232</v>
      </c>
      <c r="E39" s="2900">
        <f t="shared" si="142"/>
        <v>375.65990977608692</v>
      </c>
      <c r="F39" s="2900">
        <f t="shared" si="142"/>
        <v>214.12518283971252</v>
      </c>
      <c r="G39" s="3553"/>
      <c r="H39" s="2901">
        <v>1</v>
      </c>
      <c r="I39" s="2901">
        <v>0.02</v>
      </c>
      <c r="J39" s="2901">
        <v>0.13</v>
      </c>
      <c r="K39" s="2901">
        <v>-0.04</v>
      </c>
      <c r="L39" s="2907">
        <v>0.46</v>
      </c>
      <c r="N39" s="2902">
        <f t="shared" si="133"/>
        <v>2.0000000000000001E-4</v>
      </c>
      <c r="O39" s="2888">
        <f t="shared" si="133"/>
        <v>1.2999999999999999E-3</v>
      </c>
      <c r="P39" s="2888">
        <f t="shared" si="133"/>
        <v>-4.0000000000000002E-4</v>
      </c>
      <c r="Q39" s="2888">
        <f t="shared" si="133"/>
        <v>4.5999999999999999E-3</v>
      </c>
      <c r="R39" s="2903"/>
      <c r="S39" s="2904">
        <f>B39/B40-1</f>
        <v>6.9183549807361189E-4</v>
      </c>
      <c r="T39" s="2905">
        <f>C39/C40-1</f>
        <v>0</v>
      </c>
      <c r="U39" s="2905">
        <f>E39/E40-1</f>
        <v>-9.0449527636460303E-4</v>
      </c>
      <c r="V39" s="2905">
        <f>F39/F40-1</f>
        <v>5.2825485432512753E-3</v>
      </c>
      <c r="X39" s="2888"/>
      <c r="Y39" s="2888"/>
      <c r="Z39" s="2888"/>
    </row>
    <row r="40" spans="1:26" ht="13.5" thickBot="1">
      <c r="A40" s="2899" t="s">
        <v>2571</v>
      </c>
      <c r="B40" s="2921">
        <v>275</v>
      </c>
      <c r="C40" s="2921">
        <v>232</v>
      </c>
      <c r="D40" s="2921">
        <f t="shared" si="131"/>
        <v>232</v>
      </c>
      <c r="E40" s="2921">
        <v>376</v>
      </c>
      <c r="F40" s="2922">
        <v>213</v>
      </c>
      <c r="G40" s="3552">
        <v>2011</v>
      </c>
      <c r="H40" s="2923">
        <v>4</v>
      </c>
      <c r="I40" s="2923">
        <v>-0.2</v>
      </c>
      <c r="J40" s="2923">
        <v>0.04</v>
      </c>
      <c r="K40" s="2923">
        <v>-0.34</v>
      </c>
      <c r="L40" s="2924">
        <v>0.46</v>
      </c>
      <c r="N40" s="2918">
        <f t="shared" si="133"/>
        <v>-2E-3</v>
      </c>
      <c r="O40" s="2919">
        <f t="shared" si="133"/>
        <v>4.0000000000000002E-4</v>
      </c>
      <c r="P40" s="2919">
        <f t="shared" si="133"/>
        <v>-3.4000000000000002E-3</v>
      </c>
      <c r="Q40" s="2919">
        <f t="shared" si="133"/>
        <v>4.5999999999999999E-3</v>
      </c>
      <c r="R40" s="2903"/>
      <c r="S40" s="2912"/>
      <c r="T40" s="2913"/>
      <c r="U40" s="2913"/>
      <c r="V40" s="2913"/>
      <c r="X40" s="2913"/>
      <c r="Y40" s="2913"/>
      <c r="Z40" s="2913"/>
    </row>
    <row r="41" spans="1:26">
      <c r="A41" s="2899" t="s">
        <v>2572</v>
      </c>
      <c r="B41" s="2900">
        <f t="shared" ref="B41:C43" si="143">B40/(1+N40)</f>
        <v>275.55110220440883</v>
      </c>
      <c r="C41" s="2900">
        <f t="shared" si="143"/>
        <v>231.90723710515795</v>
      </c>
      <c r="D41" s="2900">
        <f t="shared" si="131"/>
        <v>231.90723710515795</v>
      </c>
      <c r="E41" s="2900">
        <f t="shared" ref="E41:F43" si="144">E40/(1+P40)</f>
        <v>377.28276138872161</v>
      </c>
      <c r="F41" s="2900">
        <f t="shared" si="144"/>
        <v>212.02468644236512</v>
      </c>
      <c r="G41" s="3550">
        <v>2011</v>
      </c>
      <c r="H41" s="2926">
        <v>3</v>
      </c>
      <c r="I41" s="2926">
        <v>0.13</v>
      </c>
      <c r="J41" s="2926">
        <v>0.75</v>
      </c>
      <c r="K41" s="2926">
        <v>-0.08</v>
      </c>
      <c r="L41" s="2927">
        <v>0.53</v>
      </c>
      <c r="N41" s="2902">
        <f t="shared" si="133"/>
        <v>1.2999999999999999E-3</v>
      </c>
      <c r="O41" s="2920">
        <f t="shared" si="133"/>
        <v>7.4999999999999997E-3</v>
      </c>
      <c r="P41" s="2920">
        <f t="shared" si="133"/>
        <v>-8.0000000000000004E-4</v>
      </c>
      <c r="Q41" s="2920">
        <f t="shared" si="133"/>
        <v>5.3E-3</v>
      </c>
      <c r="R41" s="2903"/>
      <c r="S41" s="2902"/>
      <c r="T41" s="2888"/>
      <c r="U41" s="2888"/>
      <c r="V41" s="2888"/>
    </row>
    <row r="42" spans="1:26">
      <c r="A42" s="2899" t="s">
        <v>2573</v>
      </c>
      <c r="B42" s="2900">
        <f t="shared" si="143"/>
        <v>275.19335084830601</v>
      </c>
      <c r="C42" s="2900">
        <f t="shared" si="143"/>
        <v>230.18088050139744</v>
      </c>
      <c r="D42" s="2900">
        <f t="shared" si="131"/>
        <v>230.18088050139744</v>
      </c>
      <c r="E42" s="2900">
        <f t="shared" si="144"/>
        <v>377.58482925212331</v>
      </c>
      <c r="F42" s="2900">
        <f t="shared" si="144"/>
        <v>210.90687997847917</v>
      </c>
      <c r="G42" s="3550">
        <v>2011</v>
      </c>
      <c r="H42" s="2914">
        <v>2</v>
      </c>
      <c r="I42" s="2914">
        <v>-0.4</v>
      </c>
      <c r="J42" s="2914">
        <v>0.17</v>
      </c>
      <c r="K42" s="2914">
        <v>-0.57999999999999996</v>
      </c>
      <c r="L42" s="2915">
        <v>-0.2</v>
      </c>
      <c r="N42" s="2902">
        <f t="shared" si="133"/>
        <v>-4.0000000000000001E-3</v>
      </c>
      <c r="O42" s="2920">
        <f t="shared" si="133"/>
        <v>1.7000000000000001E-3</v>
      </c>
      <c r="P42" s="2920">
        <f t="shared" si="133"/>
        <v>-5.7999999999999996E-3</v>
      </c>
      <c r="Q42" s="2920">
        <f t="shared" si="133"/>
        <v>-2E-3</v>
      </c>
      <c r="R42" s="2903"/>
      <c r="S42" s="2902"/>
      <c r="T42" s="2888"/>
      <c r="U42" s="2888"/>
      <c r="V42" s="2888"/>
    </row>
    <row r="43" spans="1:26" ht="13.5" thickBot="1">
      <c r="A43" s="2899" t="s">
        <v>2574</v>
      </c>
      <c r="B43" s="2900">
        <f t="shared" si="143"/>
        <v>276.29854502841971</v>
      </c>
      <c r="C43" s="2900">
        <f t="shared" si="143"/>
        <v>229.79023709833027</v>
      </c>
      <c r="D43" s="2900">
        <f t="shared" si="131"/>
        <v>229.79023709833027</v>
      </c>
      <c r="E43" s="2900">
        <f t="shared" si="144"/>
        <v>379.78759731655936</v>
      </c>
      <c r="F43" s="2900">
        <f t="shared" si="144"/>
        <v>211.32953905659235</v>
      </c>
      <c r="G43" s="3553">
        <v>2011</v>
      </c>
      <c r="H43" s="2901">
        <v>1</v>
      </c>
      <c r="I43" s="2901">
        <v>2.65</v>
      </c>
      <c r="J43" s="2901">
        <v>3.76</v>
      </c>
      <c r="K43" s="2901">
        <v>1.89</v>
      </c>
      <c r="L43" s="2907">
        <v>7.95</v>
      </c>
      <c r="N43" s="2904">
        <f t="shared" si="133"/>
        <v>2.6499999999999999E-2</v>
      </c>
      <c r="O43" s="2905">
        <f t="shared" si="133"/>
        <v>3.7599999999999995E-2</v>
      </c>
      <c r="P43" s="2905">
        <f t="shared" si="133"/>
        <v>1.89E-2</v>
      </c>
      <c r="Q43" s="2905">
        <f t="shared" si="133"/>
        <v>7.9500000000000001E-2</v>
      </c>
      <c r="R43" s="2903"/>
      <c r="S43" s="2904">
        <f>B43/B44-1</f>
        <v>2.713213765211786E-2</v>
      </c>
      <c r="T43" s="2905">
        <f>C43/C44-1</f>
        <v>3.9774828499231862E-2</v>
      </c>
      <c r="U43" s="2905">
        <f>E43/E44-1</f>
        <v>1.8197311840641772E-2</v>
      </c>
      <c r="V43" s="2905">
        <f>F43/F44-1</f>
        <v>7.8211933962205826E-2</v>
      </c>
      <c r="X43" s="2888"/>
      <c r="Y43" s="2888"/>
      <c r="Z43" s="2888"/>
    </row>
    <row r="44" spans="1:26" ht="13.5" thickBot="1">
      <c r="A44" s="2899" t="s">
        <v>2575</v>
      </c>
      <c r="B44" s="2921">
        <v>269</v>
      </c>
      <c r="C44" s="2921">
        <v>221</v>
      </c>
      <c r="D44" s="2921">
        <f t="shared" si="131"/>
        <v>221</v>
      </c>
      <c r="E44" s="2921">
        <v>373</v>
      </c>
      <c r="F44" s="2922">
        <v>196</v>
      </c>
      <c r="G44" s="3552">
        <v>2010</v>
      </c>
      <c r="H44" s="2923">
        <v>4</v>
      </c>
      <c r="I44" s="2923">
        <v>5.72</v>
      </c>
      <c r="J44" s="2923">
        <v>6.57</v>
      </c>
      <c r="K44" s="2923">
        <v>5.72</v>
      </c>
      <c r="L44" s="2924">
        <v>2.72</v>
      </c>
      <c r="N44" s="2902">
        <f t="shared" si="133"/>
        <v>5.7200000000000001E-2</v>
      </c>
      <c r="O44" s="2888">
        <f t="shared" si="133"/>
        <v>6.5700000000000008E-2</v>
      </c>
      <c r="P44" s="2888">
        <f t="shared" si="133"/>
        <v>5.7200000000000001E-2</v>
      </c>
      <c r="Q44" s="2888">
        <f t="shared" si="133"/>
        <v>2.7200000000000002E-2</v>
      </c>
      <c r="R44" s="2903"/>
      <c r="S44" s="2912"/>
      <c r="T44" s="2913"/>
      <c r="U44" s="2913"/>
      <c r="V44" s="2913"/>
      <c r="X44" s="2913"/>
      <c r="Y44" s="2913"/>
      <c r="Z44" s="2913"/>
    </row>
    <row r="45" spans="1:26">
      <c r="A45" s="2899" t="s">
        <v>2576</v>
      </c>
      <c r="B45" s="2900">
        <f t="shared" ref="B45:C47" si="145">B44/(1+N44)</f>
        <v>254.44570563753314</v>
      </c>
      <c r="C45" s="2900">
        <f t="shared" si="145"/>
        <v>207.37543398705074</v>
      </c>
      <c r="D45" s="2900">
        <f t="shared" si="131"/>
        <v>207.37543398705074</v>
      </c>
      <c r="E45" s="2900">
        <f t="shared" ref="E45:F47" si="146">E44/(1+P44)</f>
        <v>352.81876655315932</v>
      </c>
      <c r="F45" s="2900">
        <f t="shared" si="146"/>
        <v>190.809968847352</v>
      </c>
      <c r="G45" s="3550">
        <v>2010</v>
      </c>
      <c r="H45" s="2926">
        <v>3</v>
      </c>
      <c r="I45" s="2926">
        <v>4.7300000000000004</v>
      </c>
      <c r="J45" s="2926">
        <v>3.9</v>
      </c>
      <c r="K45" s="2926">
        <v>5.03</v>
      </c>
      <c r="L45" s="2927">
        <v>4.21</v>
      </c>
      <c r="N45" s="2902">
        <f t="shared" si="133"/>
        <v>4.7300000000000002E-2</v>
      </c>
      <c r="O45" s="2888">
        <f t="shared" si="133"/>
        <v>3.9E-2</v>
      </c>
      <c r="P45" s="2888">
        <f t="shared" si="133"/>
        <v>5.0300000000000004E-2</v>
      </c>
      <c r="Q45" s="2888">
        <f t="shared" si="133"/>
        <v>4.2099999999999999E-2</v>
      </c>
      <c r="R45" s="2903"/>
      <c r="S45" s="2902"/>
      <c r="T45" s="2888"/>
      <c r="U45" s="2888"/>
      <c r="V45" s="2888"/>
    </row>
    <row r="46" spans="1:26">
      <c r="A46" s="2899" t="s">
        <v>2577</v>
      </c>
      <c r="B46" s="2900">
        <f t="shared" si="145"/>
        <v>242.95398227588385</v>
      </c>
      <c r="C46" s="2900">
        <f t="shared" si="145"/>
        <v>199.59137053614126</v>
      </c>
      <c r="D46" s="2900">
        <f t="shared" si="131"/>
        <v>199.59137053614126</v>
      </c>
      <c r="E46" s="2900">
        <f t="shared" si="146"/>
        <v>335.92189522342125</v>
      </c>
      <c r="F46" s="2900">
        <f t="shared" si="146"/>
        <v>183.10139991109489</v>
      </c>
      <c r="G46" s="3550">
        <v>2010</v>
      </c>
      <c r="H46" s="2914">
        <v>2</v>
      </c>
      <c r="I46" s="2914">
        <v>4.6900000000000004</v>
      </c>
      <c r="J46" s="2914">
        <v>3.55</v>
      </c>
      <c r="K46" s="2914">
        <v>5.07</v>
      </c>
      <c r="L46" s="2915">
        <v>4.2300000000000004</v>
      </c>
      <c r="N46" s="2902">
        <f t="shared" si="133"/>
        <v>4.6900000000000004E-2</v>
      </c>
      <c r="O46" s="2888">
        <f t="shared" si="133"/>
        <v>3.5499999999999997E-2</v>
      </c>
      <c r="P46" s="2888">
        <f t="shared" si="133"/>
        <v>5.0700000000000002E-2</v>
      </c>
      <c r="Q46" s="2888">
        <f t="shared" si="133"/>
        <v>4.2300000000000004E-2</v>
      </c>
      <c r="R46" s="2903"/>
      <c r="S46" s="2902"/>
      <c r="T46" s="2888"/>
      <c r="U46" s="2888"/>
      <c r="V46" s="2888"/>
    </row>
    <row r="47" spans="1:26" ht="13.5" thickBot="1">
      <c r="A47" s="2899" t="s">
        <v>2578</v>
      </c>
      <c r="B47" s="2900">
        <f t="shared" si="145"/>
        <v>232.06990378821649</v>
      </c>
      <c r="C47" s="2900">
        <f t="shared" si="145"/>
        <v>192.74878854286936</v>
      </c>
      <c r="D47" s="2900">
        <f t="shared" si="131"/>
        <v>192.74878854286936</v>
      </c>
      <c r="E47" s="2900">
        <f t="shared" si="146"/>
        <v>319.71247284992984</v>
      </c>
      <c r="F47" s="2900">
        <f t="shared" si="146"/>
        <v>175.67053622862409</v>
      </c>
      <c r="G47" s="3553">
        <v>2010</v>
      </c>
      <c r="H47" s="2901">
        <v>1</v>
      </c>
      <c r="I47" s="2901">
        <v>5.4</v>
      </c>
      <c r="J47" s="2901">
        <v>3.2</v>
      </c>
      <c r="K47" s="2901">
        <v>6.16</v>
      </c>
      <c r="L47" s="2907">
        <v>4.51</v>
      </c>
      <c r="N47" s="2902">
        <f t="shared" si="133"/>
        <v>5.4000000000000006E-2</v>
      </c>
      <c r="O47" s="2888">
        <f t="shared" si="133"/>
        <v>3.2000000000000001E-2</v>
      </c>
      <c r="P47" s="2888">
        <f t="shared" si="133"/>
        <v>6.1600000000000002E-2</v>
      </c>
      <c r="Q47" s="2888">
        <f t="shared" si="133"/>
        <v>4.5100000000000001E-2</v>
      </c>
      <c r="R47" s="2903"/>
      <c r="S47" s="2904">
        <f>B47/B48-1</f>
        <v>5.4863199037347599E-2</v>
      </c>
      <c r="T47" s="2905">
        <f>C47/C48-1</f>
        <v>3.0742184721226584E-2</v>
      </c>
      <c r="U47" s="2905">
        <f>E47/E48-1</f>
        <v>6.2167683886810154E-2</v>
      </c>
      <c r="V47" s="2905">
        <f>F47/F48-1</f>
        <v>4.5657953741810031E-2</v>
      </c>
      <c r="X47" s="2888"/>
      <c r="Y47" s="2888"/>
      <c r="Z47" s="2888"/>
    </row>
    <row r="48" spans="1:26" ht="13.5" thickBot="1">
      <c r="A48" s="2899" t="s">
        <v>2579</v>
      </c>
      <c r="B48" s="2921">
        <v>220</v>
      </c>
      <c r="C48" s="2921">
        <v>187</v>
      </c>
      <c r="D48" s="2921">
        <f t="shared" si="131"/>
        <v>187</v>
      </c>
      <c r="E48" s="2921">
        <v>301</v>
      </c>
      <c r="F48" s="2922">
        <v>168</v>
      </c>
      <c r="G48" s="3552">
        <v>2009</v>
      </c>
      <c r="H48" s="2923">
        <v>4</v>
      </c>
      <c r="I48" s="2923">
        <v>2.2999999999999998</v>
      </c>
      <c r="J48" s="2923">
        <v>1.04</v>
      </c>
      <c r="K48" s="2923">
        <v>2.84</v>
      </c>
      <c r="L48" s="2924">
        <v>0.67</v>
      </c>
      <c r="N48" s="2918">
        <f t="shared" si="133"/>
        <v>2.3E-2</v>
      </c>
      <c r="O48" s="2919">
        <f t="shared" si="133"/>
        <v>1.04E-2</v>
      </c>
      <c r="P48" s="2919">
        <f t="shared" si="133"/>
        <v>2.8399999999999998E-2</v>
      </c>
      <c r="Q48" s="2919">
        <f t="shared" si="133"/>
        <v>6.7000000000000002E-3</v>
      </c>
      <c r="R48" s="2903"/>
      <c r="S48" s="2912"/>
      <c r="T48" s="2913"/>
      <c r="U48" s="2913"/>
      <c r="V48" s="2913"/>
      <c r="X48" s="2913"/>
      <c r="Y48" s="2913"/>
      <c r="Z48" s="2913"/>
    </row>
    <row r="49" spans="1:26">
      <c r="A49" s="2899" t="s">
        <v>2580</v>
      </c>
      <c r="B49" s="2900">
        <f t="shared" ref="B49:C51" si="147">B48/(1+N48)</f>
        <v>215.05376344086022</v>
      </c>
      <c r="C49" s="2900">
        <f t="shared" si="147"/>
        <v>185.0752177355503</v>
      </c>
      <c r="D49" s="2900">
        <f t="shared" si="131"/>
        <v>185.0752177355503</v>
      </c>
      <c r="E49" s="2900">
        <f t="shared" ref="E49:F51" si="148">E48/(1+P48)</f>
        <v>292.68767016725008</v>
      </c>
      <c r="F49" s="2900">
        <f t="shared" si="148"/>
        <v>166.88189132810174</v>
      </c>
      <c r="G49" s="3550">
        <v>2009</v>
      </c>
      <c r="H49" s="2926">
        <v>3</v>
      </c>
      <c r="I49" s="2926">
        <v>2.1</v>
      </c>
      <c r="J49" s="2926">
        <v>1.86</v>
      </c>
      <c r="K49" s="2926">
        <v>2.29</v>
      </c>
      <c r="L49" s="2927">
        <v>0.85</v>
      </c>
      <c r="N49" s="2902">
        <f t="shared" si="133"/>
        <v>2.1000000000000001E-2</v>
      </c>
      <c r="O49" s="2920">
        <f t="shared" si="133"/>
        <v>1.8600000000000002E-2</v>
      </c>
      <c r="P49" s="2920">
        <f t="shared" si="133"/>
        <v>2.29E-2</v>
      </c>
      <c r="Q49" s="2920">
        <f t="shared" si="133"/>
        <v>8.5000000000000006E-3</v>
      </c>
      <c r="R49" s="2903"/>
      <c r="S49" s="2902"/>
      <c r="T49" s="2888"/>
      <c r="U49" s="2888"/>
      <c r="V49" s="2888"/>
    </row>
    <row r="50" spans="1:26">
      <c r="A50" s="2899" t="s">
        <v>2581</v>
      </c>
      <c r="B50" s="2900">
        <f t="shared" si="147"/>
        <v>210.630522469011</v>
      </c>
      <c r="C50" s="2900">
        <f t="shared" si="147"/>
        <v>181.69567812247232</v>
      </c>
      <c r="D50" s="2900">
        <f t="shared" si="131"/>
        <v>181.69567812247232</v>
      </c>
      <c r="E50" s="2900">
        <f t="shared" si="148"/>
        <v>286.13517466736738</v>
      </c>
      <c r="F50" s="2900">
        <f t="shared" si="148"/>
        <v>165.47535084591149</v>
      </c>
      <c r="G50" s="3550">
        <v>2009</v>
      </c>
      <c r="H50" s="2914">
        <v>2</v>
      </c>
      <c r="I50" s="2914">
        <v>0.86</v>
      </c>
      <c r="J50" s="2914">
        <v>-1.1299999999999999</v>
      </c>
      <c r="K50" s="2914">
        <v>1.79</v>
      </c>
      <c r="L50" s="2915">
        <v>-2.0699999999999998</v>
      </c>
      <c r="N50" s="2902">
        <f t="shared" si="133"/>
        <v>8.6E-3</v>
      </c>
      <c r="O50" s="2920">
        <f t="shared" si="133"/>
        <v>-1.1299999999999999E-2</v>
      </c>
      <c r="P50" s="2920">
        <f t="shared" si="133"/>
        <v>1.7899999999999999E-2</v>
      </c>
      <c r="Q50" s="2920">
        <f t="shared" si="133"/>
        <v>-2.07E-2</v>
      </c>
      <c r="R50" s="2903"/>
      <c r="S50" s="2902"/>
      <c r="T50" s="2888"/>
      <c r="U50" s="2888"/>
      <c r="V50" s="2888"/>
    </row>
    <row r="51" spans="1:26">
      <c r="A51" s="2899" t="s">
        <v>2582</v>
      </c>
      <c r="B51" s="2900">
        <f t="shared" si="147"/>
        <v>208.83454537875372</v>
      </c>
      <c r="C51" s="2900">
        <f t="shared" si="147"/>
        <v>183.77230517090351</v>
      </c>
      <c r="D51" s="2900">
        <f t="shared" si="131"/>
        <v>183.77230517090351</v>
      </c>
      <c r="E51" s="2900">
        <f t="shared" si="148"/>
        <v>281.10342338870947</v>
      </c>
      <c r="F51" s="2900">
        <f t="shared" si="148"/>
        <v>168.97309388942256</v>
      </c>
      <c r="G51" s="3553">
        <v>2009</v>
      </c>
      <c r="H51" s="2901">
        <v>1</v>
      </c>
      <c r="I51" s="2901">
        <v>-2.64</v>
      </c>
      <c r="J51" s="2901">
        <v>-2.5299999999999998</v>
      </c>
      <c r="K51" s="2901">
        <v>-3.02</v>
      </c>
      <c r="L51" s="2907">
        <v>1.52</v>
      </c>
      <c r="N51" s="2904">
        <f t="shared" si="133"/>
        <v>-2.64E-2</v>
      </c>
      <c r="O51" s="2905">
        <f t="shared" si="133"/>
        <v>-2.53E-2</v>
      </c>
      <c r="P51" s="2905">
        <f t="shared" si="133"/>
        <v>-3.0200000000000001E-2</v>
      </c>
      <c r="Q51" s="2905">
        <f t="shared" si="133"/>
        <v>1.52E-2</v>
      </c>
      <c r="R51" s="2903"/>
      <c r="S51" s="2904">
        <f>B51/B52-1</f>
        <v>-2.4137638417038754E-2</v>
      </c>
      <c r="T51" s="2905">
        <f>C51/C52-1</f>
        <v>-2.248773845264096E-2</v>
      </c>
      <c r="U51" s="2905">
        <f>E51/E52-1</f>
        <v>-2.7323794502735366E-2</v>
      </c>
      <c r="V51" s="2905">
        <f>F51/F52-1</f>
        <v>1.7910204153148035E-2</v>
      </c>
      <c r="X51" s="2888"/>
      <c r="Y51" s="2888"/>
      <c r="Z51" s="2888"/>
    </row>
    <row r="52" spans="1:26" ht="13.5" thickBot="1">
      <c r="A52" s="2899" t="s">
        <v>2583</v>
      </c>
      <c r="B52" s="2949">
        <v>214</v>
      </c>
      <c r="C52" s="2949">
        <v>188</v>
      </c>
      <c r="D52" s="2949">
        <f t="shared" si="131"/>
        <v>188</v>
      </c>
      <c r="E52" s="2949">
        <v>289</v>
      </c>
      <c r="F52" s="2950">
        <v>166</v>
      </c>
      <c r="G52" s="3552">
        <v>2008</v>
      </c>
      <c r="H52" s="2923">
        <v>4</v>
      </c>
      <c r="I52" s="2923">
        <v>1.73</v>
      </c>
      <c r="J52" s="2923">
        <v>0.03</v>
      </c>
      <c r="K52" s="2923">
        <v>2.59</v>
      </c>
      <c r="L52" s="2924">
        <v>-1.66</v>
      </c>
      <c r="N52" s="2902">
        <f t="shared" si="133"/>
        <v>1.7299999999999999E-2</v>
      </c>
      <c r="O52" s="2888">
        <f t="shared" si="133"/>
        <v>2.9999999999999997E-4</v>
      </c>
      <c r="P52" s="2888">
        <f t="shared" si="133"/>
        <v>2.5899999999999999E-2</v>
      </c>
      <c r="Q52" s="2888">
        <f t="shared" si="133"/>
        <v>-1.66E-2</v>
      </c>
      <c r="R52" s="2903"/>
      <c r="S52" s="2912"/>
      <c r="T52" s="2913"/>
      <c r="U52" s="2913"/>
      <c r="V52" s="2913"/>
      <c r="X52" s="2913"/>
      <c r="Y52" s="2913"/>
      <c r="Z52" s="2913"/>
    </row>
    <row r="53" spans="1:26">
      <c r="A53" s="2899" t="s">
        <v>2584</v>
      </c>
      <c r="B53" s="2900">
        <f t="shared" ref="B53:C55" si="149">B52/(1+N52)</f>
        <v>210.36075887152265</v>
      </c>
      <c r="C53" s="2900">
        <f t="shared" si="149"/>
        <v>187.94361691492554</v>
      </c>
      <c r="D53" s="2900">
        <f t="shared" si="131"/>
        <v>187.94361691492554</v>
      </c>
      <c r="E53" s="2900">
        <f t="shared" ref="E53:F55" si="150">E52/(1+P52)</f>
        <v>281.70386977288234</v>
      </c>
      <c r="F53" s="2900">
        <f t="shared" si="150"/>
        <v>168.80211511083994</v>
      </c>
      <c r="G53" s="3550">
        <v>2008</v>
      </c>
      <c r="H53" s="2926">
        <v>3</v>
      </c>
      <c r="I53" s="2926">
        <v>1.96</v>
      </c>
      <c r="J53" s="2926">
        <v>2.36</v>
      </c>
      <c r="K53" s="2926">
        <v>1.82</v>
      </c>
      <c r="L53" s="2927">
        <v>2.2200000000000002</v>
      </c>
      <c r="N53" s="2902">
        <f t="shared" si="133"/>
        <v>1.9599999999999999E-2</v>
      </c>
      <c r="O53" s="2888">
        <f t="shared" si="133"/>
        <v>2.3599999999999999E-2</v>
      </c>
      <c r="P53" s="2888">
        <f t="shared" si="133"/>
        <v>1.8200000000000001E-2</v>
      </c>
      <c r="Q53" s="2888">
        <f t="shared" si="133"/>
        <v>2.2200000000000001E-2</v>
      </c>
      <c r="R53" s="2903"/>
      <c r="S53" s="2902"/>
      <c r="T53" s="2888"/>
      <c r="U53" s="2888"/>
      <c r="V53" s="2888"/>
    </row>
    <row r="54" spans="1:26">
      <c r="A54" s="2899" t="s">
        <v>2585</v>
      </c>
      <c r="B54" s="2900">
        <f t="shared" si="149"/>
        <v>206.31694671589116</v>
      </c>
      <c r="C54" s="2900">
        <f t="shared" si="149"/>
        <v>183.61041121036101</v>
      </c>
      <c r="D54" s="2900">
        <f t="shared" si="131"/>
        <v>183.61041121036101</v>
      </c>
      <c r="E54" s="2900">
        <f t="shared" si="150"/>
        <v>276.66850301795557</v>
      </c>
      <c r="F54" s="2900">
        <f t="shared" si="150"/>
        <v>165.1360938278614</v>
      </c>
      <c r="G54" s="3550">
        <v>2008</v>
      </c>
      <c r="H54" s="2914">
        <v>2</v>
      </c>
      <c r="I54" s="2914">
        <v>4.93</v>
      </c>
      <c r="J54" s="2914">
        <v>7.38</v>
      </c>
      <c r="K54" s="2914">
        <v>3.98</v>
      </c>
      <c r="L54" s="2915">
        <v>6.86</v>
      </c>
      <c r="N54" s="2902">
        <f t="shared" si="133"/>
        <v>4.9299999999999997E-2</v>
      </c>
      <c r="O54" s="2888">
        <f t="shared" si="133"/>
        <v>7.3800000000000004E-2</v>
      </c>
      <c r="P54" s="2888">
        <f t="shared" si="133"/>
        <v>3.9800000000000002E-2</v>
      </c>
      <c r="Q54" s="2888">
        <f t="shared" si="133"/>
        <v>6.8600000000000008E-2</v>
      </c>
      <c r="R54" s="2903"/>
      <c r="S54" s="2902"/>
      <c r="T54" s="2888"/>
      <c r="U54" s="2888"/>
      <c r="V54" s="2888"/>
    </row>
    <row r="55" spans="1:26" s="2955" customFormat="1" ht="13.5" thickBot="1">
      <c r="A55" s="2899" t="s">
        <v>2586</v>
      </c>
      <c r="B55" s="2952">
        <f t="shared" si="149"/>
        <v>196.62341248059772</v>
      </c>
      <c r="C55" s="2952">
        <f t="shared" si="149"/>
        <v>170.99125648199012</v>
      </c>
      <c r="D55" s="2952">
        <f t="shared" si="131"/>
        <v>170.99125648199012</v>
      </c>
      <c r="E55" s="2952">
        <f t="shared" si="150"/>
        <v>266.07857570490052</v>
      </c>
      <c r="F55" s="2952">
        <f t="shared" si="150"/>
        <v>154.53499328828505</v>
      </c>
      <c r="G55" s="3553">
        <v>2008</v>
      </c>
      <c r="H55" s="2953">
        <v>1</v>
      </c>
      <c r="I55" s="2953">
        <v>4.1399999999999997</v>
      </c>
      <c r="J55" s="2953">
        <v>3.45</v>
      </c>
      <c r="K55" s="2953">
        <v>4.95</v>
      </c>
      <c r="L55" s="2954">
        <v>4.82</v>
      </c>
      <c r="N55" s="2956">
        <f t="shared" si="133"/>
        <v>4.1399999999999999E-2</v>
      </c>
      <c r="O55" s="2957">
        <f t="shared" si="133"/>
        <v>3.4500000000000003E-2</v>
      </c>
      <c r="P55" s="2957">
        <f t="shared" si="133"/>
        <v>4.9500000000000002E-2</v>
      </c>
      <c r="Q55" s="2957">
        <f t="shared" si="133"/>
        <v>4.82E-2</v>
      </c>
      <c r="R55" s="2958"/>
      <c r="S55" s="2956">
        <f>B55/B56-1</f>
        <v>4.5869215322328349E-2</v>
      </c>
      <c r="T55" s="2957">
        <f>C55/C56-1</f>
        <v>3.6310645345394743E-2</v>
      </c>
      <c r="U55" s="2957">
        <f>E55/E56-1</f>
        <v>4.7553447657088688E-2</v>
      </c>
      <c r="V55" s="2957">
        <f>F55/F56-1</f>
        <v>4.4155360055980086E-2</v>
      </c>
      <c r="X55" s="2957"/>
      <c r="Y55" s="2957"/>
      <c r="Z55" s="2957"/>
    </row>
    <row r="56" spans="1:26" ht="13.5" thickBot="1">
      <c r="A56" s="2899" t="s">
        <v>2587</v>
      </c>
      <c r="B56" s="2921">
        <v>188</v>
      </c>
      <c r="C56" s="2921">
        <v>165</v>
      </c>
      <c r="D56" s="2921">
        <f t="shared" si="131"/>
        <v>165</v>
      </c>
      <c r="E56" s="2921">
        <v>254</v>
      </c>
      <c r="F56" s="2922">
        <v>148</v>
      </c>
      <c r="G56" s="3552">
        <v>2007</v>
      </c>
      <c r="H56" s="2959">
        <v>4</v>
      </c>
      <c r="I56" s="2959">
        <v>5.51</v>
      </c>
      <c r="J56" s="2959">
        <v>4.8899999999999997</v>
      </c>
      <c r="K56" s="2959">
        <v>6.43</v>
      </c>
      <c r="L56" s="2960">
        <v>5.36</v>
      </c>
      <c r="N56" s="2961">
        <f t="shared" ref="N56:O59" si="151">B56/B57-1</f>
        <v>4.1339718365245526E-2</v>
      </c>
      <c r="O56" s="2962">
        <f t="shared" si="151"/>
        <v>4.0324492593776018E-2</v>
      </c>
      <c r="P56" s="2962">
        <f t="shared" ref="P56:Q59" si="152">E56/E57-1</f>
        <v>6.1625555347990968E-2</v>
      </c>
      <c r="Q56" s="2962">
        <f t="shared" si="152"/>
        <v>4.6757569250590603E-2</v>
      </c>
      <c r="R56" s="2903"/>
      <c r="S56" s="2912"/>
      <c r="T56" s="2913"/>
      <c r="U56" s="2913"/>
      <c r="V56" s="2913"/>
      <c r="X56" s="2913"/>
      <c r="Y56" s="2913"/>
      <c r="Z56" s="2913"/>
    </row>
    <row r="57" spans="1:26">
      <c r="A57" s="2899" t="s">
        <v>2588</v>
      </c>
      <c r="B57" s="2900">
        <f t="shared" ref="B57:C59" si="153">B58+(B$56-B$60)*I57/SUM(I$56:I$59)</f>
        <v>180.5366651097618</v>
      </c>
      <c r="C57" s="2900">
        <f t="shared" si="153"/>
        <v>158.60435967302453</v>
      </c>
      <c r="D57" s="2900">
        <f t="shared" si="131"/>
        <v>158.60435967302453</v>
      </c>
      <c r="E57" s="2900">
        <f t="shared" ref="E57:F59" si="154">E58+(E$56-E$60)*K57/SUM(K$56:K$59)</f>
        <v>239.25573260785075</v>
      </c>
      <c r="F57" s="2900">
        <f t="shared" si="154"/>
        <v>141.38899430740037</v>
      </c>
      <c r="G57" s="3550">
        <v>2007</v>
      </c>
      <c r="H57" s="2926">
        <v>3</v>
      </c>
      <c r="I57" s="2926">
        <v>8.65</v>
      </c>
      <c r="J57" s="2926">
        <v>8.06</v>
      </c>
      <c r="K57" s="2926">
        <v>9.94</v>
      </c>
      <c r="L57" s="2927">
        <v>5.8</v>
      </c>
      <c r="N57" s="2961">
        <f t="shared" si="151"/>
        <v>6.940217571740015E-2</v>
      </c>
      <c r="O57" s="2962">
        <f t="shared" si="151"/>
        <v>7.1197482471153428E-2</v>
      </c>
      <c r="P57" s="2962">
        <f t="shared" si="152"/>
        <v>0.10529679922579582</v>
      </c>
      <c r="Q57" s="2962">
        <f t="shared" si="152"/>
        <v>5.3292245059512133E-2</v>
      </c>
      <c r="R57" s="2903"/>
      <c r="S57" s="2902"/>
      <c r="T57" s="2888"/>
      <c r="U57" s="2888"/>
      <c r="V57" s="2888"/>
      <c r="X57" s="2963"/>
      <c r="Y57" s="2963"/>
      <c r="Z57" s="2963"/>
    </row>
    <row r="58" spans="1:26">
      <c r="A58" s="2899" t="s">
        <v>2589</v>
      </c>
      <c r="B58" s="2900">
        <f t="shared" si="153"/>
        <v>168.82017748715555</v>
      </c>
      <c r="C58" s="2900">
        <f t="shared" si="153"/>
        <v>148.06267029972753</v>
      </c>
      <c r="D58" s="2900">
        <f t="shared" si="131"/>
        <v>148.06267029972753</v>
      </c>
      <c r="E58" s="2900">
        <f t="shared" si="154"/>
        <v>216.46288379323747</v>
      </c>
      <c r="F58" s="2900">
        <f t="shared" si="154"/>
        <v>134.23529411764704</v>
      </c>
      <c r="G58" s="3550">
        <v>2007</v>
      </c>
      <c r="H58" s="2914">
        <v>2</v>
      </c>
      <c r="I58" s="2914">
        <v>3.67</v>
      </c>
      <c r="J58" s="2914">
        <v>2.3199999999999998</v>
      </c>
      <c r="K58" s="2914">
        <v>5.0199999999999996</v>
      </c>
      <c r="L58" s="2915">
        <v>6.71</v>
      </c>
      <c r="N58" s="2961">
        <f t="shared" si="151"/>
        <v>3.0339138143848032E-2</v>
      </c>
      <c r="O58" s="2962">
        <f t="shared" si="151"/>
        <v>2.0922341588790472E-2</v>
      </c>
      <c r="P58" s="2962">
        <f t="shared" si="152"/>
        <v>5.6164796592717003E-2</v>
      </c>
      <c r="Q58" s="2962">
        <f t="shared" si="152"/>
        <v>6.5704536723887319E-2</v>
      </c>
      <c r="R58" s="2903"/>
      <c r="S58" s="2902"/>
      <c r="T58" s="2888"/>
      <c r="U58" s="2888"/>
      <c r="V58" s="2888"/>
      <c r="X58" s="2963"/>
      <c r="Y58" s="2963"/>
      <c r="Z58" s="2963"/>
    </row>
    <row r="59" spans="1:26">
      <c r="A59" s="2899" t="s">
        <v>2590</v>
      </c>
      <c r="B59" s="2900">
        <f t="shared" si="153"/>
        <v>163.84913591779542</v>
      </c>
      <c r="C59" s="2900">
        <f t="shared" si="153"/>
        <v>145.0283378746594</v>
      </c>
      <c r="D59" s="2900">
        <f t="shared" si="131"/>
        <v>145.0283378746594</v>
      </c>
      <c r="E59" s="2900">
        <f t="shared" si="154"/>
        <v>204.95180722891567</v>
      </c>
      <c r="F59" s="2900">
        <f t="shared" si="154"/>
        <v>125.95920303605313</v>
      </c>
      <c r="G59" s="3553">
        <v>2007</v>
      </c>
      <c r="H59" s="2901">
        <v>1</v>
      </c>
      <c r="I59" s="2901">
        <v>3.58</v>
      </c>
      <c r="J59" s="2901">
        <v>3.08</v>
      </c>
      <c r="K59" s="2901">
        <v>4.34</v>
      </c>
      <c r="L59" s="2907">
        <v>3.21</v>
      </c>
      <c r="N59" s="2964">
        <f t="shared" si="151"/>
        <v>3.0497710174814063E-2</v>
      </c>
      <c r="O59" s="2965">
        <f t="shared" si="151"/>
        <v>2.8569772160704998E-2</v>
      </c>
      <c r="P59" s="2965">
        <f t="shared" si="152"/>
        <v>5.1034908866234296E-2</v>
      </c>
      <c r="Q59" s="2965">
        <f t="shared" si="152"/>
        <v>3.245248390207478E-2</v>
      </c>
      <c r="R59" s="2903"/>
      <c r="S59" s="2904">
        <f>B59/B60-1</f>
        <v>3.0497710174814063E-2</v>
      </c>
      <c r="T59" s="2905">
        <f>C59/C60-1</f>
        <v>2.8569772160704998E-2</v>
      </c>
      <c r="U59" s="2905">
        <f>E59/E60-1</f>
        <v>5.1034908866234296E-2</v>
      </c>
      <c r="V59" s="2905">
        <f>F59/F60-1</f>
        <v>3.245248390207478E-2</v>
      </c>
      <c r="X59" s="2963"/>
      <c r="Y59" s="2963"/>
      <c r="Z59" s="2963"/>
    </row>
    <row r="60" spans="1:26" ht="13.5" thickBot="1">
      <c r="A60" s="2899" t="s">
        <v>2591</v>
      </c>
      <c r="B60" s="2928">
        <v>159</v>
      </c>
      <c r="C60" s="2928">
        <v>141</v>
      </c>
      <c r="D60" s="2928">
        <f t="shared" si="131"/>
        <v>141</v>
      </c>
      <c r="E60" s="2928">
        <v>195</v>
      </c>
      <c r="F60" s="2929">
        <v>122</v>
      </c>
      <c r="G60" s="3552">
        <v>2006</v>
      </c>
      <c r="H60" s="2923">
        <v>4</v>
      </c>
      <c r="I60" s="2923">
        <v>3.79</v>
      </c>
      <c r="J60" s="2923">
        <v>2.21</v>
      </c>
      <c r="K60" s="2923">
        <v>5.65</v>
      </c>
      <c r="L60" s="2924">
        <v>5.41</v>
      </c>
      <c r="N60" s="2961">
        <f t="shared" ref="N60:O63" si="155">I60/SUM(I$60:I$63)*(B$60/B$64-1)</f>
        <v>7.245466462748526E-2</v>
      </c>
      <c r="O60" s="2962">
        <f t="shared" si="155"/>
        <v>2.3237230038062766E-2</v>
      </c>
      <c r="P60" s="2962">
        <f t="shared" ref="P60:Q63" si="156">K60/SUM(K$60:K$63)*(E$60/E$64-1)</f>
        <v>0.16146893866323722</v>
      </c>
      <c r="Q60" s="2962">
        <f t="shared" si="156"/>
        <v>5.0755230321793784E-2</v>
      </c>
      <c r="R60" s="2903"/>
      <c r="S60" s="2912"/>
      <c r="T60" s="2913"/>
      <c r="U60" s="2913"/>
      <c r="V60" s="2913"/>
      <c r="X60" s="2963"/>
      <c r="Y60" s="2963"/>
      <c r="Z60" s="2963"/>
    </row>
    <row r="61" spans="1:26">
      <c r="A61" s="2899" t="s">
        <v>2592</v>
      </c>
      <c r="B61" s="2900">
        <f t="shared" ref="B61:C63" si="157">B62+(B$60-B$64)*I61/SUM(I$60:I$63)</f>
        <v>149.00125628140702</v>
      </c>
      <c r="C61" s="2900">
        <f t="shared" si="157"/>
        <v>137.95592286501378</v>
      </c>
      <c r="D61" s="2900">
        <f t="shared" si="131"/>
        <v>137.95592286501378</v>
      </c>
      <c r="E61" s="2900">
        <f t="shared" ref="E61:F63" si="158">E62+(E$60-E$64)*K61/SUM(K$60:K$63)</f>
        <v>169.97231450719823</v>
      </c>
      <c r="F61" s="2900">
        <f t="shared" si="158"/>
        <v>116.21390374331551</v>
      </c>
      <c r="G61" s="3550">
        <v>2006</v>
      </c>
      <c r="H61" s="2926">
        <v>3</v>
      </c>
      <c r="I61" s="2926">
        <v>0.92</v>
      </c>
      <c r="J61" s="2926">
        <v>1.08</v>
      </c>
      <c r="K61" s="2926">
        <v>0.73</v>
      </c>
      <c r="L61" s="2927">
        <v>1.08</v>
      </c>
      <c r="N61" s="2961">
        <f t="shared" si="155"/>
        <v>1.7587939698492462E-2</v>
      </c>
      <c r="O61" s="2962">
        <f t="shared" si="155"/>
        <v>1.1355750425840628E-2</v>
      </c>
      <c r="P61" s="2962">
        <f t="shared" si="156"/>
        <v>2.0862358446754544E-2</v>
      </c>
      <c r="Q61" s="2962">
        <f t="shared" si="156"/>
        <v>1.0132282578103011E-2</v>
      </c>
      <c r="R61" s="2903"/>
      <c r="S61" s="2902"/>
      <c r="T61" s="2888"/>
      <c r="U61" s="2888"/>
      <c r="V61" s="2888"/>
      <c r="X61" s="2963"/>
      <c r="Y61" s="2963"/>
      <c r="Z61" s="2963"/>
    </row>
    <row r="62" spans="1:26">
      <c r="A62" s="2899" t="s">
        <v>2593</v>
      </c>
      <c r="B62" s="2900">
        <f t="shared" si="157"/>
        <v>146.57412060301507</v>
      </c>
      <c r="C62" s="2900">
        <f t="shared" si="157"/>
        <v>136.46831955922866</v>
      </c>
      <c r="D62" s="2900">
        <f t="shared" si="131"/>
        <v>136.46831955922866</v>
      </c>
      <c r="E62" s="2900">
        <f t="shared" si="158"/>
        <v>166.73864894795128</v>
      </c>
      <c r="F62" s="2900">
        <f t="shared" si="158"/>
        <v>115.05882352941177</v>
      </c>
      <c r="G62" s="3550">
        <v>2006</v>
      </c>
      <c r="H62" s="2914">
        <v>2</v>
      </c>
      <c r="I62" s="2914">
        <v>0.96</v>
      </c>
      <c r="J62" s="2914">
        <v>0.25</v>
      </c>
      <c r="K62" s="2914">
        <v>1.9</v>
      </c>
      <c r="L62" s="2915">
        <v>0.95</v>
      </c>
      <c r="N62" s="2961">
        <f t="shared" si="155"/>
        <v>1.8352632728861701E-2</v>
      </c>
      <c r="O62" s="2962">
        <f t="shared" si="155"/>
        <v>2.6286459319075526E-3</v>
      </c>
      <c r="P62" s="2962">
        <f t="shared" si="156"/>
        <v>5.4299289107991269E-2</v>
      </c>
      <c r="Q62" s="2962">
        <f t="shared" si="156"/>
        <v>8.9126559714794995E-3</v>
      </c>
      <c r="R62" s="2903"/>
      <c r="S62" s="2902"/>
      <c r="T62" s="2888"/>
      <c r="U62" s="2888"/>
      <c r="V62" s="2888"/>
      <c r="X62" s="2963"/>
      <c r="Y62" s="2963"/>
      <c r="Z62" s="2963"/>
    </row>
    <row r="63" spans="1:26">
      <c r="A63" s="2899" t="s">
        <v>2594</v>
      </c>
      <c r="B63" s="2900">
        <f t="shared" si="157"/>
        <v>144.04145728643215</v>
      </c>
      <c r="C63" s="2900">
        <f t="shared" si="157"/>
        <v>136.12396694214877</v>
      </c>
      <c r="D63" s="2900">
        <f t="shared" si="131"/>
        <v>136.12396694214877</v>
      </c>
      <c r="E63" s="2900">
        <f t="shared" si="158"/>
        <v>158.32225913621264</v>
      </c>
      <c r="F63" s="2900">
        <f t="shared" si="158"/>
        <v>114.04278074866311</v>
      </c>
      <c r="G63" s="3553">
        <v>2006</v>
      </c>
      <c r="H63" s="2901">
        <v>1</v>
      </c>
      <c r="I63" s="2901">
        <v>2.29</v>
      </c>
      <c r="J63" s="2901">
        <v>3.72</v>
      </c>
      <c r="K63" s="2901">
        <v>0.75</v>
      </c>
      <c r="L63" s="2907">
        <v>0.04</v>
      </c>
      <c r="N63" s="2964">
        <f t="shared" si="155"/>
        <v>4.3778675988638847E-2</v>
      </c>
      <c r="O63" s="2965">
        <f t="shared" si="155"/>
        <v>3.9114251466784385E-2</v>
      </c>
      <c r="P63" s="2965">
        <f t="shared" si="156"/>
        <v>2.1433929911049188E-2</v>
      </c>
      <c r="Q63" s="2965">
        <f t="shared" si="156"/>
        <v>3.7526972511492629E-4</v>
      </c>
      <c r="R63" s="2903"/>
      <c r="S63" s="2904">
        <f>B63/B64-1</f>
        <v>4.3778675988638716E-2</v>
      </c>
      <c r="T63" s="2905">
        <f>C63/C64-1</f>
        <v>3.91142514667846E-2</v>
      </c>
      <c r="U63" s="2905">
        <f>E63/E64-1</f>
        <v>2.143392991104931E-2</v>
      </c>
      <c r="V63" s="2905">
        <f>F63/F64-1</f>
        <v>3.7526972511492396E-4</v>
      </c>
      <c r="X63" s="2963"/>
      <c r="Y63" s="2963"/>
      <c r="Z63" s="2963"/>
    </row>
    <row r="64" spans="1:26" ht="13.5" thickBot="1">
      <c r="A64" s="2899" t="s">
        <v>2595</v>
      </c>
      <c r="B64" s="2928">
        <v>138</v>
      </c>
      <c r="C64" s="2928">
        <v>131</v>
      </c>
      <c r="D64" s="2928">
        <f t="shared" si="131"/>
        <v>131</v>
      </c>
      <c r="E64" s="2928">
        <v>155</v>
      </c>
      <c r="F64" s="2929">
        <v>114</v>
      </c>
      <c r="G64" s="3552">
        <v>2005</v>
      </c>
      <c r="H64" s="2923">
        <v>4</v>
      </c>
      <c r="I64" s="2923">
        <v>3.29</v>
      </c>
      <c r="J64" s="2923">
        <v>1.44</v>
      </c>
      <c r="K64" s="2923">
        <v>0.66</v>
      </c>
      <c r="L64" s="2924">
        <v>7.78</v>
      </c>
      <c r="N64" s="2961">
        <f t="shared" ref="N64:O67" si="159">I64/SUM(I$64:I$67)*(B$64/B$68-1)</f>
        <v>9.9404603216919935E-2</v>
      </c>
      <c r="O64" s="2962">
        <f t="shared" si="159"/>
        <v>4.7636550760861554E-2</v>
      </c>
      <c r="P64" s="2962">
        <f t="shared" ref="P64:Q67" si="160">K64/SUM(K$64:K$67)*(E$64/E$68-1)</f>
        <v>8.3756345177664976E-2</v>
      </c>
      <c r="Q64" s="2962">
        <f t="shared" si="160"/>
        <v>5.2148766661559584E-2</v>
      </c>
      <c r="R64" s="2903"/>
      <c r="S64" s="2912"/>
      <c r="T64" s="2913"/>
      <c r="U64" s="2913"/>
      <c r="V64" s="2913"/>
      <c r="X64" s="2963"/>
      <c r="Y64" s="2963"/>
      <c r="Z64" s="2963"/>
    </row>
    <row r="65" spans="1:26">
      <c r="A65" s="2899" t="s">
        <v>2596</v>
      </c>
      <c r="B65" s="2900">
        <f t="shared" ref="B65:C67" si="161">B66+(B$64-B$68)*I65/SUM(I$64:I$67)</f>
        <v>125.9720430107527</v>
      </c>
      <c r="C65" s="2900">
        <f t="shared" si="161"/>
        <v>125.1883408071749</v>
      </c>
      <c r="D65" s="2900">
        <f t="shared" si="131"/>
        <v>125.1883408071749</v>
      </c>
      <c r="E65" s="2900">
        <f t="shared" ref="E65:F67" si="162">E66+(E$64-E$68)*K65/SUM(K$64:K$67)</f>
        <v>144.61421319796952</v>
      </c>
      <c r="F65" s="2900">
        <f t="shared" si="162"/>
        <v>108.42008196721311</v>
      </c>
      <c r="G65" s="3550">
        <v>2005</v>
      </c>
      <c r="H65" s="2926">
        <v>3</v>
      </c>
      <c r="I65" s="2926">
        <v>0.46</v>
      </c>
      <c r="J65" s="2926">
        <v>0.32</v>
      </c>
      <c r="K65" s="2926">
        <v>0.42</v>
      </c>
      <c r="L65" s="2927">
        <v>0.64</v>
      </c>
      <c r="N65" s="2961">
        <f t="shared" si="159"/>
        <v>1.3898515951301874E-2</v>
      </c>
      <c r="O65" s="2962">
        <f t="shared" si="159"/>
        <v>1.0585900169080346E-2</v>
      </c>
      <c r="P65" s="2962">
        <f t="shared" si="160"/>
        <v>5.3299492385786795E-2</v>
      </c>
      <c r="Q65" s="2962">
        <f t="shared" si="160"/>
        <v>4.2898728359123568E-3</v>
      </c>
      <c r="R65" s="2903"/>
      <c r="S65" s="2902"/>
      <c r="T65" s="2888"/>
      <c r="U65" s="2888"/>
      <c r="V65" s="2888"/>
      <c r="X65" s="2963"/>
      <c r="Y65" s="2963"/>
      <c r="Z65" s="2963"/>
    </row>
    <row r="66" spans="1:26">
      <c r="A66" s="2899" t="s">
        <v>2597</v>
      </c>
      <c r="B66" s="2900">
        <f t="shared" si="161"/>
        <v>124.29032258064517</v>
      </c>
      <c r="C66" s="2900">
        <f t="shared" si="161"/>
        <v>123.8968609865471</v>
      </c>
      <c r="D66" s="2900">
        <f t="shared" si="131"/>
        <v>123.8968609865471</v>
      </c>
      <c r="E66" s="2900">
        <f t="shared" si="162"/>
        <v>138.00507614213197</v>
      </c>
      <c r="F66" s="2900">
        <f t="shared" si="162"/>
        <v>107.96106557377048</v>
      </c>
      <c r="G66" s="3550">
        <v>2005</v>
      </c>
      <c r="H66" s="2914">
        <v>2</v>
      </c>
      <c r="I66" s="2914">
        <v>0.47</v>
      </c>
      <c r="J66" s="2914">
        <v>0.1</v>
      </c>
      <c r="K66" s="2914">
        <v>0.52</v>
      </c>
      <c r="L66" s="2915">
        <v>0.79</v>
      </c>
      <c r="N66" s="2961">
        <f t="shared" si="159"/>
        <v>1.420065760241713E-2</v>
      </c>
      <c r="O66" s="2962">
        <f t="shared" si="159"/>
        <v>3.3080938028376083E-3</v>
      </c>
      <c r="P66" s="2962">
        <f t="shared" si="160"/>
        <v>6.598984771573603E-2</v>
      </c>
      <c r="Q66" s="2962">
        <f t="shared" si="160"/>
        <v>5.2953117818293153E-3</v>
      </c>
      <c r="R66" s="2903"/>
      <c r="S66" s="2902"/>
      <c r="T66" s="2888"/>
      <c r="U66" s="2888"/>
      <c r="V66" s="2888"/>
      <c r="X66" s="2963"/>
      <c r="Y66" s="2963"/>
      <c r="Z66" s="2963"/>
    </row>
    <row r="67" spans="1:26">
      <c r="A67" s="2899" t="s">
        <v>2598</v>
      </c>
      <c r="B67" s="2900">
        <f t="shared" si="161"/>
        <v>122.57204301075269</v>
      </c>
      <c r="C67" s="2900">
        <f t="shared" si="161"/>
        <v>123.4932735426009</v>
      </c>
      <c r="D67" s="2900">
        <f t="shared" si="131"/>
        <v>123.4932735426009</v>
      </c>
      <c r="E67" s="2900">
        <f t="shared" si="162"/>
        <v>129.82233502538071</v>
      </c>
      <c r="F67" s="2900">
        <f t="shared" si="162"/>
        <v>107.39446721311475</v>
      </c>
      <c r="G67" s="3553">
        <v>2005</v>
      </c>
      <c r="H67" s="2901">
        <v>1</v>
      </c>
      <c r="I67" s="2901">
        <v>0.43</v>
      </c>
      <c r="J67" s="2901">
        <v>0.37</v>
      </c>
      <c r="K67" s="2901">
        <v>0.37</v>
      </c>
      <c r="L67" s="2907">
        <v>0.55000000000000004</v>
      </c>
      <c r="N67" s="2964">
        <f t="shared" si="159"/>
        <v>1.2992090997956099E-2</v>
      </c>
      <c r="O67" s="2965">
        <f t="shared" si="159"/>
        <v>1.2239947070499151E-2</v>
      </c>
      <c r="P67" s="2965">
        <f t="shared" si="160"/>
        <v>4.6954314720812178E-2</v>
      </c>
      <c r="Q67" s="2965">
        <f t="shared" si="160"/>
        <v>3.6866094683621815E-3</v>
      </c>
      <c r="R67" s="2903"/>
      <c r="S67" s="2904">
        <f>B67/B68-1</f>
        <v>1.2992090997956174E-2</v>
      </c>
      <c r="T67" s="2905">
        <f>C67/C68-1</f>
        <v>1.2239947070499246E-2</v>
      </c>
      <c r="U67" s="2905">
        <f>E67/E68-1</f>
        <v>4.695431472081224E-2</v>
      </c>
      <c r="V67" s="2905">
        <f>F67/F68-1</f>
        <v>3.6866094683620787E-3</v>
      </c>
      <c r="X67" s="2963"/>
      <c r="Y67" s="2963"/>
      <c r="Z67" s="2963"/>
    </row>
    <row r="68" spans="1:26" ht="13.5" thickBot="1">
      <c r="A68" s="2899" t="s">
        <v>2599</v>
      </c>
      <c r="B68" s="2949">
        <v>121</v>
      </c>
      <c r="C68" s="2949">
        <v>122</v>
      </c>
      <c r="D68" s="2949">
        <f t="shared" si="131"/>
        <v>122</v>
      </c>
      <c r="E68" s="2949">
        <v>124</v>
      </c>
      <c r="F68" s="2950">
        <v>107</v>
      </c>
      <c r="G68" s="3552">
        <v>2004</v>
      </c>
      <c r="H68" s="2923">
        <v>4</v>
      </c>
      <c r="I68" s="2923">
        <v>0.33</v>
      </c>
      <c r="J68" s="2923">
        <v>0.5</v>
      </c>
      <c r="K68" s="2923">
        <v>0.5</v>
      </c>
      <c r="L68" s="2924">
        <v>0</v>
      </c>
      <c r="N68" s="2961">
        <f t="shared" ref="N68:O71" si="163">I68/SUM(I$68:I$71)*(B$68/B$72-1)</f>
        <v>1.3391770148526898E-2</v>
      </c>
      <c r="O68" s="2962">
        <f t="shared" si="163"/>
        <v>1.063264221158958E-2</v>
      </c>
      <c r="P68" s="2962">
        <f t="shared" ref="P68:Q71" si="164">K68/SUM(K$68:K$71)*(E$68/E$72-1)</f>
        <v>2.2244466688911134E-2</v>
      </c>
      <c r="Q68" s="2962">
        <f t="shared" si="164"/>
        <v>0</v>
      </c>
      <c r="R68" s="2903"/>
      <c r="S68" s="2912"/>
      <c r="T68" s="2913"/>
      <c r="U68" s="2913"/>
      <c r="V68" s="2913"/>
      <c r="X68" s="2963"/>
      <c r="Y68" s="2963"/>
      <c r="Z68" s="2963"/>
    </row>
    <row r="69" spans="1:26">
      <c r="A69" s="2899" t="s">
        <v>2600</v>
      </c>
      <c r="B69" s="2900">
        <f t="shared" ref="B69:C71" si="165">B70+(B$68-B$72)*I69/SUM(I$68:I$71)</f>
        <v>119.51351351351352</v>
      </c>
      <c r="C69" s="2900">
        <f t="shared" si="165"/>
        <v>120.7878787878788</v>
      </c>
      <c r="D69" s="2900">
        <f t="shared" si="131"/>
        <v>120.7878787878788</v>
      </c>
      <c r="E69" s="2900">
        <f t="shared" ref="E69:F71" si="166">E70+(E$68-E$72)*K69/SUM(K$68:K$71)</f>
        <v>121.5975975975976</v>
      </c>
      <c r="F69" s="2900">
        <f t="shared" si="166"/>
        <v>107</v>
      </c>
      <c r="G69" s="3550">
        <v>2004</v>
      </c>
      <c r="H69" s="2926">
        <v>3</v>
      </c>
      <c r="I69" s="2926">
        <v>0.56000000000000005</v>
      </c>
      <c r="J69" s="2926">
        <v>0.8</v>
      </c>
      <c r="K69" s="2926">
        <v>0.83</v>
      </c>
      <c r="L69" s="2927">
        <v>0.06</v>
      </c>
      <c r="N69" s="2961">
        <f t="shared" si="163"/>
        <v>2.2725428130833527E-2</v>
      </c>
      <c r="O69" s="2962">
        <f t="shared" si="163"/>
        <v>1.7012227538543329E-2</v>
      </c>
      <c r="P69" s="2962">
        <f t="shared" si="164"/>
        <v>3.6925814703592477E-2</v>
      </c>
      <c r="Q69" s="2962">
        <f t="shared" si="164"/>
        <v>2.8846153846153744E-2</v>
      </c>
      <c r="R69" s="2903"/>
      <c r="S69" s="2902"/>
      <c r="T69" s="2888"/>
      <c r="U69" s="2888"/>
      <c r="V69" s="2888"/>
      <c r="X69" s="2963"/>
      <c r="Y69" s="2963"/>
      <c r="Z69" s="2963"/>
    </row>
    <row r="70" spans="1:26">
      <c r="A70" s="2899" t="s">
        <v>2601</v>
      </c>
      <c r="B70" s="2900">
        <f t="shared" si="165"/>
        <v>116.99099099099099</v>
      </c>
      <c r="C70" s="2900">
        <f t="shared" si="165"/>
        <v>118.84848484848486</v>
      </c>
      <c r="D70" s="2900">
        <f t="shared" si="131"/>
        <v>118.84848484848486</v>
      </c>
      <c r="E70" s="2900">
        <f t="shared" si="166"/>
        <v>117.60960960960961</v>
      </c>
      <c r="F70" s="2900">
        <f t="shared" si="166"/>
        <v>104</v>
      </c>
      <c r="G70" s="3550">
        <v>2004</v>
      </c>
      <c r="H70" s="2914">
        <v>2</v>
      </c>
      <c r="I70" s="2914">
        <v>1</v>
      </c>
      <c r="J70" s="2914">
        <v>1.5</v>
      </c>
      <c r="K70" s="2914">
        <v>1.5</v>
      </c>
      <c r="L70" s="2915">
        <v>0</v>
      </c>
      <c r="N70" s="2961">
        <f t="shared" si="163"/>
        <v>4.0581121662202721E-2</v>
      </c>
      <c r="O70" s="2962">
        <f t="shared" si="163"/>
        <v>3.1897926634768738E-2</v>
      </c>
      <c r="P70" s="2962">
        <f t="shared" si="164"/>
        <v>6.6733400066733395E-2</v>
      </c>
      <c r="Q70" s="2962">
        <f t="shared" si="164"/>
        <v>0</v>
      </c>
      <c r="R70" s="2903"/>
      <c r="S70" s="2902"/>
      <c r="T70" s="2888"/>
      <c r="U70" s="2888"/>
      <c r="V70" s="2888"/>
      <c r="X70" s="2963"/>
      <c r="Y70" s="2963"/>
      <c r="Z70" s="2963"/>
    </row>
    <row r="71" spans="1:26" s="2955" customFormat="1" ht="13.5" thickBot="1">
      <c r="A71" s="2899" t="s">
        <v>2602</v>
      </c>
      <c r="B71" s="2952">
        <f t="shared" si="165"/>
        <v>112.48648648648648</v>
      </c>
      <c r="C71" s="2952">
        <f t="shared" si="165"/>
        <v>115.21212121212122</v>
      </c>
      <c r="D71" s="2952">
        <f t="shared" si="131"/>
        <v>115.21212121212122</v>
      </c>
      <c r="E71" s="2952">
        <f t="shared" si="166"/>
        <v>110.4024024024024</v>
      </c>
      <c r="F71" s="2952">
        <f t="shared" si="166"/>
        <v>104</v>
      </c>
      <c r="G71" s="3553">
        <v>2004</v>
      </c>
      <c r="H71" s="2953">
        <v>1</v>
      </c>
      <c r="I71" s="2953">
        <v>0.33</v>
      </c>
      <c r="J71" s="2953">
        <v>0.5</v>
      </c>
      <c r="K71" s="2953">
        <v>0.5</v>
      </c>
      <c r="L71" s="2954">
        <v>0</v>
      </c>
      <c r="N71" s="2966">
        <f t="shared" si="163"/>
        <v>1.3391770148526898E-2</v>
      </c>
      <c r="O71" s="2967">
        <f t="shared" si="163"/>
        <v>1.063264221158958E-2</v>
      </c>
      <c r="P71" s="2967">
        <f t="shared" si="164"/>
        <v>2.2244466688911134E-2</v>
      </c>
      <c r="Q71" s="2967">
        <f t="shared" si="164"/>
        <v>0</v>
      </c>
      <c r="R71" s="2958"/>
      <c r="S71" s="2956">
        <f>B71/B72-1</f>
        <v>1.3391770148526883E-2</v>
      </c>
      <c r="T71" s="2957">
        <f>C71/C72-1</f>
        <v>1.063264221158966E-2</v>
      </c>
      <c r="U71" s="2957">
        <f>E71/E72-1</f>
        <v>2.2244466688911224E-2</v>
      </c>
      <c r="V71" s="2957">
        <f>F71/F72-1</f>
        <v>0</v>
      </c>
      <c r="X71" s="2968"/>
      <c r="Y71" s="2968"/>
      <c r="Z71" s="2968"/>
    </row>
    <row r="72" spans="1:26" ht="13.5" thickBot="1">
      <c r="A72" s="2899" t="s">
        <v>2603</v>
      </c>
      <c r="B72" s="2969">
        <v>111</v>
      </c>
      <c r="C72" s="2969">
        <v>114</v>
      </c>
      <c r="D72" s="2969">
        <f t="shared" si="131"/>
        <v>114</v>
      </c>
      <c r="E72" s="2969">
        <v>108</v>
      </c>
      <c r="F72" s="2970">
        <v>104</v>
      </c>
      <c r="G72" s="3552">
        <v>2003</v>
      </c>
      <c r="H72" s="2959">
        <v>4</v>
      </c>
      <c r="I72" s="2971"/>
      <c r="J72" s="2971"/>
      <c r="K72" s="2971"/>
      <c r="L72" s="2971"/>
      <c r="N72" s="2972"/>
      <c r="O72" s="2971"/>
      <c r="P72" s="2971"/>
      <c r="Q72" s="2971"/>
      <c r="S72" s="2972"/>
      <c r="T72" s="2971"/>
      <c r="U72" s="2971"/>
      <c r="V72" s="2971"/>
      <c r="X72" s="2963"/>
      <c r="Y72" s="2963"/>
      <c r="Z72" s="2963"/>
    </row>
    <row r="73" spans="1:26">
      <c r="A73" s="2899" t="s">
        <v>2604</v>
      </c>
      <c r="B73" s="2973">
        <f t="shared" ref="B73:C75" si="167">B74+(B$72-B$76)/4</f>
        <v>109.75</v>
      </c>
      <c r="C73" s="2973">
        <f t="shared" si="167"/>
        <v>112.25</v>
      </c>
      <c r="D73" s="2973">
        <f t="shared" si="131"/>
        <v>112.25</v>
      </c>
      <c r="E73" s="2973">
        <f t="shared" ref="E73:F75" si="168">E74+(E$72-E$76)/4</f>
        <v>107.25</v>
      </c>
      <c r="F73" s="2973">
        <f t="shared" si="168"/>
        <v>103.5</v>
      </c>
      <c r="G73" s="3550">
        <v>2003</v>
      </c>
      <c r="H73" s="2926">
        <v>3</v>
      </c>
      <c r="I73" s="2971"/>
      <c r="J73" s="2971"/>
      <c r="K73" s="2971"/>
      <c r="L73" s="2971"/>
      <c r="X73" s="2963"/>
      <c r="Y73" s="2963"/>
      <c r="Z73" s="2963"/>
    </row>
    <row r="74" spans="1:26">
      <c r="A74" s="2899" t="s">
        <v>2605</v>
      </c>
      <c r="B74" s="2973">
        <f t="shared" si="167"/>
        <v>108.5</v>
      </c>
      <c r="C74" s="2973">
        <f t="shared" si="167"/>
        <v>110.5</v>
      </c>
      <c r="D74" s="2973">
        <f t="shared" si="131"/>
        <v>110.5</v>
      </c>
      <c r="E74" s="2973">
        <f t="shared" si="168"/>
        <v>106.5</v>
      </c>
      <c r="F74" s="2973">
        <f t="shared" si="168"/>
        <v>103</v>
      </c>
      <c r="G74" s="3550">
        <v>2003</v>
      </c>
      <c r="H74" s="2914">
        <v>2</v>
      </c>
      <c r="I74" s="2971"/>
      <c r="J74" s="2971"/>
      <c r="K74" s="2971"/>
      <c r="L74" s="2971"/>
      <c r="X74" s="2963"/>
      <c r="Y74" s="2963"/>
      <c r="Z74" s="2963"/>
    </row>
    <row r="75" spans="1:26" ht="13.5" thickBot="1">
      <c r="A75" s="2899" t="s">
        <v>2606</v>
      </c>
      <c r="B75" s="2973">
        <f t="shared" si="167"/>
        <v>107.25</v>
      </c>
      <c r="C75" s="2973">
        <f t="shared" si="167"/>
        <v>108.75</v>
      </c>
      <c r="D75" s="2973">
        <f t="shared" si="131"/>
        <v>108.75</v>
      </c>
      <c r="E75" s="2973">
        <f t="shared" si="168"/>
        <v>105.75</v>
      </c>
      <c r="F75" s="2973">
        <f t="shared" si="168"/>
        <v>102.5</v>
      </c>
      <c r="G75" s="3553">
        <v>2003</v>
      </c>
      <c r="H75" s="2974">
        <v>1</v>
      </c>
      <c r="I75" s="2971"/>
      <c r="J75" s="2971"/>
      <c r="K75" s="2971"/>
      <c r="L75" s="2971"/>
      <c r="S75" s="2902"/>
      <c r="T75" s="2888"/>
      <c r="U75" s="2888"/>
      <c r="X75" s="2963"/>
      <c r="Y75" s="2963"/>
      <c r="Z75" s="2963"/>
    </row>
    <row r="76" spans="1:26" ht="13.5" thickBot="1">
      <c r="A76" s="2899" t="s">
        <v>2607</v>
      </c>
      <c r="B76" s="2975">
        <v>106</v>
      </c>
      <c r="C76" s="2975">
        <v>107</v>
      </c>
      <c r="D76" s="2975">
        <f t="shared" si="131"/>
        <v>107</v>
      </c>
      <c r="E76" s="2975">
        <v>105</v>
      </c>
      <c r="F76" s="2976">
        <v>102</v>
      </c>
      <c r="G76" s="3552">
        <v>2002</v>
      </c>
      <c r="H76" s="2923">
        <v>4</v>
      </c>
      <c r="I76" s="2971"/>
      <c r="J76" s="2971"/>
      <c r="K76" s="2971"/>
      <c r="L76" s="2971"/>
      <c r="N76" s="2972"/>
      <c r="O76" s="2971"/>
      <c r="P76" s="2971"/>
      <c r="Q76" s="2971"/>
      <c r="S76" s="2972"/>
      <c r="T76" s="2971"/>
      <c r="U76" s="2971"/>
      <c r="V76" s="2971"/>
      <c r="X76" s="2963"/>
      <c r="Y76" s="2963"/>
      <c r="Z76" s="2963"/>
    </row>
    <row r="77" spans="1:26">
      <c r="A77" s="2899" t="s">
        <v>2608</v>
      </c>
      <c r="B77" s="2973">
        <f t="shared" ref="B77:C79" si="169">B78+(B$76-B$80)/4</f>
        <v>105</v>
      </c>
      <c r="C77" s="2973">
        <f t="shared" si="169"/>
        <v>106</v>
      </c>
      <c r="D77" s="2973">
        <f t="shared" si="131"/>
        <v>106</v>
      </c>
      <c r="E77" s="2973">
        <f t="shared" ref="E77:F79" si="170">E78+(E$76-E$80)/4</f>
        <v>104.5</v>
      </c>
      <c r="F77" s="2973">
        <f t="shared" si="170"/>
        <v>101.5</v>
      </c>
      <c r="G77" s="3550">
        <v>2002</v>
      </c>
      <c r="H77" s="2926">
        <v>3</v>
      </c>
      <c r="I77" s="2971"/>
      <c r="J77" s="2971"/>
      <c r="K77" s="2971"/>
      <c r="L77" s="2971"/>
      <c r="X77" s="2963"/>
      <c r="Y77" s="2963"/>
      <c r="Z77" s="2963"/>
    </row>
    <row r="78" spans="1:26">
      <c r="A78" s="2899" t="s">
        <v>2609</v>
      </c>
      <c r="B78" s="2973">
        <f t="shared" si="169"/>
        <v>104</v>
      </c>
      <c r="C78" s="2973">
        <f t="shared" si="169"/>
        <v>105</v>
      </c>
      <c r="D78" s="2973">
        <f t="shared" si="131"/>
        <v>105</v>
      </c>
      <c r="E78" s="2973">
        <f t="shared" si="170"/>
        <v>104</v>
      </c>
      <c r="F78" s="2973">
        <f t="shared" si="170"/>
        <v>101</v>
      </c>
      <c r="G78" s="3550">
        <v>2002</v>
      </c>
      <c r="H78" s="2914">
        <v>2</v>
      </c>
      <c r="I78" s="2971"/>
      <c r="J78" s="2971"/>
      <c r="K78" s="2971"/>
      <c r="L78" s="2971"/>
      <c r="X78" s="2963"/>
      <c r="Y78" s="2963"/>
      <c r="Z78" s="2963"/>
    </row>
    <row r="79" spans="1:26" s="2936" customFormat="1" ht="13.5" thickBot="1">
      <c r="A79" s="2932" t="s">
        <v>2610</v>
      </c>
      <c r="B79" s="2939">
        <f t="shared" si="169"/>
        <v>103</v>
      </c>
      <c r="C79" s="2939">
        <f t="shared" si="169"/>
        <v>104</v>
      </c>
      <c r="D79" s="2939">
        <f t="shared" si="131"/>
        <v>104</v>
      </c>
      <c r="E79" s="2939">
        <f t="shared" si="170"/>
        <v>103.5</v>
      </c>
      <c r="F79" s="2939">
        <f t="shared" si="170"/>
        <v>100.5</v>
      </c>
      <c r="G79" s="3553">
        <v>2002</v>
      </c>
      <c r="H79" s="2977">
        <v>1</v>
      </c>
      <c r="I79" s="2978"/>
      <c r="J79" s="2978"/>
      <c r="K79" s="2978"/>
      <c r="L79" s="2978"/>
      <c r="N79" s="2979"/>
      <c r="S79" s="2979"/>
      <c r="X79" s="2980"/>
      <c r="Y79" s="2980"/>
      <c r="Z79" s="2980"/>
    </row>
    <row r="80" spans="1:26" ht="13.5" thickBot="1">
      <c r="B80" s="2981">
        <v>102</v>
      </c>
      <c r="C80" s="2982">
        <v>103</v>
      </c>
      <c r="D80" s="2982">
        <f t="shared" si="131"/>
        <v>103</v>
      </c>
      <c r="E80" s="2982">
        <v>103</v>
      </c>
      <c r="F80" s="2983">
        <v>100</v>
      </c>
      <c r="I80" s="2971"/>
      <c r="J80" s="2971"/>
      <c r="K80" s="2971"/>
      <c r="L80" s="2971"/>
      <c r="N80" s="2972"/>
      <c r="O80" s="2971"/>
      <c r="P80" s="2971"/>
      <c r="Q80" s="2971"/>
      <c r="S80" s="2972"/>
      <c r="T80" s="2971"/>
      <c r="U80" s="2971"/>
      <c r="V80" s="2971"/>
      <c r="X80" s="2913"/>
      <c r="Y80" s="2913"/>
      <c r="Z80" s="2913"/>
    </row>
    <row r="82" spans="1:22" s="2985" customFormat="1">
      <c r="A82" s="2984" t="s">
        <v>2611</v>
      </c>
      <c r="G82" s="2986"/>
      <c r="N82" s="2986"/>
      <c r="S82" s="2986"/>
    </row>
    <row r="83" spans="1:22" s="2985" customFormat="1">
      <c r="A83" s="2985" t="s">
        <v>2612</v>
      </c>
      <c r="G83" s="2986"/>
      <c r="N83" s="2986"/>
      <c r="S83" s="2986"/>
    </row>
    <row r="84" spans="1:22" s="2985" customFormat="1">
      <c r="A84" s="2985" t="s">
        <v>2613</v>
      </c>
      <c r="G84" s="2986"/>
      <c r="I84" s="2987"/>
      <c r="J84" s="2987"/>
      <c r="K84" s="2987"/>
      <c r="L84" s="2987"/>
      <c r="N84" s="2988"/>
      <c r="O84" s="2987"/>
      <c r="P84" s="2987"/>
      <c r="Q84" s="2987"/>
      <c r="S84" s="2988"/>
      <c r="T84" s="2987"/>
      <c r="U84" s="2987"/>
      <c r="V84" s="2987"/>
    </row>
    <row r="85" spans="1:22" s="2985" customFormat="1">
      <c r="A85" s="2985" t="s">
        <v>2614</v>
      </c>
      <c r="G85" s="2986"/>
      <c r="N85" s="2986"/>
      <c r="S85" s="2986"/>
    </row>
    <row r="92" spans="1:22" ht="13.5" thickBot="1"/>
    <row r="93" spans="1:22">
      <c r="G93" s="2887"/>
      <c r="S93" s="2989" t="s">
        <v>2615</v>
      </c>
      <c r="T93" s="2990" t="s">
        <v>2616</v>
      </c>
      <c r="U93" s="2990" t="s">
        <v>2617</v>
      </c>
      <c r="V93" s="2990" t="s">
        <v>2618</v>
      </c>
    </row>
    <row r="94" spans="1:22">
      <c r="G94" s="2887"/>
      <c r="N94" s="2912"/>
      <c r="O94" s="2913"/>
      <c r="P94" s="2913"/>
      <c r="Q94" s="2913"/>
      <c r="S94" s="2991">
        <v>2006</v>
      </c>
      <c r="T94" s="2992">
        <v>15.1</v>
      </c>
      <c r="U94" s="2992">
        <v>7.43</v>
      </c>
      <c r="V94" s="2992">
        <v>26.26</v>
      </c>
    </row>
    <row r="95" spans="1:22">
      <c r="G95" s="2887"/>
      <c r="N95" s="2912"/>
      <c r="O95" s="2913"/>
      <c r="P95" s="2913"/>
      <c r="Q95" s="2913"/>
      <c r="S95" s="2993">
        <v>2005</v>
      </c>
      <c r="T95" s="2994">
        <v>13.9</v>
      </c>
      <c r="U95" s="2994">
        <v>7.49</v>
      </c>
      <c r="V95" s="2994">
        <v>24.92</v>
      </c>
    </row>
    <row r="96" spans="1:22">
      <c r="G96" s="2887"/>
      <c r="N96" s="2912"/>
      <c r="O96" s="2913"/>
      <c r="P96" s="2913"/>
      <c r="Q96" s="2913"/>
      <c r="S96" s="2991">
        <v>2004</v>
      </c>
      <c r="T96" s="2992">
        <v>9.48</v>
      </c>
      <c r="U96" s="2992">
        <v>7.2</v>
      </c>
      <c r="V96" s="2992">
        <v>14.68</v>
      </c>
    </row>
    <row r="97" spans="7:22">
      <c r="G97" s="2887"/>
      <c r="N97" s="2912"/>
      <c r="O97" s="2913"/>
      <c r="P97" s="2913"/>
      <c r="Q97" s="2913"/>
      <c r="S97" s="2993">
        <v>2003</v>
      </c>
      <c r="T97" s="2994">
        <v>4.5</v>
      </c>
      <c r="U97" s="2994">
        <v>6.12</v>
      </c>
      <c r="V97" s="2994">
        <v>2.34</v>
      </c>
    </row>
    <row r="98" spans="7:22" ht="13.5" thickBot="1">
      <c r="G98" s="2887"/>
      <c r="N98" s="2912"/>
      <c r="O98" s="2913"/>
      <c r="P98" s="2913"/>
      <c r="Q98" s="2913"/>
      <c r="S98" s="2995">
        <v>2002</v>
      </c>
      <c r="T98" s="2996">
        <v>3.59</v>
      </c>
      <c r="U98" s="2996">
        <v>4.54</v>
      </c>
      <c r="V98" s="2996">
        <v>2.5499999999999998</v>
      </c>
    </row>
    <row r="99" spans="7:22">
      <c r="G99" s="2887"/>
      <c r="N99" s="2912"/>
      <c r="O99" s="2913"/>
      <c r="P99" s="2913"/>
      <c r="Q99" s="2913"/>
    </row>
    <row r="100" spans="7:22">
      <c r="G100" s="2887"/>
      <c r="N100" s="2912"/>
      <c r="O100" s="2913"/>
      <c r="P100" s="2913"/>
      <c r="Q100" s="2913"/>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c r="S109" s="2887"/>
    </row>
    <row r="110" spans="7:22">
      <c r="G110" s="2887"/>
      <c r="N110" s="2912"/>
      <c r="O110" s="2913"/>
      <c r="P110" s="2913"/>
      <c r="Q110" s="2913"/>
      <c r="S110" s="2887"/>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sheetData>
  <sheetProtection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56.2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估价对象为使用的、位于出让国有建设用地使用权。根据，估价对象（分摊）出让国有建设用地使用权面积为74233.12平方米。根据，估价对象规划建筑面积为74233.12平方米。</v>
      </c>
    </row>
    <row r="7" spans="1:4" ht="56.25">
      <c r="A7" s="1711" t="s">
        <v>2727</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2014</v>
      </c>
    </row>
    <row r="11" spans="1:4" ht="18.75">
      <c r="A11" s="1696" t="str">
        <f>TEXT(项目基本情况!D3,"yyyy年m月d日;;")&amp;IF(项目基本情况!B3=项目基本情况!D3,"（评估专业人员勘察现场之日）","")</f>
        <v>2020年8月27日（评估专业人员勘察现场之日）</v>
      </c>
    </row>
    <row r="12" spans="1:4" ht="18.75">
      <c r="A12" s="1713" t="s">
        <v>2013</v>
      </c>
    </row>
    <row r="13" spans="1:4" ht="18.75">
      <c r="A13" s="1707" t="s">
        <v>2896</v>
      </c>
    </row>
    <row r="14" spans="1:4" ht="18.75">
      <c r="A14" s="1707" t="str">
        <f>"根据"&amp;项目基本情况!F12&amp;"，本次评估估价对象证载（地类）用途为"&amp;项目基本情况!B12&amp;"。"</f>
        <v>根据，本次评估估价对象证载（地类）用途为。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2060</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2061</v>
      </c>
    </row>
    <row r="20" spans="1:1" ht="37.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根据，估价对象（分摊）出让国有建设用地使用权面积为74233.12平方米。根据，估价对象规划建筑面积为74233.12平方米。</v>
      </c>
    </row>
    <row r="21" spans="1:1" ht="18.75">
      <c r="A21" s="1707" t="s">
        <v>2062</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本次估价对象为出让国有建设用地使用权，证载土地终止日期为住宅2087年12月13日、商业2057年12月13日地下车库2067年12月13日。截至估价期日，出让国有建设用地使用权剩余土地使用年限为。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2063</v>
      </c>
    </row>
    <row r="25" spans="1:1" ht="75">
      <c r="A25" s="1707" t="str">
        <f>定义!C53</f>
        <v>本次估价的“出让国有建设用地使用权价格”是指在估价对象土地所有权为国家所有，使用权性质为出让，在公开市场条件下、于估价期日2020年8月27日，在规划利用条件下、设定土地开发程度为红线外“七通”、宗地内场地，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2015</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Q41" sqref="Q41"/>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2903</v>
      </c>
      <c r="B1" s="3246"/>
      <c r="C1" s="3246"/>
      <c r="D1" s="3246"/>
      <c r="E1" s="3246"/>
      <c r="F1" s="3246"/>
      <c r="G1" s="3247"/>
      <c r="H1" s="3247"/>
      <c r="I1" s="3247"/>
      <c r="J1" s="3247"/>
      <c r="K1" s="3247"/>
      <c r="L1" s="3247"/>
      <c r="M1" s="3247"/>
      <c r="N1" s="3247"/>
    </row>
    <row r="2" spans="1:14" ht="14.25">
      <c r="A2" s="3252" t="s">
        <v>2898</v>
      </c>
      <c r="B2" s="3257">
        <f ca="1">SUMIF(B7:B14,"&lt;&gt;#ref!",B7:B14)</f>
        <v>0</v>
      </c>
      <c r="C2" s="3252" t="s">
        <v>2899</v>
      </c>
      <c r="D2" s="3249"/>
      <c r="E2" s="3249"/>
      <c r="F2" s="3249"/>
      <c r="G2" s="3247"/>
      <c r="H2" s="3247"/>
      <c r="I2" s="3247"/>
      <c r="J2" s="3247"/>
      <c r="K2" s="3247"/>
      <c r="L2" s="3247"/>
      <c r="M2" s="3247"/>
      <c r="N2" s="3247"/>
    </row>
    <row r="3" spans="1:14" ht="14.25">
      <c r="A3" s="3252" t="s">
        <v>2928</v>
      </c>
      <c r="B3" s="3257" t="e">
        <f ca="1">ROUND(B2*10000/E3,0)</f>
        <v>#DIV/0!</v>
      </c>
      <c r="C3" s="3252" t="s">
        <v>2066</v>
      </c>
      <c r="D3" s="3252" t="s">
        <v>2900</v>
      </c>
      <c r="E3" s="3250">
        <f ca="1">SUMIF(E7:E14,"&lt;&gt;#ref!",E7:E14)</f>
        <v>0</v>
      </c>
      <c r="F3" s="3249"/>
      <c r="G3" s="3247"/>
      <c r="H3" s="3247"/>
      <c r="I3" s="3247"/>
      <c r="J3" s="3247"/>
      <c r="K3" s="3247"/>
      <c r="L3" s="3247"/>
      <c r="M3" s="3247"/>
      <c r="N3" s="3247"/>
    </row>
    <row r="4" spans="1:14" ht="14.25">
      <c r="A4" s="3252" t="s">
        <v>2906</v>
      </c>
      <c r="B4" s="3257" t="e">
        <f ca="1">ROUND(B2*10000/E4,0)</f>
        <v>#DIV/0!</v>
      </c>
      <c r="C4" s="3252" t="s">
        <v>2066</v>
      </c>
      <c r="D4" s="3252" t="s">
        <v>2907</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2904</v>
      </c>
      <c r="B6" s="3252" t="s">
        <v>2901</v>
      </c>
      <c r="C6" s="2791"/>
      <c r="D6" s="3249"/>
      <c r="E6" s="3252" t="s">
        <v>2902</v>
      </c>
      <c r="F6" s="3252" t="s">
        <v>2905</v>
      </c>
      <c r="G6" s="3247"/>
      <c r="H6" s="3247"/>
      <c r="I6" s="3247"/>
      <c r="J6" s="3247"/>
      <c r="K6" s="3247"/>
      <c r="L6" s="3247"/>
      <c r="M6" s="3247"/>
      <c r="N6" s="3247"/>
    </row>
    <row r="7" spans="1:14" ht="14.25">
      <c r="A7" s="3255"/>
      <c r="B7" s="3257" t="e">
        <f ca="1">SUMIF(INDIRECT("'"&amp;A7&amp;"'"&amp;"!A:A"),"总价",INDIRECT("'"&amp;A7&amp;"'"&amp;"!B:B"))</f>
        <v>#REF!</v>
      </c>
      <c r="C7" s="3252" t="s">
        <v>2899</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2899</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2899</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2899</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2899</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2899</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2899</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2899</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zoomScale="60" zoomScaleNormal="60" workbookViewId="0">
      <selection activeCell="Q41" sqref="Q41"/>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2358</v>
      </c>
      <c r="F1" s="2244">
        <f ca="1">J54</f>
        <v>-2</v>
      </c>
      <c r="G1" s="764">
        <f>MATCH(C1,'数据-取费表'!A6:A16,0)+5</f>
        <v>9</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61" t="s">
        <v>2444</v>
      </c>
      <c r="C8" s="1741">
        <f ca="1">ROUND(F8*F10*F9*(1-F11)/10000,0)</f>
        <v>0</v>
      </c>
      <c r="D8" s="1738" t="s">
        <v>2515</v>
      </c>
      <c r="E8" s="61" t="s">
        <v>631</v>
      </c>
      <c r="F8" s="775">
        <f ca="1">INDIRECT("'数据-取费表'!u"&amp;$G$1)</f>
        <v>0</v>
      </c>
      <c r="G8" s="1527"/>
      <c r="H8" s="2358" t="s">
        <v>1815</v>
      </c>
      <c r="I8" s="3561" t="s">
        <v>2444</v>
      </c>
      <c r="J8" s="773">
        <f ca="1">ROUND(M8*M10*M9*(1-M11)/10000,0)</f>
        <v>0</v>
      </c>
      <c r="K8" s="339" t="s">
        <v>2515</v>
      </c>
      <c r="L8" s="774" t="s">
        <v>1729</v>
      </c>
      <c r="M8" s="775">
        <f ca="1">INDIRECT("'数据-取费表'!z"&amp;$G$1)</f>
        <v>0</v>
      </c>
    </row>
    <row r="9" spans="1:25" ht="18" customHeight="1">
      <c r="A9" s="2354"/>
      <c r="B9" s="3562"/>
      <c r="C9" s="1742"/>
      <c r="D9" s="1739"/>
      <c r="E9" s="61" t="s">
        <v>632</v>
      </c>
      <c r="F9" s="775">
        <f ca="1">IF(INDIRECT("'数据-取费表'!ah"&amp;$G$1)="",INDIRECT("'数据-取费表'!k"&amp;$G$1),INDIRECT("'数据-取费表'!ah"&amp;$G$1))</f>
        <v>0</v>
      </c>
      <c r="G9" s="1527"/>
      <c r="H9" s="2343"/>
      <c r="I9" s="3562"/>
      <c r="J9" s="778"/>
      <c r="K9" s="779"/>
      <c r="L9" s="774" t="s">
        <v>1730</v>
      </c>
      <c r="M9" s="775">
        <f ca="1">F9</f>
        <v>0</v>
      </c>
    </row>
    <row r="10" spans="1:25" ht="18" customHeight="1">
      <c r="A10" s="2347"/>
      <c r="B10" s="3563"/>
      <c r="C10" s="1742"/>
      <c r="D10" s="1739"/>
      <c r="E10" s="61" t="s">
        <v>633</v>
      </c>
      <c r="F10" s="775">
        <f ca="1">INDIRECT("'数据-取费表'!ai"&amp;$G$1)</f>
        <v>0</v>
      </c>
      <c r="G10" s="1527"/>
      <c r="H10" s="2343"/>
      <c r="I10" s="3563"/>
      <c r="J10" s="778"/>
      <c r="K10" s="779"/>
      <c r="L10" s="774" t="s">
        <v>1731</v>
      </c>
      <c r="M10" s="775">
        <f ca="1">INDIRECT("'数据-取费表'!ai"&amp;$G$1)</f>
        <v>0</v>
      </c>
    </row>
    <row r="11" spans="1:25" ht="18" customHeight="1">
      <c r="A11" s="776"/>
      <c r="B11" s="3564"/>
      <c r="C11" s="1742"/>
      <c r="D11" s="1739"/>
      <c r="E11" s="61" t="s">
        <v>634</v>
      </c>
      <c r="F11" s="784">
        <f ca="1">INDIRECT("'数据-取费表'!w"&amp;$G$1)</f>
        <v>0</v>
      </c>
      <c r="G11" s="1527"/>
      <c r="H11" s="2359"/>
      <c r="I11" s="3563"/>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2925</v>
      </c>
      <c r="E12" s="2352" t="s">
        <v>2445</v>
      </c>
      <c r="F12" s="2466"/>
      <c r="G12" s="1527"/>
      <c r="H12" s="2415" t="s">
        <v>1816</v>
      </c>
      <c r="I12" s="2420" t="s">
        <v>2440</v>
      </c>
      <c r="J12" s="773">
        <f ca="1">ROUND(IF(M12="押一",J8/12*M13,IF(M12="押二",J8/12*2*M13,IF(M12="押三",J8/12*3*M13,J13*M13))),0)</f>
        <v>0</v>
      </c>
      <c r="K12" s="2355" t="s">
        <v>2925</v>
      </c>
      <c r="L12" s="2352" t="s">
        <v>2445</v>
      </c>
      <c r="M12" s="2466"/>
    </row>
    <row r="13" spans="1:25" ht="18" customHeight="1">
      <c r="A13" s="780"/>
      <c r="B13" s="2349" t="s">
        <v>2554</v>
      </c>
      <c r="C13" s="2353"/>
      <c r="D13" s="779"/>
      <c r="E13" s="2352" t="s">
        <v>2437</v>
      </c>
      <c r="F13" s="786">
        <f ca="1">'数据-取费表'!B39</f>
        <v>1.4999999999999999E-2</v>
      </c>
      <c r="G13" s="1527"/>
      <c r="H13" s="2416"/>
      <c r="I13" s="2349" t="s">
        <v>2554</v>
      </c>
      <c r="J13" s="2353"/>
      <c r="K13" s="2417"/>
      <c r="L13" s="2352" t="s">
        <v>2437</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2057</v>
      </c>
      <c r="I16" s="2112" t="s">
        <v>2804</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0.05</v>
      </c>
      <c r="G17" s="1528"/>
      <c r="H17" s="793" t="s">
        <v>2058</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2057</v>
      </c>
      <c r="I19" s="774" t="s">
        <v>650</v>
      </c>
      <c r="J19" s="3020">
        <f ca="1">ROUND(IF(AND(项目基本情况!B11="自然人",项目基本情况!B10="北京市"),J8*M19/(1+'数据-取费表'!F30),J20+J21+J22),0)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5.5000000000000007E-2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0.03</v>
      </c>
      <c r="G22" s="1528"/>
      <c r="H22" s="1748" t="s">
        <v>1841</v>
      </c>
      <c r="I22" s="1738" t="s">
        <v>662</v>
      </c>
      <c r="J22" s="54">
        <f ca="1">ROUND(M22*M23/10000,0)</f>
        <v>0</v>
      </c>
      <c r="K22" s="803" t="s">
        <v>663</v>
      </c>
      <c r="L22" s="774" t="s">
        <v>664</v>
      </c>
      <c r="M22" s="632">
        <f>'数据-取费表'!B52</f>
        <v>4</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0.03</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2058</v>
      </c>
      <c r="I24" s="774" t="s">
        <v>670</v>
      </c>
      <c r="J24" s="53">
        <f ca="1">ROUND(J16*M24,0)</f>
        <v>0</v>
      </c>
      <c r="K24" s="1892" t="s">
        <v>671</v>
      </c>
      <c r="L24" s="774" t="s">
        <v>643</v>
      </c>
      <c r="M24" s="806">
        <f ca="1">INDIRECT("'数据-取费表'!Ak"&amp;$G$1)</f>
        <v>0</v>
      </c>
    </row>
    <row r="25" spans="1:25" s="1948" customFormat="1" ht="18" customHeight="1">
      <c r="A25" s="793" t="s">
        <v>1866</v>
      </c>
      <c r="B25" s="774" t="s">
        <v>2420</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1.4E-3</v>
      </c>
      <c r="D26" s="2424"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2801</v>
      </c>
      <c r="J27" s="789">
        <f ca="1">J7-J18</f>
        <v>0</v>
      </c>
      <c r="K27" s="1894" t="s">
        <v>694</v>
      </c>
      <c r="L27" s="1896"/>
      <c r="M27" s="809"/>
    </row>
    <row r="28" spans="1:25" ht="18" customHeight="1">
      <c r="A28" s="793" t="s">
        <v>1866</v>
      </c>
      <c r="B28" s="774" t="s">
        <v>2421</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f ca="1">ROUND((C21+C22+C25+C28)/(1-F23-C26-C29-C30),0)</f>
        <v>0</v>
      </c>
      <c r="D31" s="2399"/>
      <c r="E31" s="2400"/>
      <c r="F31" s="2401"/>
      <c r="G31" s="1528"/>
      <c r="H31" s="812" t="s">
        <v>1863</v>
      </c>
      <c r="I31" s="2726"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ROUND(IF(AND(项目基本情况!B11="自然人",项目基本情况!B10="北京市"),C8*F33/(1+'数据-取费表'!F30),C34+C35+C36),0)</f>
        <v>0</v>
      </c>
      <c r="D33" s="1894" t="s">
        <v>651</v>
      </c>
      <c r="E33" s="1892" t="s">
        <v>684</v>
      </c>
      <c r="F33" s="3019" t="str">
        <f>IF(项目基本情况!B11="企业","——",IF('数据-取费表'!B10="住宅",IF(F8*F9*F10/12/(1+'数据-取费表'!F30)&gt;100000,4%,2.5%),IF(F8*F9*F10/12/(1+'数据-取费表'!F30)&gt;100000,12%,7%)))</f>
        <v>——</v>
      </c>
      <c r="G33" s="1946"/>
      <c r="H33" s="3258" t="s">
        <v>2984</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5.5000000000000007E-2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4</v>
      </c>
      <c r="G36" s="1946"/>
      <c r="H36" s="1949"/>
      <c r="I36" s="3560"/>
      <c r="J36" s="1963"/>
      <c r="K36" s="1964"/>
      <c r="L36" s="1963"/>
      <c r="M36" s="1963"/>
    </row>
    <row r="37" spans="1:18" ht="18" customHeight="1">
      <c r="A37" s="804"/>
      <c r="B37" s="783"/>
      <c r="C37" s="69"/>
      <c r="D37" s="805"/>
      <c r="E37" s="774" t="s">
        <v>668</v>
      </c>
      <c r="F37" s="775">
        <f ca="1">INDIRECT("'数据-取费表'!r"&amp;$G$1)</f>
        <v>0</v>
      </c>
      <c r="G37" s="1946"/>
      <c r="H37" s="1949"/>
      <c r="I37" s="3560"/>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2914</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2917</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2327</v>
      </c>
      <c r="J47" s="2235"/>
      <c r="K47" s="2236"/>
      <c r="L47" s="2812" t="str">
        <f ca="1">IF(M48="住宅",0,IF(L49&gt;J52,L61,J61))</f>
        <v>0</v>
      </c>
      <c r="O47" s="2250" t="s">
        <v>2394</v>
      </c>
      <c r="P47" s="1527"/>
      <c r="Q47" s="1535"/>
      <c r="R47" s="1527"/>
    </row>
    <row r="48" spans="1:18" s="1943" customFormat="1" ht="18" customHeight="1" thickBot="1">
      <c r="A48" s="1967"/>
      <c r="C48" s="1970"/>
      <c r="D48" s="1971"/>
      <c r="E48" s="1971"/>
      <c r="F48" s="1972"/>
      <c r="G48" s="1973"/>
      <c r="I48" s="2803" t="s">
        <v>2328</v>
      </c>
      <c r="J48" s="2237"/>
      <c r="K48" s="2809" t="s">
        <v>2333</v>
      </c>
      <c r="L48" s="2813">
        <f ca="1">INDIRECT("'数据-取费表'!d"&amp;$G$1)</f>
        <v>0</v>
      </c>
      <c r="M48" s="2795" t="str">
        <f>IF(ISNUMBER(FIND("住宅",C1)),"住宅","非住宅")</f>
        <v>非住宅</v>
      </c>
      <c r="O48" s="2251" t="s">
        <v>2359</v>
      </c>
      <c r="P48" s="2252" t="s">
        <v>2360</v>
      </c>
      <c r="Q48" s="2253" t="s">
        <v>2361</v>
      </c>
      <c r="R48" s="2252" t="s">
        <v>2362</v>
      </c>
    </row>
    <row r="49" spans="1:18" s="1943" customFormat="1" ht="18" customHeight="1" thickBot="1">
      <c r="A49" s="1967"/>
      <c r="D49" s="1974"/>
      <c r="E49" s="1975"/>
      <c r="F49" s="1972"/>
      <c r="G49" s="1973"/>
      <c r="H49" s="1976"/>
      <c r="I49" s="2800" t="s">
        <v>2329</v>
      </c>
      <c r="J49" s="2238"/>
      <c r="K49" s="2810" t="s">
        <v>2335</v>
      </c>
      <c r="L49" s="1823">
        <f ca="1">INDIRECT("'数据-取费表'!f"&amp;$G$1)</f>
        <v>0</v>
      </c>
      <c r="O49" s="2254" t="s">
        <v>2363</v>
      </c>
      <c r="P49" s="2255" t="s">
        <v>2389</v>
      </c>
      <c r="Q49" s="2256">
        <f ca="1">C41+J31</f>
        <v>0</v>
      </c>
      <c r="R49" s="2255" t="s">
        <v>2364</v>
      </c>
    </row>
    <row r="50" spans="1:18" s="1943" customFormat="1" ht="18" customHeight="1" thickBot="1">
      <c r="A50" s="1967"/>
      <c r="D50" s="1977"/>
      <c r="E50" s="1977"/>
      <c r="F50" s="1971"/>
      <c r="G50" s="1978"/>
      <c r="H50" s="1976"/>
      <c r="I50" s="2800" t="s">
        <v>2330</v>
      </c>
      <c r="J50" s="2239"/>
      <c r="K50" s="2811" t="s">
        <v>2336</v>
      </c>
      <c r="L50" s="2240"/>
      <c r="O50" s="2254" t="s">
        <v>2365</v>
      </c>
      <c r="P50" s="2255" t="s">
        <v>2390</v>
      </c>
      <c r="Q50" s="2256" t="str">
        <f ca="1">J61</f>
        <v>0</v>
      </c>
      <c r="R50" s="2255" t="s">
        <v>2366</v>
      </c>
    </row>
    <row r="51" spans="1:18" s="1943" customFormat="1" ht="18" customHeight="1" thickBot="1">
      <c r="A51" s="1979"/>
      <c r="D51" s="1977"/>
      <c r="E51" s="1977"/>
      <c r="F51" s="1968"/>
      <c r="H51" s="1976"/>
      <c r="I51" s="2800" t="s">
        <v>2331</v>
      </c>
      <c r="J51" s="2807">
        <f>SUMPRODUCT((I64:I66=J48)*(J63:L63=J49)*(J64:L66))</f>
        <v>0</v>
      </c>
      <c r="K51" s="2811" t="s">
        <v>2337</v>
      </c>
      <c r="L51" s="2240"/>
      <c r="O51" s="2257" t="s">
        <v>2367</v>
      </c>
      <c r="P51" s="2255" t="s">
        <v>2391</v>
      </c>
      <c r="Q51" s="2256">
        <f ca="1">C31</f>
        <v>0</v>
      </c>
      <c r="R51" s="2255" t="s">
        <v>2364</v>
      </c>
    </row>
    <row r="52" spans="1:18" s="1943" customFormat="1" ht="18" customHeight="1" thickBot="1">
      <c r="A52" s="1979"/>
      <c r="F52" s="1968"/>
      <c r="I52" s="2804" t="s">
        <v>2332</v>
      </c>
      <c r="J52" s="2808">
        <f>IF(J50="",J51,J50+J51-YEAR('数据-取费表'!B3))</f>
        <v>0</v>
      </c>
      <c r="K52" s="2800" t="s">
        <v>2338</v>
      </c>
      <c r="L52" s="2814">
        <f ca="1">C45</f>
        <v>0</v>
      </c>
      <c r="O52" s="2257" t="s">
        <v>2368</v>
      </c>
      <c r="P52" s="2255" t="s">
        <v>2369</v>
      </c>
      <c r="Q52" s="2258" t="e">
        <f ca="1">J59</f>
        <v>#VALUE!</v>
      </c>
      <c r="R52" s="2259"/>
    </row>
    <row r="53" spans="1:18" s="1943" customFormat="1" ht="18" customHeight="1" thickBot="1">
      <c r="A53" s="1979"/>
      <c r="F53" s="1968"/>
      <c r="I53" s="2805" t="s">
        <v>2405</v>
      </c>
      <c r="J53" s="2241"/>
      <c r="K53" s="2805" t="s">
        <v>2404</v>
      </c>
      <c r="L53" s="2241"/>
      <c r="O53" s="2257" t="s">
        <v>2370</v>
      </c>
      <c r="P53" s="2255" t="s">
        <v>2371</v>
      </c>
      <c r="Q53" s="2258">
        <f>J53</f>
        <v>0</v>
      </c>
      <c r="R53" s="2259"/>
    </row>
    <row r="54" spans="1:18" s="1943" customFormat="1" ht="29.25" thickBot="1">
      <c r="A54" s="1979"/>
      <c r="I54" s="2806" t="s">
        <v>2929</v>
      </c>
      <c r="J54" s="2859">
        <f ca="1">IF(M48="住宅",MAX(J52,L49-'数据-取费表'!B20),MIN(J52,L49-'数据-取费表'!B20))</f>
        <v>-2</v>
      </c>
      <c r="K54" s="3565"/>
      <c r="L54" s="3566"/>
      <c r="O54" s="2257" t="s">
        <v>2372</v>
      </c>
      <c r="P54" s="2255" t="s">
        <v>2373</v>
      </c>
      <c r="Q54" s="2256">
        <f ca="1">J54</f>
        <v>-2</v>
      </c>
      <c r="R54" s="2255" t="s">
        <v>2374</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2375</v>
      </c>
      <c r="P55" s="2255" t="s">
        <v>2392</v>
      </c>
      <c r="Q55" s="2256">
        <f ca="1">Q49+Q50</f>
        <v>0</v>
      </c>
      <c r="R55" s="2259" t="s">
        <v>2376</v>
      </c>
    </row>
    <row r="56" spans="1:18" s="1943" customFormat="1" ht="16.5" thickBot="1">
      <c r="A56" s="1979"/>
      <c r="B56" s="1980"/>
      <c r="C56" s="1980"/>
      <c r="I56" s="2817" t="s">
        <v>2339</v>
      </c>
      <c r="J56" s="2789" t="e">
        <f ca="1">ROUND(IF(J48="钢混",J58/J51,1-(1-2%)*(J51-J58)/J51),3)</f>
        <v>#VALUE!</v>
      </c>
      <c r="K56" s="2818" t="s">
        <v>2340</v>
      </c>
      <c r="L56" s="2242"/>
      <c r="O56" s="2260" t="s">
        <v>2395</v>
      </c>
      <c r="P56" s="1527"/>
      <c r="Q56" s="1535"/>
      <c r="R56" s="1527"/>
    </row>
    <row r="57" spans="1:18" s="1943" customFormat="1" ht="43.5" thickBot="1">
      <c r="A57" s="1979"/>
      <c r="B57" s="1980"/>
      <c r="C57" s="1980"/>
      <c r="I57" s="2819" t="s">
        <v>2341</v>
      </c>
      <c r="J57" s="2829" t="s">
        <v>1669</v>
      </c>
      <c r="K57" s="2800" t="s">
        <v>2346</v>
      </c>
      <c r="L57" s="1823">
        <f ca="1">IF(L49&lt;J52,"——",L49-J52)</f>
        <v>0</v>
      </c>
      <c r="O57" s="2251" t="s">
        <v>2359</v>
      </c>
      <c r="P57" s="2252" t="s">
        <v>2360</v>
      </c>
      <c r="Q57" s="2253" t="s">
        <v>2361</v>
      </c>
      <c r="R57" s="2252" t="s">
        <v>2362</v>
      </c>
    </row>
    <row r="58" spans="1:18" s="1943" customFormat="1" ht="29.25" thickBot="1">
      <c r="A58" s="1979"/>
      <c r="B58" s="1980"/>
      <c r="C58" s="1980"/>
      <c r="I58" s="2820" t="s">
        <v>2342</v>
      </c>
      <c r="J58" s="2821" t="str">
        <f ca="1">IF(OR(M48="住宅",J52&lt;L49,J57="是"),"——",J52-L49)</f>
        <v>——</v>
      </c>
      <c r="K58" s="2800" t="s">
        <v>2347</v>
      </c>
      <c r="L58" s="1823">
        <f ca="1">IF(L49&lt;J52,"——",IF(L56="比较法",L50,IF(L56="基准地价",L51,L52)))</f>
        <v>0</v>
      </c>
      <c r="O58" s="2254" t="s">
        <v>2363</v>
      </c>
      <c r="P58" s="2255" t="s">
        <v>2389</v>
      </c>
      <c r="Q58" s="2256">
        <f ca="1">C41+J31</f>
        <v>0</v>
      </c>
      <c r="R58" s="2255" t="s">
        <v>2364</v>
      </c>
    </row>
    <row r="59" spans="1:18" s="1943" customFormat="1" ht="29.25" thickBot="1">
      <c r="A59" s="1979"/>
      <c r="B59" s="1980"/>
      <c r="C59" s="1980"/>
      <c r="I59" s="2820" t="s">
        <v>2343</v>
      </c>
      <c r="J59" s="2790" t="e">
        <f ca="1">IF(J56&lt;0.4,0.4,J56)</f>
        <v>#VALUE!</v>
      </c>
      <c r="K59" s="2800" t="s">
        <v>2348</v>
      </c>
      <c r="L59" s="1823">
        <f ca="1">IF(ISERROR(POWER(1+L53,L48-L49)*(POWER(1+L53,L49)-1)/(POWER(1+L53,L48)-1)),0,POWER(1+L53,L48-L49)*(POWER(1+L53,L49)-1)/(POWER(1+L53,L48)-1))</f>
        <v>0</v>
      </c>
      <c r="O59" s="2254" t="s">
        <v>2365</v>
      </c>
      <c r="P59" s="2255" t="s">
        <v>2396</v>
      </c>
      <c r="Q59" s="2256" t="e">
        <f ca="1">L61</f>
        <v>#DIV/0!</v>
      </c>
      <c r="R59" s="2259" t="s">
        <v>2398</v>
      </c>
    </row>
    <row r="60" spans="1:18" s="1943" customFormat="1" ht="29.25" thickBot="1">
      <c r="A60" s="1979"/>
      <c r="B60" s="1980"/>
      <c r="C60" s="1980"/>
      <c r="I60" s="2820" t="s">
        <v>2344</v>
      </c>
      <c r="J60" s="2821" t="str">
        <f ca="1">IF(OR(M48="住宅",J52&lt;L49,J57="是"),"——",ROUND(C30*J59,0))</f>
        <v>——</v>
      </c>
      <c r="K60" s="2800" t="s">
        <v>2349</v>
      </c>
      <c r="L60" s="1823">
        <f ca="1">IF(ISERROR(POWER(1+L53,L48-J52)*(POWER(1+L53,J52)-1)/(POWER(1+L53,L48)-1)),0,POWER(1+L53,L48-J52)*(POWER(1+L53,J52)-1)/(POWER(1+L53,L48)-1))</f>
        <v>0</v>
      </c>
      <c r="O60" s="2257" t="s">
        <v>2367</v>
      </c>
      <c r="P60" s="2255" t="s">
        <v>2397</v>
      </c>
      <c r="Q60" s="2256">
        <f>IF(L56="比较法",L50,IF(L56="基准地价",L51,0))</f>
        <v>0</v>
      </c>
      <c r="R60" s="2255" t="s">
        <v>2364</v>
      </c>
    </row>
    <row r="61" spans="1:18" s="1943" customFormat="1" ht="15.75" thickBot="1">
      <c r="A61" s="1979"/>
      <c r="B61" s="1980"/>
      <c r="C61" s="1980"/>
      <c r="I61" s="2822" t="s">
        <v>2345</v>
      </c>
      <c r="J61" s="2823" t="str">
        <f ca="1">IF(OR(M48="住宅",J52&lt;L49,J57="是"),"0",ROUND(J60/(1+J53)^J54,0))</f>
        <v>0</v>
      </c>
      <c r="K61" s="2824" t="s">
        <v>2350</v>
      </c>
      <c r="L61" s="2823" t="e">
        <f ca="1">IF(OR(M48="住宅",L49&lt;J52),0,ROUND(L58*(L59/L60-1),0))</f>
        <v>#DIV/0!</v>
      </c>
      <c r="O61" s="2257" t="s">
        <v>2368</v>
      </c>
      <c r="P61" s="2255" t="s">
        <v>2377</v>
      </c>
      <c r="Q61" s="2258">
        <f>L53</f>
        <v>0</v>
      </c>
      <c r="R61" s="2259"/>
    </row>
    <row r="62" spans="1:18" s="1943" customFormat="1" ht="20.25" thickBot="1">
      <c r="A62" s="1979"/>
      <c r="B62" s="1980"/>
      <c r="C62" s="1980"/>
      <c r="K62" s="1969"/>
      <c r="O62" s="2257" t="s">
        <v>2370</v>
      </c>
      <c r="P62" s="2255" t="s">
        <v>2378</v>
      </c>
      <c r="Q62" s="2256">
        <f ca="1">L59</f>
        <v>0</v>
      </c>
      <c r="R62" s="2259" t="s">
        <v>2379</v>
      </c>
    </row>
    <row r="63" spans="1:18" s="1943" customFormat="1" ht="20.25" thickBot="1">
      <c r="A63" s="1979"/>
      <c r="B63" s="1980"/>
      <c r="C63" s="1980"/>
      <c r="I63" s="2825" t="s">
        <v>2351</v>
      </c>
      <c r="J63" s="2826" t="s">
        <v>2352</v>
      </c>
      <c r="K63" s="2826" t="s">
        <v>2353</v>
      </c>
      <c r="L63" s="2826" t="s">
        <v>2334</v>
      </c>
      <c r="M63" s="2827" t="s">
        <v>2897</v>
      </c>
      <c r="O63" s="2257" t="s">
        <v>2372</v>
      </c>
      <c r="P63" s="2255" t="s">
        <v>2380</v>
      </c>
      <c r="Q63" s="2256">
        <f ca="1">L60</f>
        <v>0</v>
      </c>
      <c r="R63" s="2259" t="s">
        <v>2381</v>
      </c>
    </row>
    <row r="64" spans="1:18" s="1943" customFormat="1" ht="15.75" thickBot="1">
      <c r="A64" s="1979"/>
      <c r="B64" s="1980"/>
      <c r="C64" s="1980"/>
      <c r="I64" s="2825" t="s">
        <v>2354</v>
      </c>
      <c r="J64" s="2826">
        <v>70</v>
      </c>
      <c r="K64" s="2826">
        <v>50</v>
      </c>
      <c r="L64" s="2826">
        <v>80</v>
      </c>
      <c r="M64" s="2828">
        <v>0.02</v>
      </c>
      <c r="O64" s="2254" t="s">
        <v>2375</v>
      </c>
      <c r="P64" s="2255" t="s">
        <v>2392</v>
      </c>
      <c r="Q64" s="2256" t="e">
        <f ca="1">Q58+Q59</f>
        <v>#DIV/0!</v>
      </c>
      <c r="R64" s="2259" t="s">
        <v>2376</v>
      </c>
    </row>
    <row r="65" spans="1:18" s="1943" customFormat="1" ht="16.5" thickBot="1">
      <c r="A65" s="1979"/>
      <c r="B65" s="1980"/>
      <c r="C65" s="1980"/>
      <c r="I65" s="2825" t="s">
        <v>2355</v>
      </c>
      <c r="J65" s="2826">
        <v>50</v>
      </c>
      <c r="K65" s="2826">
        <v>35</v>
      </c>
      <c r="L65" s="2826">
        <v>60</v>
      </c>
      <c r="M65" s="835">
        <v>0</v>
      </c>
      <c r="O65" s="2260" t="s">
        <v>2399</v>
      </c>
      <c r="P65" s="1527"/>
      <c r="Q65" s="1535"/>
      <c r="R65" s="1527"/>
    </row>
    <row r="66" spans="1:18" s="1943" customFormat="1" ht="15.75" thickBot="1">
      <c r="A66" s="1979"/>
      <c r="B66" s="1980"/>
      <c r="C66" s="1980"/>
      <c r="I66" s="2825" t="s">
        <v>2356</v>
      </c>
      <c r="J66" s="2826">
        <v>40</v>
      </c>
      <c r="K66" s="2826">
        <v>30</v>
      </c>
      <c r="L66" s="2826">
        <v>50</v>
      </c>
      <c r="M66" s="2828">
        <v>0.02</v>
      </c>
      <c r="O66" s="2251" t="s">
        <v>2359</v>
      </c>
      <c r="P66" s="2252" t="s">
        <v>2360</v>
      </c>
      <c r="Q66" s="2253" t="s">
        <v>2361</v>
      </c>
      <c r="R66" s="2252" t="s">
        <v>2362</v>
      </c>
    </row>
    <row r="67" spans="1:18" s="1943" customFormat="1" ht="15.75" thickBot="1">
      <c r="A67" s="1979"/>
      <c r="B67" s="1980"/>
      <c r="C67" s="1980"/>
      <c r="K67" s="1969"/>
      <c r="O67" s="2254" t="s">
        <v>2363</v>
      </c>
      <c r="P67" s="2255" t="s">
        <v>2389</v>
      </c>
      <c r="Q67" s="2256">
        <f ca="1">C41+J31</f>
        <v>0</v>
      </c>
      <c r="R67" s="2255" t="s">
        <v>2364</v>
      </c>
    </row>
    <row r="68" spans="1:18" s="1943" customFormat="1" ht="20.25" thickBot="1">
      <c r="A68" s="1979"/>
      <c r="B68" s="1980"/>
      <c r="C68" s="1980"/>
      <c r="K68" s="1969"/>
      <c r="O68" s="2254" t="s">
        <v>2365</v>
      </c>
      <c r="P68" s="2255" t="s">
        <v>2396</v>
      </c>
      <c r="Q68" s="2256" t="e">
        <f ca="1">L61</f>
        <v>#DIV/0!</v>
      </c>
      <c r="R68" s="2259" t="s">
        <v>2398</v>
      </c>
    </row>
    <row r="69" spans="1:18" s="1943" customFormat="1" ht="21.75" thickBot="1">
      <c r="A69" s="1979"/>
      <c r="B69" s="1980"/>
      <c r="C69" s="1980"/>
      <c r="K69" s="1969"/>
      <c r="O69" s="2257" t="s">
        <v>2367</v>
      </c>
      <c r="P69" s="2255" t="s">
        <v>2397</v>
      </c>
      <c r="Q69" s="2261">
        <f ca="1">L52</f>
        <v>0</v>
      </c>
      <c r="R69" s="2262" t="s">
        <v>2400</v>
      </c>
    </row>
    <row r="70" spans="1:18" s="1943" customFormat="1" ht="20.25" thickBot="1">
      <c r="A70" s="1979"/>
      <c r="B70" s="1980"/>
      <c r="C70" s="1980"/>
      <c r="K70" s="1969"/>
      <c r="O70" s="2257" t="s">
        <v>2368</v>
      </c>
      <c r="P70" s="2263" t="s">
        <v>2382</v>
      </c>
      <c r="Q70" s="2256">
        <f ca="1">ROUND(Q71-Q72*Q73,0)</f>
        <v>0</v>
      </c>
      <c r="R70" s="2259"/>
    </row>
    <row r="71" spans="1:18" s="1943" customFormat="1" ht="15.75" thickBot="1">
      <c r="A71" s="1979"/>
      <c r="B71" s="1980"/>
      <c r="C71" s="1980"/>
      <c r="K71" s="1969"/>
      <c r="O71" s="2257" t="s">
        <v>2383</v>
      </c>
      <c r="P71" s="2263" t="s">
        <v>2384</v>
      </c>
      <c r="Q71" s="2256">
        <f ca="1">C42</f>
        <v>0</v>
      </c>
      <c r="R71" s="2255" t="s">
        <v>2364</v>
      </c>
    </row>
    <row r="72" spans="1:18" s="1943" customFormat="1" ht="15.75" thickBot="1">
      <c r="A72" s="1979"/>
      <c r="B72" s="1980"/>
      <c r="C72" s="1980"/>
      <c r="K72" s="1969"/>
      <c r="O72" s="2257" t="s">
        <v>2385</v>
      </c>
      <c r="P72" s="2263" t="s">
        <v>2386</v>
      </c>
      <c r="Q72" s="2256">
        <f ca="1">C15</f>
        <v>0</v>
      </c>
      <c r="R72" s="2255" t="s">
        <v>2364</v>
      </c>
    </row>
    <row r="73" spans="1:18" s="1943" customFormat="1" ht="15.75" thickBot="1">
      <c r="A73" s="1979"/>
      <c r="B73" s="1980"/>
      <c r="C73" s="1980"/>
      <c r="K73" s="1969"/>
      <c r="O73" s="2257" t="s">
        <v>2387</v>
      </c>
      <c r="P73" s="2263" t="s">
        <v>2388</v>
      </c>
      <c r="Q73" s="2258">
        <f ca="1">F43</f>
        <v>0</v>
      </c>
      <c r="R73" s="2259"/>
    </row>
    <row r="74" spans="1:18" s="1943" customFormat="1" ht="15.75" thickBot="1">
      <c r="A74" s="1979"/>
      <c r="B74" s="1980"/>
      <c r="C74" s="1980"/>
      <c r="K74" s="1969"/>
      <c r="O74" s="2257" t="s">
        <v>2370</v>
      </c>
      <c r="P74" s="2255" t="s">
        <v>2377</v>
      </c>
      <c r="Q74" s="2258">
        <f>L53</f>
        <v>0</v>
      </c>
      <c r="R74" s="2259"/>
    </row>
    <row r="75" spans="1:18" s="1943" customFormat="1" ht="20.25" thickBot="1">
      <c r="A75" s="1979"/>
      <c r="B75" s="1980"/>
      <c r="C75" s="1980"/>
      <c r="K75" s="1969"/>
      <c r="O75" s="2257" t="s">
        <v>2372</v>
      </c>
      <c r="P75" s="2255" t="s">
        <v>2378</v>
      </c>
      <c r="Q75" s="2256">
        <f ca="1">L59</f>
        <v>0</v>
      </c>
      <c r="R75" s="2259" t="s">
        <v>2379</v>
      </c>
    </row>
    <row r="76" spans="1:18" s="1943" customFormat="1" ht="20.25" thickBot="1">
      <c r="A76" s="1979"/>
      <c r="B76" s="1980"/>
      <c r="C76" s="1980"/>
      <c r="K76" s="1969"/>
      <c r="O76" s="2257" t="s">
        <v>2401</v>
      </c>
      <c r="P76" s="2255" t="s">
        <v>2380</v>
      </c>
      <c r="Q76" s="2256">
        <f ca="1">L60</f>
        <v>0</v>
      </c>
      <c r="R76" s="2259" t="s">
        <v>2381</v>
      </c>
    </row>
    <row r="77" spans="1:18" s="1943" customFormat="1" ht="15.75" thickBot="1">
      <c r="A77" s="1979"/>
      <c r="B77" s="1980"/>
      <c r="C77" s="1980"/>
      <c r="K77" s="1969"/>
      <c r="O77" s="2254" t="s">
        <v>2375</v>
      </c>
      <c r="P77" s="2255" t="s">
        <v>2392</v>
      </c>
      <c r="Q77" s="2256" t="e">
        <f ca="1">Q67+Q68</f>
        <v>#DIV/0!</v>
      </c>
      <c r="R77" s="2259" t="s">
        <v>2376</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topLeftCell="A16" zoomScale="80" zoomScaleNormal="60" zoomScaleSheetLayoutView="80" workbookViewId="0">
      <selection activeCell="D37" sqref="D37"/>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t="s">
        <v>914</v>
      </c>
      <c r="E1" s="2010"/>
      <c r="F1" s="2525" t="s">
        <v>3080</v>
      </c>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f>ROUND(B3*D3/10000,0)</f>
        <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f>C49</f>
        <v>10160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79" t="s">
        <v>516</v>
      </c>
      <c r="D4" s="3480"/>
      <c r="E4" s="3513" t="s">
        <v>517</v>
      </c>
      <c r="F4" s="3514"/>
      <c r="G4" s="3479" t="s">
        <v>518</v>
      </c>
      <c r="H4" s="3480"/>
      <c r="I4" s="3479" t="s">
        <v>519</v>
      </c>
      <c r="J4" s="3480"/>
      <c r="K4" s="842" t="s">
        <v>520</v>
      </c>
      <c r="L4" s="2016"/>
      <c r="M4" s="2017"/>
      <c r="N4" s="2017"/>
      <c r="O4" s="2017"/>
      <c r="P4" s="3481" t="s">
        <v>521</v>
      </c>
      <c r="Q4" s="3482"/>
      <c r="R4" s="3487" t="s">
        <v>517</v>
      </c>
      <c r="S4" s="3488"/>
      <c r="T4" s="3487" t="s">
        <v>518</v>
      </c>
      <c r="U4" s="3488"/>
      <c r="V4" s="3474" t="s">
        <v>519</v>
      </c>
      <c r="W4" s="3474"/>
      <c r="X4" s="1502"/>
      <c r="Y4" s="3487" t="s">
        <v>521</v>
      </c>
      <c r="Z4" s="3488"/>
      <c r="AA4" s="3476" t="s">
        <v>517</v>
      </c>
      <c r="AB4" s="3476" t="s">
        <v>518</v>
      </c>
      <c r="AC4" s="3476" t="s">
        <v>519</v>
      </c>
    </row>
    <row r="5" spans="1:29" ht="15">
      <c r="A5" s="509"/>
      <c r="B5" s="510"/>
      <c r="C5" s="3495" t="s">
        <v>2884</v>
      </c>
      <c r="D5" s="3496"/>
      <c r="E5" s="3571" t="s">
        <v>3077</v>
      </c>
      <c r="F5" s="3516"/>
      <c r="G5" s="3570" t="s">
        <v>3078</v>
      </c>
      <c r="H5" s="3496"/>
      <c r="I5" s="3570" t="s">
        <v>3079</v>
      </c>
      <c r="J5" s="3496"/>
      <c r="K5" s="843"/>
      <c r="L5" s="2016"/>
      <c r="M5" s="2017"/>
      <c r="N5" s="2017"/>
      <c r="O5" s="2017"/>
      <c r="P5" s="3483"/>
      <c r="Q5" s="3484"/>
      <c r="R5" s="3489"/>
      <c r="S5" s="3490"/>
      <c r="T5" s="3489"/>
      <c r="U5" s="3490"/>
      <c r="V5" s="3474"/>
      <c r="W5" s="3474"/>
      <c r="X5" s="1502"/>
      <c r="Y5" s="3489"/>
      <c r="Z5" s="3490"/>
      <c r="AA5" s="3477"/>
      <c r="AB5" s="3477"/>
      <c r="AC5" s="3477"/>
    </row>
    <row r="6" spans="1:29" ht="15.75" thickBot="1">
      <c r="A6" s="511"/>
      <c r="B6" s="512"/>
      <c r="C6" s="3493" t="s">
        <v>2888</v>
      </c>
      <c r="D6" s="3494"/>
      <c r="E6" s="3511" t="s">
        <v>2888</v>
      </c>
      <c r="F6" s="3512"/>
      <c r="G6" s="3493" t="s">
        <v>2888</v>
      </c>
      <c r="H6" s="3494"/>
      <c r="I6" s="3493" t="s">
        <v>2888</v>
      </c>
      <c r="J6" s="3494"/>
      <c r="K6" s="843" t="s">
        <v>522</v>
      </c>
      <c r="L6" s="2016"/>
      <c r="M6" s="2017"/>
      <c r="N6" s="2017"/>
      <c r="O6" s="2017"/>
      <c r="P6" s="3485"/>
      <c r="Q6" s="3486"/>
      <c r="R6" s="3489"/>
      <c r="S6" s="3490"/>
      <c r="T6" s="3491"/>
      <c r="U6" s="3492"/>
      <c r="V6" s="3474"/>
      <c r="W6" s="3474"/>
      <c r="X6" s="1502"/>
      <c r="Y6" s="3491"/>
      <c r="Z6" s="3492"/>
      <c r="AA6" s="3478"/>
      <c r="AB6" s="3478"/>
      <c r="AC6" s="3478"/>
    </row>
    <row r="7" spans="1:29" s="1203" customFormat="1" ht="15.75" thickBot="1">
      <c r="A7" s="2630"/>
      <c r="B7" s="2637" t="s">
        <v>523</v>
      </c>
      <c r="C7" s="513">
        <f>'数据-取费表'!B2</f>
        <v>44070</v>
      </c>
      <c r="D7" s="514">
        <v>100</v>
      </c>
      <c r="E7" s="515">
        <f>C7</f>
        <v>44070</v>
      </c>
      <c r="F7" s="516">
        <f>SUMIF(58:58,YEAR(E7)&amp;"-"&amp;MONTH(E7),59:59)</f>
        <v>100</v>
      </c>
      <c r="G7" s="517">
        <f>C7</f>
        <v>44070</v>
      </c>
      <c r="H7" s="514">
        <f>SUMIF(58:58,YEAR(G7)&amp;"-"&amp;MONTH(G7),59:59)</f>
        <v>100</v>
      </c>
      <c r="I7" s="517">
        <f>C7</f>
        <v>44070</v>
      </c>
      <c r="J7" s="514">
        <f>SUMIF(58:58,YEAR(I7)&amp;"-"&amp;MONTH(I7),59:59)</f>
        <v>100</v>
      </c>
      <c r="K7" s="844"/>
      <c r="L7" s="2018"/>
      <c r="M7" s="2019"/>
      <c r="N7" s="2019"/>
      <c r="O7" s="2019"/>
      <c r="P7" s="3504" t="s">
        <v>524</v>
      </c>
      <c r="Q7" s="3506"/>
      <c r="R7" s="1503" t="s">
        <v>13</v>
      </c>
      <c r="S7" s="1504">
        <f t="shared" ref="S7:S15" si="0">F7</f>
        <v>100</v>
      </c>
      <c r="T7" s="1503" t="s">
        <v>13</v>
      </c>
      <c r="U7" s="1504">
        <f t="shared" ref="U7:U15" si="1">H7</f>
        <v>100</v>
      </c>
      <c r="V7" s="1503" t="s">
        <v>13</v>
      </c>
      <c r="W7" s="1504">
        <f t="shared" ref="W7:W15" si="2">J7</f>
        <v>100</v>
      </c>
      <c r="X7" s="1505"/>
      <c r="Y7" s="3504" t="s">
        <v>524</v>
      </c>
      <c r="Z7" s="3505"/>
      <c r="AA7" s="1506">
        <f>D7/F7</f>
        <v>1</v>
      </c>
      <c r="AB7" s="1506">
        <f>D7/H7</f>
        <v>1</v>
      </c>
      <c r="AC7" s="1506">
        <f>D7/J7</f>
        <v>1</v>
      </c>
    </row>
    <row r="8" spans="1:29" s="1203" customFormat="1" ht="15.75" thickBot="1">
      <c r="A8" s="2631"/>
      <c r="B8" s="2638" t="s">
        <v>525</v>
      </c>
      <c r="C8" s="519" t="s">
        <v>570</v>
      </c>
      <c r="D8" s="514">
        <v>100</v>
      </c>
      <c r="E8" s="845" t="s">
        <v>3014</v>
      </c>
      <c r="F8" s="516">
        <f>SUMIF(61:61,E8,62:62)-SUMIF(61:61,C8,62:62)+100</f>
        <v>100</v>
      </c>
      <c r="G8" s="519" t="s">
        <v>3014</v>
      </c>
      <c r="H8" s="514">
        <f>SUMIF(61:61,G8,62:62)-SUMIF(61:61,C8,62:62)+100</f>
        <v>100</v>
      </c>
      <c r="I8" s="845" t="s">
        <v>3014</v>
      </c>
      <c r="J8" s="514">
        <f>SUMIF(61:61,I8,62:62)-SUMIF(61:61,C8,62:62)+100</f>
        <v>100</v>
      </c>
      <c r="K8" s="844"/>
      <c r="L8" s="2018"/>
      <c r="M8" s="2019"/>
      <c r="N8" s="2019"/>
      <c r="O8" s="2019"/>
      <c r="P8" s="3504" t="s">
        <v>527</v>
      </c>
      <c r="Q8" s="3505"/>
      <c r="R8" s="1503" t="s">
        <v>13</v>
      </c>
      <c r="S8" s="1504">
        <f t="shared" si="0"/>
        <v>100</v>
      </c>
      <c r="T8" s="1503" t="s">
        <v>13</v>
      </c>
      <c r="U8" s="1504">
        <f t="shared" si="1"/>
        <v>100</v>
      </c>
      <c r="V8" s="1503" t="s">
        <v>13</v>
      </c>
      <c r="W8" s="1504">
        <f t="shared" si="2"/>
        <v>100</v>
      </c>
      <c r="X8" s="1505"/>
      <c r="Y8" s="3504" t="s">
        <v>527</v>
      </c>
      <c r="Z8" s="3505"/>
      <c r="AA8" s="1506">
        <f t="shared" ref="AA8:AA46" si="3">D8/F8</f>
        <v>1</v>
      </c>
      <c r="AB8" s="1506">
        <f t="shared" ref="AB8:AB46" si="4">D8/H8</f>
        <v>1</v>
      </c>
      <c r="AC8" s="1506">
        <f t="shared" ref="AC8:AC46" si="5">D8/J8</f>
        <v>1</v>
      </c>
    </row>
    <row r="9" spans="1:29" s="1203" customFormat="1" ht="15">
      <c r="A9" s="2632"/>
      <c r="B9" s="2639" t="s">
        <v>2736</v>
      </c>
      <c r="C9" s="3296" t="s">
        <v>3059</v>
      </c>
      <c r="D9" s="252">
        <v>100</v>
      </c>
      <c r="E9" s="847" t="s">
        <v>914</v>
      </c>
      <c r="F9" s="848">
        <f>SUMIF(63:63,E9,64:64)-SUMIF(63:63,C9,64:64)+100</f>
        <v>100</v>
      </c>
      <c r="G9" s="849" t="s">
        <v>914</v>
      </c>
      <c r="H9" s="252">
        <f>SUMIF(63:63,G9,64:64)-SUMIF(63:63,C9,64:64)+100</f>
        <v>100</v>
      </c>
      <c r="I9" s="849" t="s">
        <v>914</v>
      </c>
      <c r="J9" s="252">
        <f>SUMIF(63:63,I9,64:64)-SUMIF(63:63,C9,64:64)+100</f>
        <v>100</v>
      </c>
      <c r="K9" s="844"/>
      <c r="L9" s="2018"/>
      <c r="M9" s="2019"/>
      <c r="N9" s="2019"/>
      <c r="O9" s="2020"/>
      <c r="P9" s="3473" t="s">
        <v>529</v>
      </c>
      <c r="Q9" s="1134" t="str">
        <f t="shared" ref="Q9:Q15" si="6">B9</f>
        <v>用途</v>
      </c>
      <c r="R9" s="1503" t="s">
        <v>8</v>
      </c>
      <c r="S9" s="1504">
        <f t="shared" si="0"/>
        <v>100</v>
      </c>
      <c r="T9" s="1503" t="s">
        <v>8</v>
      </c>
      <c r="U9" s="1504">
        <f t="shared" si="1"/>
        <v>100</v>
      </c>
      <c r="V9" s="1503" t="s">
        <v>8</v>
      </c>
      <c r="W9" s="1504">
        <f t="shared" si="2"/>
        <v>100</v>
      </c>
      <c r="X9" s="1505"/>
      <c r="Y9" s="3419" t="s">
        <v>530</v>
      </c>
      <c r="Z9" s="1133" t="str">
        <f t="shared" ref="Z9:Z15" si="7">Q9</f>
        <v>用途</v>
      </c>
      <c r="AA9" s="1506">
        <f t="shared" si="3"/>
        <v>1</v>
      </c>
      <c r="AB9" s="1506">
        <f t="shared" si="4"/>
        <v>1</v>
      </c>
      <c r="AC9" s="1506">
        <f t="shared" si="5"/>
        <v>1</v>
      </c>
    </row>
    <row r="10" spans="1:29" s="1292" customFormat="1" ht="27">
      <c r="A10" s="2633"/>
      <c r="B10" s="2638" t="s">
        <v>2737</v>
      </c>
      <c r="C10" s="850" t="s">
        <v>3058</v>
      </c>
      <c r="D10" s="253">
        <v>100</v>
      </c>
      <c r="E10" s="851" t="s">
        <v>3058</v>
      </c>
      <c r="F10" s="852">
        <f>SUMIF(65:65,E10,66:66)-SUMIF(65:65,C10,66:66)+100</f>
        <v>100</v>
      </c>
      <c r="G10" s="850" t="s">
        <v>3058</v>
      </c>
      <c r="H10" s="253">
        <f>SUMIF(65:65,G10,66:66)-SUMIF(65:65,C10,66:66)+100</f>
        <v>100</v>
      </c>
      <c r="I10" s="850" t="s">
        <v>3058</v>
      </c>
      <c r="J10" s="253">
        <f>SUMIF(65:65,I10,66:66)-SUMIF(65:65,C10,66:66)+100</f>
        <v>100</v>
      </c>
      <c r="K10" s="853">
        <v>2</v>
      </c>
      <c r="L10" s="2021"/>
      <c r="M10" s="2060"/>
      <c r="N10" s="2060"/>
      <c r="O10" s="2022"/>
      <c r="P10" s="3473"/>
      <c r="Q10" s="1134" t="str">
        <f t="shared" si="6"/>
        <v>土地使用年限（年）</v>
      </c>
      <c r="R10" s="1503" t="s">
        <v>8</v>
      </c>
      <c r="S10" s="1504">
        <f t="shared" si="0"/>
        <v>100</v>
      </c>
      <c r="T10" s="1503" t="s">
        <v>8</v>
      </c>
      <c r="U10" s="1504">
        <f t="shared" si="1"/>
        <v>100</v>
      </c>
      <c r="V10" s="1503" t="s">
        <v>8</v>
      </c>
      <c r="W10" s="1504">
        <f t="shared" si="2"/>
        <v>100</v>
      </c>
      <c r="X10" s="1505"/>
      <c r="Y10" s="3419"/>
      <c r="Z10" s="1133" t="str">
        <f t="shared" si="7"/>
        <v>土地使用年限（年）</v>
      </c>
      <c r="AA10" s="1506">
        <f t="shared" si="3"/>
        <v>1</v>
      </c>
      <c r="AB10" s="1506">
        <f t="shared" si="4"/>
        <v>1</v>
      </c>
      <c r="AC10" s="1506">
        <f t="shared" si="5"/>
        <v>1</v>
      </c>
    </row>
    <row r="11" spans="1:29" ht="15">
      <c r="A11" s="2634"/>
      <c r="B11" s="2638" t="s">
        <v>2738</v>
      </c>
      <c r="C11" s="527">
        <f>'数据-汇总表'!I4</f>
        <v>1</v>
      </c>
      <c r="D11" s="253">
        <v>100</v>
      </c>
      <c r="E11" s="528">
        <v>1.5</v>
      </c>
      <c r="F11" s="852">
        <f>LOOKUP(E11,68:68,69:69)-LOOKUP(C11,68:68,69:69)+100</f>
        <v>100</v>
      </c>
      <c r="G11" s="527">
        <v>1.73</v>
      </c>
      <c r="H11" s="253">
        <f>LOOKUP(G11,68:68,69:69)-LOOKUP(C11,68:68,69:69)+100</f>
        <v>100</v>
      </c>
      <c r="I11" s="527">
        <v>0.48</v>
      </c>
      <c r="J11" s="253">
        <f>LOOKUP(I11,68:68,69:69)-LOOKUP(C11,68:68,69:69)+100</f>
        <v>102</v>
      </c>
      <c r="K11" s="853">
        <v>2</v>
      </c>
      <c r="L11" s="2023"/>
      <c r="M11" s="2017"/>
      <c r="N11" s="2017"/>
      <c r="O11" s="2024"/>
      <c r="P11" s="3473"/>
      <c r="Q11" s="1134" t="str">
        <f t="shared" si="6"/>
        <v>容积率</v>
      </c>
      <c r="R11" s="1503" t="s">
        <v>11</v>
      </c>
      <c r="S11" s="1504">
        <f t="shared" si="0"/>
        <v>100</v>
      </c>
      <c r="T11" s="1503" t="s">
        <v>11</v>
      </c>
      <c r="U11" s="1504">
        <f t="shared" si="1"/>
        <v>100</v>
      </c>
      <c r="V11" s="1503" t="s">
        <v>11</v>
      </c>
      <c r="W11" s="1504">
        <f t="shared" si="2"/>
        <v>102</v>
      </c>
      <c r="X11" s="1505"/>
      <c r="Y11" s="3419"/>
      <c r="Z11" s="1133" t="str">
        <f t="shared" si="7"/>
        <v>容积率</v>
      </c>
      <c r="AA11" s="1506">
        <f t="shared" si="3"/>
        <v>1</v>
      </c>
      <c r="AB11" s="1506">
        <f t="shared" si="4"/>
        <v>1</v>
      </c>
      <c r="AC11" s="1506">
        <f t="shared" si="5"/>
        <v>0.98039215686274506</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73"/>
      <c r="Q12" s="1134">
        <f t="shared" si="6"/>
        <v>111</v>
      </c>
      <c r="R12" s="1503" t="s">
        <v>11</v>
      </c>
      <c r="S12" s="1504">
        <f t="shared" si="0"/>
        <v>100</v>
      </c>
      <c r="T12" s="1503" t="s">
        <v>11</v>
      </c>
      <c r="U12" s="1504">
        <f t="shared" si="1"/>
        <v>100</v>
      </c>
      <c r="V12" s="1503" t="s">
        <v>11</v>
      </c>
      <c r="W12" s="1504">
        <f t="shared" si="2"/>
        <v>100</v>
      </c>
      <c r="X12" s="1505"/>
      <c r="Y12" s="3419"/>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73"/>
      <c r="Q13" s="1134">
        <f t="shared" si="6"/>
        <v>111</v>
      </c>
      <c r="R13" s="1503" t="s">
        <v>11</v>
      </c>
      <c r="S13" s="1504">
        <f t="shared" si="0"/>
        <v>100</v>
      </c>
      <c r="T13" s="1503" t="s">
        <v>11</v>
      </c>
      <c r="U13" s="1504">
        <f t="shared" si="1"/>
        <v>100</v>
      </c>
      <c r="V13" s="1503" t="s">
        <v>11</v>
      </c>
      <c r="W13" s="1504">
        <f t="shared" si="2"/>
        <v>100</v>
      </c>
      <c r="X13" s="1505"/>
      <c r="Y13" s="3419"/>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73"/>
      <c r="Q14" s="1134">
        <f t="shared" si="6"/>
        <v>111</v>
      </c>
      <c r="R14" s="1503" t="s">
        <v>11</v>
      </c>
      <c r="S14" s="1504">
        <f t="shared" si="0"/>
        <v>100</v>
      </c>
      <c r="T14" s="1503" t="s">
        <v>11</v>
      </c>
      <c r="U14" s="1504">
        <f t="shared" si="1"/>
        <v>100</v>
      </c>
      <c r="V14" s="1503" t="s">
        <v>11</v>
      </c>
      <c r="W14" s="1504">
        <f t="shared" si="2"/>
        <v>100</v>
      </c>
      <c r="X14" s="1505"/>
      <c r="Y14" s="3419"/>
      <c r="Z14" s="1133">
        <f t="shared" si="7"/>
        <v>111</v>
      </c>
      <c r="AA14" s="1506">
        <f t="shared" si="3"/>
        <v>1</v>
      </c>
      <c r="AB14" s="1506">
        <f t="shared" si="4"/>
        <v>1</v>
      </c>
      <c r="AC14" s="1506">
        <f t="shared" si="5"/>
        <v>1</v>
      </c>
    </row>
    <row r="15" spans="1:29" ht="15">
      <c r="A15" s="2628" t="s">
        <v>2734</v>
      </c>
      <c r="B15" s="164" t="s">
        <v>295</v>
      </c>
      <c r="C15" s="856" t="str">
        <f>估价对象房地状况!C3</f>
        <v>一般</v>
      </c>
      <c r="D15" s="543">
        <v>100</v>
      </c>
      <c r="E15" s="544"/>
      <c r="F15" s="545">
        <f>SUMIF(76:76,E16,77:77)-SUMIF(76:76,C16,77:77)+100</f>
        <v>103</v>
      </c>
      <c r="G15" s="546"/>
      <c r="H15" s="543">
        <f>SUMIF(76:76,G16,77:77)-SUMIF(76:76,C16,77:77)+100</f>
        <v>103</v>
      </c>
      <c r="I15" s="544"/>
      <c r="J15" s="543">
        <f>SUMIF(76:76,I16,77:77)-SUMIF(76:76,C16,77:77)+100</f>
        <v>103</v>
      </c>
      <c r="K15" s="857">
        <v>3</v>
      </c>
      <c r="L15" s="2025"/>
      <c r="M15" s="2017"/>
      <c r="N15" s="2017"/>
      <c r="O15" s="2024"/>
      <c r="P15" s="3507" t="s">
        <v>534</v>
      </c>
      <c r="Q15" s="1507" t="str">
        <f t="shared" si="6"/>
        <v>居住社区成熟度</v>
      </c>
      <c r="R15" s="1508" t="s">
        <v>11</v>
      </c>
      <c r="S15" s="1509">
        <f t="shared" si="0"/>
        <v>103</v>
      </c>
      <c r="T15" s="1508" t="s">
        <v>11</v>
      </c>
      <c r="U15" s="1509">
        <f t="shared" si="1"/>
        <v>103</v>
      </c>
      <c r="V15" s="1508" t="s">
        <v>11</v>
      </c>
      <c r="W15" s="1509">
        <f t="shared" si="2"/>
        <v>103</v>
      </c>
      <c r="X15" s="1502"/>
      <c r="Y15" s="3507" t="s">
        <v>534</v>
      </c>
      <c r="Z15" s="1510" t="str">
        <f t="shared" si="7"/>
        <v>居住社区成熟度</v>
      </c>
      <c r="AA15" s="1511">
        <f t="shared" si="3"/>
        <v>0.970873786407767</v>
      </c>
      <c r="AB15" s="1511">
        <f t="shared" si="4"/>
        <v>0.970873786407767</v>
      </c>
      <c r="AC15" s="1511">
        <f t="shared" si="5"/>
        <v>0.970873786407767</v>
      </c>
    </row>
    <row r="16" spans="1:29" ht="15">
      <c r="A16" s="526"/>
      <c r="B16" s="858"/>
      <c r="C16" s="570" t="s">
        <v>3048</v>
      </c>
      <c r="D16" s="549"/>
      <c r="E16" s="550" t="s">
        <v>3046</v>
      </c>
      <c r="F16" s="551"/>
      <c r="G16" s="552" t="s">
        <v>3046</v>
      </c>
      <c r="H16" s="553"/>
      <c r="I16" s="550" t="s">
        <v>3046</v>
      </c>
      <c r="J16" s="549"/>
      <c r="K16" s="859"/>
      <c r="L16" s="2025"/>
      <c r="M16" s="2017"/>
      <c r="N16" s="2017"/>
      <c r="O16" s="2024"/>
      <c r="P16" s="3508"/>
      <c r="Q16" s="1507"/>
      <c r="R16" s="1508"/>
      <c r="S16" s="1509"/>
      <c r="T16" s="1508"/>
      <c r="U16" s="1509"/>
      <c r="V16" s="1508"/>
      <c r="W16" s="1509"/>
      <c r="X16" s="1502"/>
      <c r="Y16" s="3508"/>
      <c r="Z16" s="1510"/>
      <c r="AA16" s="1511">
        <v>1</v>
      </c>
      <c r="AB16" s="1511">
        <v>1</v>
      </c>
      <c r="AC16" s="1511">
        <v>1</v>
      </c>
    </row>
    <row r="17" spans="1:29" ht="15">
      <c r="A17" s="526"/>
      <c r="B17" s="860" t="s">
        <v>296</v>
      </c>
      <c r="C17" s="861" t="str">
        <f>估价对象房地状况!C6</f>
        <v>一般</v>
      </c>
      <c r="D17" s="553">
        <v>100</v>
      </c>
      <c r="E17" s="556"/>
      <c r="F17" s="557">
        <f>SUMIF(78:78,E18,79:79)-SUMIF(78:78,C18,79:79)+100</f>
        <v>102</v>
      </c>
      <c r="G17" s="558"/>
      <c r="H17" s="559">
        <f>SUMIF(78:78,G18,79:79)-SUMIF(78:78,C18,79:79)+100</f>
        <v>102</v>
      </c>
      <c r="I17" s="556"/>
      <c r="J17" s="559">
        <f>SUMIF(78:78,I18,79:79)-SUMIF(78:78,C18,79:79)+100</f>
        <v>102</v>
      </c>
      <c r="K17" s="857">
        <v>2</v>
      </c>
      <c r="L17" s="2025"/>
      <c r="M17" s="2017"/>
      <c r="N17" s="2017"/>
      <c r="O17" s="2024"/>
      <c r="P17" s="3508"/>
      <c r="Q17" s="1507" t="str">
        <f>B17</f>
        <v>交通便捷度</v>
      </c>
      <c r="R17" s="1508" t="s">
        <v>11</v>
      </c>
      <c r="S17" s="1509">
        <f>F17</f>
        <v>102</v>
      </c>
      <c r="T17" s="1508" t="s">
        <v>11</v>
      </c>
      <c r="U17" s="1509">
        <f>H17</f>
        <v>102</v>
      </c>
      <c r="V17" s="1508" t="s">
        <v>11</v>
      </c>
      <c r="W17" s="1509">
        <f>J17</f>
        <v>102</v>
      </c>
      <c r="X17" s="1502"/>
      <c r="Y17" s="3508"/>
      <c r="Z17" s="1510" t="str">
        <f>Q17</f>
        <v>交通便捷度</v>
      </c>
      <c r="AA17" s="1511">
        <f t="shared" si="3"/>
        <v>0.98039215686274506</v>
      </c>
      <c r="AB17" s="1511">
        <f t="shared" si="4"/>
        <v>0.98039215686274506</v>
      </c>
      <c r="AC17" s="1511">
        <f t="shared" si="5"/>
        <v>0.98039215686274506</v>
      </c>
    </row>
    <row r="18" spans="1:29" ht="15">
      <c r="A18" s="526"/>
      <c r="B18" s="589"/>
      <c r="C18" s="862" t="s">
        <v>3048</v>
      </c>
      <c r="D18" s="553"/>
      <c r="E18" s="562" t="s">
        <v>3046</v>
      </c>
      <c r="F18" s="557"/>
      <c r="G18" s="563" t="s">
        <v>3046</v>
      </c>
      <c r="H18" s="549"/>
      <c r="I18" s="562" t="s">
        <v>3046</v>
      </c>
      <c r="J18" s="549"/>
      <c r="K18" s="859"/>
      <c r="L18" s="2025"/>
      <c r="M18" s="2017"/>
      <c r="N18" s="2017"/>
      <c r="O18" s="2024"/>
      <c r="P18" s="3508"/>
      <c r="Q18" s="1507"/>
      <c r="R18" s="1508"/>
      <c r="S18" s="1509"/>
      <c r="T18" s="1508"/>
      <c r="U18" s="1509"/>
      <c r="V18" s="1508"/>
      <c r="W18" s="1509"/>
      <c r="X18" s="1502"/>
      <c r="Y18" s="3508"/>
      <c r="Z18" s="1510"/>
      <c r="AA18" s="1511">
        <v>1</v>
      </c>
      <c r="AB18" s="1511">
        <v>1</v>
      </c>
      <c r="AC18" s="1511">
        <v>1</v>
      </c>
    </row>
    <row r="19" spans="1:29" ht="15">
      <c r="A19" s="526"/>
      <c r="B19" s="2445" t="s">
        <v>2527</v>
      </c>
      <c r="C19" s="861" t="str">
        <f>估价对象房地状况!C7</f>
        <v>一般</v>
      </c>
      <c r="D19" s="559">
        <v>100</v>
      </c>
      <c r="E19" s="564"/>
      <c r="F19" s="565">
        <f>SUMIF(80:80,E20,81:81)-SUMIF(80:80,C20,81:81)+100</f>
        <v>102</v>
      </c>
      <c r="G19" s="566"/>
      <c r="H19" s="553">
        <f>SUMIF(80:80,G20,81:81)-SUMIF(80:80,C20,81:81)+100</f>
        <v>102</v>
      </c>
      <c r="I19" s="564"/>
      <c r="J19" s="553">
        <f>SUMIF(80:80,I20,81:81)-SUMIF(80:80,C20,81:81)+100</f>
        <v>102</v>
      </c>
      <c r="K19" s="857">
        <v>2</v>
      </c>
      <c r="L19" s="2025"/>
      <c r="M19" s="2017"/>
      <c r="N19" s="2017"/>
      <c r="O19" s="2024"/>
      <c r="P19" s="3508"/>
      <c r="Q19" s="1507" t="str">
        <f>B19</f>
        <v>公共配套设施</v>
      </c>
      <c r="R19" s="1508" t="s">
        <v>11</v>
      </c>
      <c r="S19" s="1509">
        <f>F19</f>
        <v>102</v>
      </c>
      <c r="T19" s="1508" t="s">
        <v>11</v>
      </c>
      <c r="U19" s="1509">
        <f>H19</f>
        <v>102</v>
      </c>
      <c r="V19" s="1508" t="s">
        <v>11</v>
      </c>
      <c r="W19" s="1509">
        <f>J19</f>
        <v>102</v>
      </c>
      <c r="X19" s="1502"/>
      <c r="Y19" s="3508"/>
      <c r="Z19" s="1510" t="str">
        <f>Q19</f>
        <v>公共配套设施</v>
      </c>
      <c r="AA19" s="1511">
        <f t="shared" si="3"/>
        <v>0.98039215686274506</v>
      </c>
      <c r="AB19" s="1511">
        <f t="shared" si="4"/>
        <v>0.98039215686274506</v>
      </c>
      <c r="AC19" s="1511">
        <f t="shared" si="5"/>
        <v>0.98039215686274506</v>
      </c>
    </row>
    <row r="20" spans="1:29" ht="15">
      <c r="A20" s="526"/>
      <c r="B20" s="589"/>
      <c r="C20" s="570" t="s">
        <v>3048</v>
      </c>
      <c r="D20" s="549"/>
      <c r="E20" s="550" t="s">
        <v>3046</v>
      </c>
      <c r="F20" s="551"/>
      <c r="G20" s="552" t="s">
        <v>3046</v>
      </c>
      <c r="H20" s="549"/>
      <c r="I20" s="550" t="s">
        <v>3046</v>
      </c>
      <c r="J20" s="549"/>
      <c r="K20" s="859"/>
      <c r="L20" s="2025"/>
      <c r="M20" s="2017"/>
      <c r="N20" s="2017"/>
      <c r="O20" s="2024"/>
      <c r="P20" s="3508"/>
      <c r="Q20" s="1507"/>
      <c r="R20" s="1508"/>
      <c r="S20" s="1509"/>
      <c r="T20" s="1508"/>
      <c r="U20" s="1509"/>
      <c r="V20" s="1508"/>
      <c r="W20" s="1509"/>
      <c r="X20" s="1502"/>
      <c r="Y20" s="3508"/>
      <c r="Z20" s="1510"/>
      <c r="AA20" s="1511">
        <v>1</v>
      </c>
      <c r="AB20" s="1511">
        <v>1</v>
      </c>
      <c r="AC20" s="1511">
        <v>1</v>
      </c>
    </row>
    <row r="21" spans="1:29" ht="15">
      <c r="A21" s="526"/>
      <c r="B21" s="2438" t="s">
        <v>2539</v>
      </c>
      <c r="C21" s="861" t="str">
        <f>估价对象房地状况!C8</f>
        <v>七通</v>
      </c>
      <c r="D21" s="559">
        <v>100</v>
      </c>
      <c r="E21" s="566"/>
      <c r="F21" s="565">
        <f>SUMIF(82:82,E22,83:83)-SUMIF(82:82,C22,83:83)+100</f>
        <v>100</v>
      </c>
      <c r="G21" s="566"/>
      <c r="H21" s="559">
        <f>SUMIF(82:82,G22,83:83)-SUMIF(82:82,C22,83:83)+100</f>
        <v>100</v>
      </c>
      <c r="I21" s="564"/>
      <c r="J21" s="559">
        <f>SUMIF(82:82,I22,83:83)-SUMIF(82:82,C22,83:83)+100</f>
        <v>100</v>
      </c>
      <c r="K21" s="857">
        <v>2</v>
      </c>
      <c r="L21" s="2025"/>
      <c r="M21" s="2017"/>
      <c r="N21" s="2017"/>
      <c r="O21" s="2024"/>
      <c r="P21" s="3508"/>
      <c r="Q21" s="2430" t="str">
        <f>B21</f>
        <v>基础设施水平</v>
      </c>
      <c r="R21" s="1508" t="s">
        <v>11</v>
      </c>
      <c r="S21" s="1509">
        <f>F21</f>
        <v>100</v>
      </c>
      <c r="T21" s="1508" t="s">
        <v>11</v>
      </c>
      <c r="U21" s="1509">
        <f>H21</f>
        <v>100</v>
      </c>
      <c r="V21" s="1508" t="s">
        <v>11</v>
      </c>
      <c r="W21" s="1509">
        <f>J21</f>
        <v>100</v>
      </c>
      <c r="X21" s="2432"/>
      <c r="Y21" s="3508"/>
      <c r="Z21" s="2431" t="str">
        <f>Q21</f>
        <v>基础设施水平</v>
      </c>
      <c r="AA21" s="1511">
        <f t="shared" ref="AA21" si="8">D21/F21</f>
        <v>1</v>
      </c>
      <c r="AB21" s="1511">
        <f t="shared" ref="AB21" si="9">D21/H21</f>
        <v>1</v>
      </c>
      <c r="AC21" s="1511">
        <f t="shared" ref="AC21" si="10">D21/J21</f>
        <v>1</v>
      </c>
    </row>
    <row r="22" spans="1:29" ht="15">
      <c r="A22" s="526"/>
      <c r="B22" s="911"/>
      <c r="C22" s="862" t="s">
        <v>3060</v>
      </c>
      <c r="D22" s="549"/>
      <c r="E22" s="570" t="s">
        <v>3060</v>
      </c>
      <c r="F22" s="551"/>
      <c r="G22" s="570" t="s">
        <v>3060</v>
      </c>
      <c r="H22" s="549"/>
      <c r="I22" s="570" t="s">
        <v>3060</v>
      </c>
      <c r="J22" s="549"/>
      <c r="K22" s="2444"/>
      <c r="L22" s="2025"/>
      <c r="M22" s="2017"/>
      <c r="N22" s="2017"/>
      <c r="O22" s="2024"/>
      <c r="P22" s="3508"/>
      <c r="Q22" s="2430"/>
      <c r="R22" s="1508"/>
      <c r="S22" s="1509"/>
      <c r="T22" s="1508"/>
      <c r="U22" s="1509"/>
      <c r="V22" s="1508"/>
      <c r="W22" s="1509"/>
      <c r="X22" s="2432"/>
      <c r="Y22" s="3508"/>
      <c r="Z22" s="2431"/>
      <c r="AA22" s="1511">
        <v>1</v>
      </c>
      <c r="AB22" s="1511">
        <v>1</v>
      </c>
      <c r="AC22" s="1511">
        <v>1</v>
      </c>
    </row>
    <row r="23" spans="1:29" ht="15">
      <c r="A23" s="526"/>
      <c r="B23" s="860" t="s">
        <v>297</v>
      </c>
      <c r="C23" s="861" t="str">
        <f>估价对象房地状况!C9</f>
        <v>较好</v>
      </c>
      <c r="D23" s="553">
        <v>100</v>
      </c>
      <c r="E23" s="556"/>
      <c r="F23" s="557">
        <f>SUMIF(84:84,E24,85:85)-SUMIF(84:84,C24,85:85)+100</f>
        <v>100</v>
      </c>
      <c r="G23" s="558"/>
      <c r="H23" s="553">
        <f>SUMIF(84:84,G24,85:85)-SUMIF(84:84,C24,85:85)+100</f>
        <v>100</v>
      </c>
      <c r="I23" s="556"/>
      <c r="J23" s="553">
        <f>SUMIF(84:84,I24,85:85)-SUMIF(84:84,C24,85:85)+100</f>
        <v>100</v>
      </c>
      <c r="K23" s="857">
        <v>2</v>
      </c>
      <c r="L23" s="2025"/>
      <c r="M23" s="2017"/>
      <c r="N23" s="2017"/>
      <c r="O23" s="2024"/>
      <c r="P23" s="3508"/>
      <c r="Q23" s="1507" t="str">
        <f>B23</f>
        <v>自然及人文环境</v>
      </c>
      <c r="R23" s="1508" t="s">
        <v>11</v>
      </c>
      <c r="S23" s="1509">
        <f>F23</f>
        <v>100</v>
      </c>
      <c r="T23" s="1508" t="s">
        <v>11</v>
      </c>
      <c r="U23" s="1509">
        <f>H23</f>
        <v>100</v>
      </c>
      <c r="V23" s="1508" t="s">
        <v>11</v>
      </c>
      <c r="W23" s="1509">
        <f>J23</f>
        <v>100</v>
      </c>
      <c r="X23" s="1502"/>
      <c r="Y23" s="3508"/>
      <c r="Z23" s="1510" t="str">
        <f>Q23</f>
        <v>自然及人文环境</v>
      </c>
      <c r="AA23" s="1511">
        <f t="shared" si="3"/>
        <v>1</v>
      </c>
      <c r="AB23" s="1511">
        <f t="shared" si="4"/>
        <v>1</v>
      </c>
      <c r="AC23" s="1511">
        <f t="shared" si="5"/>
        <v>1</v>
      </c>
    </row>
    <row r="24" spans="1:29" ht="15">
      <c r="A24" s="526"/>
      <c r="B24" s="589"/>
      <c r="C24" s="570" t="s">
        <v>3046</v>
      </c>
      <c r="D24" s="549"/>
      <c r="E24" s="550" t="s">
        <v>3046</v>
      </c>
      <c r="F24" s="551"/>
      <c r="G24" s="552" t="s">
        <v>3046</v>
      </c>
      <c r="H24" s="549"/>
      <c r="I24" s="550" t="s">
        <v>3046</v>
      </c>
      <c r="J24" s="549"/>
      <c r="K24" s="859"/>
      <c r="L24" s="2025"/>
      <c r="M24" s="2017"/>
      <c r="N24" s="2017"/>
      <c r="O24" s="2024"/>
      <c r="P24" s="3508"/>
      <c r="Q24" s="1507"/>
      <c r="R24" s="1508"/>
      <c r="S24" s="1509"/>
      <c r="T24" s="1508"/>
      <c r="U24" s="1509"/>
      <c r="V24" s="1508"/>
      <c r="W24" s="1509"/>
      <c r="X24" s="1502"/>
      <c r="Y24" s="3508"/>
      <c r="Z24" s="1510"/>
      <c r="AA24" s="1511">
        <v>1</v>
      </c>
      <c r="AB24" s="1511">
        <v>1</v>
      </c>
      <c r="AC24" s="1511">
        <v>1</v>
      </c>
    </row>
    <row r="25" spans="1:29" ht="15">
      <c r="A25" s="526"/>
      <c r="B25" s="1810" t="s">
        <v>2244</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08"/>
      <c r="Q25" s="1507" t="str">
        <f t="shared" ref="Q25:Q46" si="11">B25</f>
        <v>楼层-1</v>
      </c>
      <c r="R25" s="1508" t="s">
        <v>11</v>
      </c>
      <c r="S25" s="1509">
        <f>F25</f>
        <v>100</v>
      </c>
      <c r="T25" s="1508" t="s">
        <v>11</v>
      </c>
      <c r="U25" s="1509">
        <f>H25</f>
        <v>100</v>
      </c>
      <c r="V25" s="1508" t="s">
        <v>11</v>
      </c>
      <c r="W25" s="1509">
        <f>J25</f>
        <v>100</v>
      </c>
      <c r="X25" s="1502"/>
      <c r="Y25" s="3508"/>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08"/>
      <c r="Q26" s="1507" t="str">
        <f t="shared" si="11"/>
        <v>朝向</v>
      </c>
      <c r="R26" s="1508" t="s">
        <v>11</v>
      </c>
      <c r="S26" s="1509">
        <f>F26</f>
        <v>100</v>
      </c>
      <c r="T26" s="1508" t="s">
        <v>11</v>
      </c>
      <c r="U26" s="1509">
        <f>H26</f>
        <v>100</v>
      </c>
      <c r="V26" s="1508" t="s">
        <v>11</v>
      </c>
      <c r="W26" s="1509">
        <f>J26</f>
        <v>100</v>
      </c>
      <c r="X26" s="1502"/>
      <c r="Y26" s="3508"/>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08"/>
      <c r="Q27" s="1134" t="str">
        <f t="shared" si="11"/>
        <v>道路级别</v>
      </c>
      <c r="R27" s="1503" t="s">
        <v>11</v>
      </c>
      <c r="S27" s="1504">
        <f>F27</f>
        <v>100</v>
      </c>
      <c r="T27" s="1503" t="s">
        <v>11</v>
      </c>
      <c r="U27" s="1504">
        <f>H27</f>
        <v>100</v>
      </c>
      <c r="V27" s="1503" t="s">
        <v>11</v>
      </c>
      <c r="W27" s="1504">
        <f>J27</f>
        <v>100</v>
      </c>
      <c r="X27" s="1505"/>
      <c r="Y27" s="3508"/>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08"/>
      <c r="Q28" s="1507">
        <f t="shared" si="11"/>
        <v>111</v>
      </c>
      <c r="R28" s="1508" t="s">
        <v>11</v>
      </c>
      <c r="S28" s="1509">
        <f t="shared" ref="S28:S46" si="12">F28</f>
        <v>100</v>
      </c>
      <c r="T28" s="1508" t="s">
        <v>11</v>
      </c>
      <c r="U28" s="1509">
        <f t="shared" ref="U28:U46" si="13">H28</f>
        <v>100</v>
      </c>
      <c r="V28" s="1508" t="s">
        <v>11</v>
      </c>
      <c r="W28" s="1509">
        <f t="shared" ref="W28:W46" si="14">J28</f>
        <v>100</v>
      </c>
      <c r="X28" s="1502"/>
      <c r="Y28" s="3508"/>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08"/>
      <c r="Q29" s="1507">
        <f t="shared" si="11"/>
        <v>111</v>
      </c>
      <c r="R29" s="1508" t="s">
        <v>11</v>
      </c>
      <c r="S29" s="1509">
        <f t="shared" si="12"/>
        <v>100</v>
      </c>
      <c r="T29" s="1508" t="s">
        <v>11</v>
      </c>
      <c r="U29" s="1509">
        <f t="shared" si="13"/>
        <v>100</v>
      </c>
      <c r="V29" s="1508" t="s">
        <v>11</v>
      </c>
      <c r="W29" s="1509">
        <f t="shared" si="14"/>
        <v>100</v>
      </c>
      <c r="X29" s="1502"/>
      <c r="Y29" s="3508"/>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08"/>
      <c r="Q30" s="1507">
        <f t="shared" si="11"/>
        <v>111</v>
      </c>
      <c r="R30" s="1508" t="s">
        <v>11</v>
      </c>
      <c r="S30" s="1509">
        <f t="shared" si="12"/>
        <v>100</v>
      </c>
      <c r="T30" s="1508" t="s">
        <v>11</v>
      </c>
      <c r="U30" s="1509">
        <f t="shared" si="13"/>
        <v>100</v>
      </c>
      <c r="V30" s="1508" t="s">
        <v>11</v>
      </c>
      <c r="W30" s="1509">
        <f t="shared" si="14"/>
        <v>100</v>
      </c>
      <c r="X30" s="1502"/>
      <c r="Y30" s="3508"/>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08"/>
      <c r="Q31" s="1507">
        <f t="shared" si="11"/>
        <v>111</v>
      </c>
      <c r="R31" s="1508" t="s">
        <v>11</v>
      </c>
      <c r="S31" s="1509">
        <f t="shared" si="12"/>
        <v>100</v>
      </c>
      <c r="T31" s="1508" t="s">
        <v>11</v>
      </c>
      <c r="U31" s="1509">
        <f t="shared" si="13"/>
        <v>100</v>
      </c>
      <c r="V31" s="1508" t="s">
        <v>11</v>
      </c>
      <c r="W31" s="1509">
        <f t="shared" si="14"/>
        <v>100</v>
      </c>
      <c r="X31" s="1502"/>
      <c r="Y31" s="3508"/>
      <c r="Z31" s="1510">
        <f t="shared" si="15"/>
        <v>111</v>
      </c>
      <c r="AA31" s="1511">
        <f t="shared" si="3"/>
        <v>1</v>
      </c>
      <c r="AB31" s="1511">
        <f t="shared" si="4"/>
        <v>1</v>
      </c>
      <c r="AC31" s="1511">
        <f t="shared" si="5"/>
        <v>1</v>
      </c>
    </row>
    <row r="32" spans="1:29" ht="15">
      <c r="A32" s="2625" t="s">
        <v>2735</v>
      </c>
      <c r="B32" s="170" t="s">
        <v>719</v>
      </c>
      <c r="C32" s="867" t="s">
        <v>3061</v>
      </c>
      <c r="D32" s="591">
        <v>100</v>
      </c>
      <c r="E32" s="868" t="s">
        <v>3063</v>
      </c>
      <c r="F32" s="569">
        <f>SUMIF(100:100,E32,101:101)-SUMIF(100:100,C32,101:101)+100</f>
        <v>95</v>
      </c>
      <c r="G32" s="867" t="s">
        <v>3061</v>
      </c>
      <c r="H32" s="591">
        <f>SUMIF(100:100,G32,101:101)-SUMIF(100:100,C32,101:101)+100</f>
        <v>100</v>
      </c>
      <c r="I32" s="868" t="s">
        <v>3061</v>
      </c>
      <c r="J32" s="534">
        <f>SUMIF(100:100,I32,101:101)-SUMIF(100:100,C32,101:101)+100</f>
        <v>100</v>
      </c>
      <c r="K32" s="853">
        <v>5</v>
      </c>
      <c r="L32" s="2025"/>
      <c r="M32" s="2017"/>
      <c r="N32" s="2017"/>
      <c r="O32" s="2024"/>
      <c r="P32" s="3509" t="s">
        <v>544</v>
      </c>
      <c r="Q32" s="1507" t="str">
        <f t="shared" si="11"/>
        <v>建筑类型</v>
      </c>
      <c r="R32" s="1508" t="s">
        <v>11</v>
      </c>
      <c r="S32" s="1509">
        <f t="shared" si="12"/>
        <v>95</v>
      </c>
      <c r="T32" s="1508" t="s">
        <v>11</v>
      </c>
      <c r="U32" s="1509">
        <f t="shared" si="13"/>
        <v>100</v>
      </c>
      <c r="V32" s="1508" t="s">
        <v>11</v>
      </c>
      <c r="W32" s="1509">
        <f t="shared" si="14"/>
        <v>100</v>
      </c>
      <c r="X32" s="1502"/>
      <c r="Y32" s="3510" t="s">
        <v>544</v>
      </c>
      <c r="Z32" s="1510" t="str">
        <f t="shared" si="15"/>
        <v>建筑类型</v>
      </c>
      <c r="AA32" s="1511">
        <f t="shared" si="3"/>
        <v>1.0526315789473684</v>
      </c>
      <c r="AB32" s="1511">
        <f t="shared" si="4"/>
        <v>1</v>
      </c>
      <c r="AC32" s="1511">
        <f t="shared" si="5"/>
        <v>1</v>
      </c>
    </row>
    <row r="33" spans="1:29" s="1293" customFormat="1" ht="15">
      <c r="A33" s="597"/>
      <c r="B33" s="521" t="s">
        <v>720</v>
      </c>
      <c r="C33" s="869">
        <f>'数据-汇总表'!F27</f>
        <v>74233.119999999995</v>
      </c>
      <c r="D33" s="253">
        <v>100</v>
      </c>
      <c r="E33" s="528">
        <v>262360.8</v>
      </c>
      <c r="F33" s="852">
        <f>LOOKUP(E33,103:103,104:104)-LOOKUP(C33,103:103,104:104)+100</f>
        <v>106</v>
      </c>
      <c r="G33" s="527">
        <v>180844.79999999999</v>
      </c>
      <c r="H33" s="253">
        <f>LOOKUP(G33,103:103,104:104)-LOOKUP(C33,103:103,104:104)+100</f>
        <v>104</v>
      </c>
      <c r="I33" s="528">
        <v>247113</v>
      </c>
      <c r="J33" s="253">
        <f>LOOKUP(I33,103:103,104:104)-LOOKUP(C33,103:103,104:104)+100</f>
        <v>106</v>
      </c>
      <c r="K33" s="854"/>
      <c r="L33" s="2023"/>
      <c r="M33" s="2053"/>
      <c r="N33" s="2053"/>
      <c r="O33" s="2026"/>
      <c r="P33" s="3510"/>
      <c r="Q33" s="1536" t="str">
        <f t="shared" si="11"/>
        <v>项目建筑规模</v>
      </c>
      <c r="R33" s="1512" t="s">
        <v>11</v>
      </c>
      <c r="S33" s="1513">
        <f t="shared" si="12"/>
        <v>106</v>
      </c>
      <c r="T33" s="1512" t="s">
        <v>11</v>
      </c>
      <c r="U33" s="1513">
        <f t="shared" si="13"/>
        <v>104</v>
      </c>
      <c r="V33" s="1512" t="s">
        <v>11</v>
      </c>
      <c r="W33" s="1513">
        <f t="shared" si="14"/>
        <v>106</v>
      </c>
      <c r="X33" s="1514"/>
      <c r="Y33" s="3510"/>
      <c r="Z33" s="1515" t="str">
        <f t="shared" si="15"/>
        <v>项目建筑规模</v>
      </c>
      <c r="AA33" s="1511">
        <f t="shared" si="3"/>
        <v>0.94339622641509435</v>
      </c>
      <c r="AB33" s="1511">
        <f t="shared" si="4"/>
        <v>0.96153846153846156</v>
      </c>
      <c r="AC33" s="1511">
        <f t="shared" si="5"/>
        <v>0.94339622641509435</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v>3</v>
      </c>
      <c r="L34" s="2025"/>
      <c r="M34" s="2017"/>
      <c r="N34" s="2017"/>
      <c r="O34" s="2024"/>
      <c r="P34" s="3510"/>
      <c r="Q34" s="1507" t="str">
        <f t="shared" si="11"/>
        <v>建筑结构</v>
      </c>
      <c r="R34" s="1508" t="s">
        <v>11</v>
      </c>
      <c r="S34" s="1509">
        <f t="shared" si="12"/>
        <v>100</v>
      </c>
      <c r="T34" s="1508" t="s">
        <v>11</v>
      </c>
      <c r="U34" s="1509">
        <f t="shared" si="13"/>
        <v>100</v>
      </c>
      <c r="V34" s="1508" t="s">
        <v>11</v>
      </c>
      <c r="W34" s="1509">
        <f t="shared" si="14"/>
        <v>100</v>
      </c>
      <c r="X34" s="1502"/>
      <c r="Y34" s="3510"/>
      <c r="Z34" s="1510" t="str">
        <f t="shared" si="15"/>
        <v>建筑结构</v>
      </c>
      <c r="AA34" s="1511">
        <f t="shared" si="3"/>
        <v>1</v>
      </c>
      <c r="AB34" s="1511">
        <f t="shared" si="4"/>
        <v>1</v>
      </c>
      <c r="AC34" s="1511">
        <f t="shared" si="5"/>
        <v>1</v>
      </c>
    </row>
    <row r="35" spans="1:29" ht="15">
      <c r="A35" s="588"/>
      <c r="B35" s="521" t="s">
        <v>722</v>
      </c>
      <c r="C35" s="593" t="s">
        <v>3068</v>
      </c>
      <c r="D35" s="534">
        <v>100</v>
      </c>
      <c r="E35" s="863" t="s">
        <v>3066</v>
      </c>
      <c r="F35" s="569">
        <f>SUMIF(107:107,E35,108:108)-SUMIF(107:107,C35,108:108)+100</f>
        <v>105</v>
      </c>
      <c r="G35" s="593" t="s">
        <v>3066</v>
      </c>
      <c r="H35" s="534">
        <f>SUMIF(107:107,G35,108:108)-SUMIF(107:107,C35,108:108)+100</f>
        <v>105</v>
      </c>
      <c r="I35" s="863" t="s">
        <v>3066</v>
      </c>
      <c r="J35" s="534">
        <f>SUMIF(107:107,I35,108:108)-SUMIF(107:107,C35,108:108)+100</f>
        <v>105</v>
      </c>
      <c r="K35" s="853">
        <v>5</v>
      </c>
      <c r="L35" s="2025"/>
      <c r="M35" s="2017"/>
      <c r="N35" s="2017"/>
      <c r="O35" s="2024"/>
      <c r="P35" s="3510"/>
      <c r="Q35" s="1507" t="str">
        <f t="shared" si="11"/>
        <v>建筑品质</v>
      </c>
      <c r="R35" s="1508" t="s">
        <v>11</v>
      </c>
      <c r="S35" s="1509">
        <f t="shared" si="12"/>
        <v>105</v>
      </c>
      <c r="T35" s="1508" t="s">
        <v>11</v>
      </c>
      <c r="U35" s="1509">
        <f t="shared" si="13"/>
        <v>105</v>
      </c>
      <c r="V35" s="1508" t="s">
        <v>11</v>
      </c>
      <c r="W35" s="1509">
        <f t="shared" si="14"/>
        <v>105</v>
      </c>
      <c r="X35" s="1502"/>
      <c r="Y35" s="3510"/>
      <c r="Z35" s="1510" t="str">
        <f t="shared" si="15"/>
        <v>建筑品质</v>
      </c>
      <c r="AA35" s="1511">
        <f t="shared" si="3"/>
        <v>0.95238095238095233</v>
      </c>
      <c r="AB35" s="1511">
        <f t="shared" si="4"/>
        <v>0.95238095238095233</v>
      </c>
      <c r="AC35" s="1511">
        <f t="shared" si="5"/>
        <v>0.95238095238095233</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10"/>
      <c r="Q36" s="1507" t="str">
        <f t="shared" si="11"/>
        <v>公共部分装修</v>
      </c>
      <c r="R36" s="1508" t="s">
        <v>11</v>
      </c>
      <c r="S36" s="1509">
        <f t="shared" si="12"/>
        <v>100</v>
      </c>
      <c r="T36" s="1508" t="s">
        <v>11</v>
      </c>
      <c r="U36" s="1509">
        <f t="shared" si="13"/>
        <v>100</v>
      </c>
      <c r="V36" s="1508" t="s">
        <v>11</v>
      </c>
      <c r="W36" s="1509">
        <f t="shared" si="14"/>
        <v>100</v>
      </c>
      <c r="X36" s="1502"/>
      <c r="Y36" s="3510"/>
      <c r="Z36" s="1510" t="str">
        <f t="shared" si="15"/>
        <v>公共部分装修</v>
      </c>
      <c r="AA36" s="1511">
        <f t="shared" si="3"/>
        <v>1</v>
      </c>
      <c r="AB36" s="1511">
        <f t="shared" si="4"/>
        <v>1</v>
      </c>
      <c r="AC36" s="1511">
        <f t="shared" si="5"/>
        <v>1</v>
      </c>
    </row>
    <row r="37" spans="1:29" s="1203" customFormat="1" ht="15">
      <c r="A37" s="594"/>
      <c r="B37" s="521" t="s">
        <v>724</v>
      </c>
      <c r="C37" s="872">
        <v>1</v>
      </c>
      <c r="D37" s="253">
        <v>100</v>
      </c>
      <c r="E37" s="873">
        <v>1</v>
      </c>
      <c r="F37" s="852">
        <f>LOOKUP(E37,112:112,113:113)-LOOKUP(C37,112:112,113:113)+100</f>
        <v>100</v>
      </c>
      <c r="G37" s="874">
        <v>1</v>
      </c>
      <c r="H37" s="253">
        <f>LOOKUP(G37,112:112,113:113)-LOOKUP(C37,112:112,113:113)+100</f>
        <v>100</v>
      </c>
      <c r="I37" s="873">
        <v>1</v>
      </c>
      <c r="J37" s="253">
        <f>LOOKUP(I37,112:112,113:113)-LOOKUP(C37,112:112,113:113)+100</f>
        <v>100</v>
      </c>
      <c r="K37" s="853">
        <v>2</v>
      </c>
      <c r="L37" s="2018"/>
      <c r="M37" s="2019"/>
      <c r="N37" s="2019"/>
      <c r="O37" s="2020"/>
      <c r="P37" s="3510"/>
      <c r="Q37" s="1134" t="str">
        <f t="shared" si="11"/>
        <v>成新度</v>
      </c>
      <c r="R37" s="1503" t="s">
        <v>11</v>
      </c>
      <c r="S37" s="1504">
        <f t="shared" si="12"/>
        <v>100</v>
      </c>
      <c r="T37" s="1503" t="s">
        <v>11</v>
      </c>
      <c r="U37" s="1504">
        <f t="shared" si="13"/>
        <v>100</v>
      </c>
      <c r="V37" s="1503" t="s">
        <v>11</v>
      </c>
      <c r="W37" s="1504">
        <f t="shared" si="14"/>
        <v>100</v>
      </c>
      <c r="X37" s="1505"/>
      <c r="Y37" s="3510"/>
      <c r="Z37" s="1133" t="str">
        <f t="shared" si="15"/>
        <v>成新度</v>
      </c>
      <c r="AA37" s="1506">
        <f t="shared" si="3"/>
        <v>1</v>
      </c>
      <c r="AB37" s="1506">
        <f t="shared" si="4"/>
        <v>1</v>
      </c>
      <c r="AC37" s="1506">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10" t="s">
        <v>544</v>
      </c>
      <c r="Q38" s="1507" t="str">
        <f t="shared" si="11"/>
        <v>物业管理</v>
      </c>
      <c r="R38" s="1508" t="s">
        <v>11</v>
      </c>
      <c r="S38" s="1509">
        <f t="shared" si="12"/>
        <v>100</v>
      </c>
      <c r="T38" s="1508" t="s">
        <v>11</v>
      </c>
      <c r="U38" s="1509">
        <f t="shared" si="13"/>
        <v>100</v>
      </c>
      <c r="V38" s="1508" t="s">
        <v>11</v>
      </c>
      <c r="W38" s="1509">
        <f t="shared" si="14"/>
        <v>100</v>
      </c>
      <c r="X38" s="1502"/>
      <c r="Y38" s="3510"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10"/>
      <c r="Q39" s="1507" t="str">
        <f t="shared" si="11"/>
        <v>市政基础设施</v>
      </c>
      <c r="R39" s="1508" t="s">
        <v>11</v>
      </c>
      <c r="S39" s="1509">
        <f t="shared" si="12"/>
        <v>100</v>
      </c>
      <c r="T39" s="1508" t="s">
        <v>11</v>
      </c>
      <c r="U39" s="1509">
        <f t="shared" si="13"/>
        <v>100</v>
      </c>
      <c r="V39" s="1508" t="s">
        <v>11</v>
      </c>
      <c r="W39" s="1509">
        <f t="shared" si="14"/>
        <v>100</v>
      </c>
      <c r="X39" s="1502"/>
      <c r="Y39" s="3510"/>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10"/>
      <c r="Q40" s="1507" t="str">
        <f t="shared" si="11"/>
        <v>房型</v>
      </c>
      <c r="R40" s="1508" t="s">
        <v>11</v>
      </c>
      <c r="S40" s="1509">
        <f t="shared" si="12"/>
        <v>100</v>
      </c>
      <c r="T40" s="1508" t="s">
        <v>11</v>
      </c>
      <c r="U40" s="1509">
        <f t="shared" si="13"/>
        <v>100</v>
      </c>
      <c r="V40" s="1508" t="s">
        <v>11</v>
      </c>
      <c r="W40" s="1509">
        <f t="shared" si="14"/>
        <v>100</v>
      </c>
      <c r="X40" s="1502"/>
      <c r="Y40" s="3510"/>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10"/>
      <c r="Q41" s="1536" t="str">
        <f t="shared" si="11"/>
        <v>单套/主力户型建筑面积</v>
      </c>
      <c r="R41" s="1512" t="s">
        <v>11</v>
      </c>
      <c r="S41" s="1513">
        <f t="shared" si="12"/>
        <v>100</v>
      </c>
      <c r="T41" s="1512" t="s">
        <v>11</v>
      </c>
      <c r="U41" s="1513">
        <f t="shared" si="13"/>
        <v>100</v>
      </c>
      <c r="V41" s="1512" t="s">
        <v>11</v>
      </c>
      <c r="W41" s="1513">
        <f t="shared" si="14"/>
        <v>100</v>
      </c>
      <c r="X41" s="1514"/>
      <c r="Y41" s="3510"/>
      <c r="Z41" s="1515" t="str">
        <f t="shared" si="15"/>
        <v>单套/主力户型建筑面积</v>
      </c>
      <c r="AA41" s="1511">
        <f t="shared" si="3"/>
        <v>1</v>
      </c>
      <c r="AB41" s="1511">
        <f t="shared" si="4"/>
        <v>1</v>
      </c>
      <c r="AC41" s="1511">
        <f t="shared" si="5"/>
        <v>1</v>
      </c>
    </row>
    <row r="42" spans="1:29" ht="15">
      <c r="A42" s="588"/>
      <c r="B42" s="521" t="s">
        <v>728</v>
      </c>
      <c r="C42" s="593" t="s">
        <v>3075</v>
      </c>
      <c r="D42" s="534">
        <v>100</v>
      </c>
      <c r="E42" s="863" t="s">
        <v>3071</v>
      </c>
      <c r="F42" s="569">
        <f>SUMIF(122:122,E42,123:123)-SUMIF(122:122,C42,123:123)+100</f>
        <v>109</v>
      </c>
      <c r="G42" s="593" t="s">
        <v>3075</v>
      </c>
      <c r="H42" s="534">
        <f>SUMIF(122:122,G42,123:123)-SUMIF(122:122,C42,123:123)+100</f>
        <v>100</v>
      </c>
      <c r="I42" s="863" t="s">
        <v>3071</v>
      </c>
      <c r="J42" s="534">
        <f>SUMIF(122:122,I42,123:123)-SUMIF(122:122,C42,123:123)+100</f>
        <v>109</v>
      </c>
      <c r="K42" s="853">
        <v>3</v>
      </c>
      <c r="L42" s="2025"/>
      <c r="M42" s="2017"/>
      <c r="N42" s="2017"/>
      <c r="O42" s="2024"/>
      <c r="P42" s="3510"/>
      <c r="Q42" s="1507" t="str">
        <f t="shared" si="11"/>
        <v>内部装修</v>
      </c>
      <c r="R42" s="1508" t="s">
        <v>11</v>
      </c>
      <c r="S42" s="1509">
        <f t="shared" si="12"/>
        <v>109</v>
      </c>
      <c r="T42" s="1508" t="s">
        <v>11</v>
      </c>
      <c r="U42" s="1509">
        <f t="shared" si="13"/>
        <v>100</v>
      </c>
      <c r="V42" s="1508" t="s">
        <v>11</v>
      </c>
      <c r="W42" s="1509">
        <f t="shared" si="14"/>
        <v>109</v>
      </c>
      <c r="X42" s="1502"/>
      <c r="Y42" s="3510"/>
      <c r="Z42" s="1510" t="str">
        <f t="shared" si="15"/>
        <v>内部装修</v>
      </c>
      <c r="AA42" s="1511">
        <f t="shared" si="3"/>
        <v>0.91743119266055051</v>
      </c>
      <c r="AB42" s="1511">
        <f t="shared" si="4"/>
        <v>1</v>
      </c>
      <c r="AC42" s="1511">
        <f t="shared" si="5"/>
        <v>0.91743119266055051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10"/>
      <c r="Q43" s="1507" t="str">
        <f t="shared" si="11"/>
        <v>内部装修维护情况</v>
      </c>
      <c r="R43" s="1508" t="s">
        <v>11</v>
      </c>
      <c r="S43" s="1509">
        <f t="shared" si="12"/>
        <v>100</v>
      </c>
      <c r="T43" s="1508" t="s">
        <v>11</v>
      </c>
      <c r="U43" s="1509">
        <f t="shared" si="13"/>
        <v>100</v>
      </c>
      <c r="V43" s="1508" t="s">
        <v>11</v>
      </c>
      <c r="W43" s="1509">
        <f t="shared" si="14"/>
        <v>100</v>
      </c>
      <c r="X43" s="1502"/>
      <c r="Y43" s="3510"/>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10"/>
      <c r="Q44" s="1134">
        <f t="shared" si="11"/>
        <v>111</v>
      </c>
      <c r="R44" s="1503" t="s">
        <v>11</v>
      </c>
      <c r="S44" s="1504">
        <f t="shared" si="12"/>
        <v>100</v>
      </c>
      <c r="T44" s="1503" t="s">
        <v>11</v>
      </c>
      <c r="U44" s="1504">
        <f t="shared" si="13"/>
        <v>100</v>
      </c>
      <c r="V44" s="1503" t="s">
        <v>11</v>
      </c>
      <c r="W44" s="1504">
        <f t="shared" si="14"/>
        <v>100</v>
      </c>
      <c r="X44" s="1505"/>
      <c r="Y44" s="3510"/>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10"/>
      <c r="Q45" s="1507">
        <f t="shared" si="11"/>
        <v>111</v>
      </c>
      <c r="R45" s="1508" t="s">
        <v>11</v>
      </c>
      <c r="S45" s="1509">
        <f t="shared" si="12"/>
        <v>100</v>
      </c>
      <c r="T45" s="1508" t="s">
        <v>11</v>
      </c>
      <c r="U45" s="1509">
        <f t="shared" si="13"/>
        <v>100</v>
      </c>
      <c r="V45" s="1508" t="s">
        <v>11</v>
      </c>
      <c r="W45" s="1509">
        <f t="shared" si="14"/>
        <v>100</v>
      </c>
      <c r="X45" s="1502"/>
      <c r="Y45" s="3510"/>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69"/>
      <c r="Q46" s="1507">
        <f t="shared" si="11"/>
        <v>111</v>
      </c>
      <c r="R46" s="1508" t="s">
        <v>10</v>
      </c>
      <c r="S46" s="1509">
        <f t="shared" si="12"/>
        <v>100</v>
      </c>
      <c r="T46" s="1508" t="s">
        <v>10</v>
      </c>
      <c r="U46" s="1509">
        <f t="shared" si="13"/>
        <v>100</v>
      </c>
      <c r="V46" s="1508" t="s">
        <v>10</v>
      </c>
      <c r="W46" s="1509">
        <f t="shared" si="14"/>
        <v>100</v>
      </c>
      <c r="X46" s="1502"/>
      <c r="Y46" s="3569"/>
      <c r="Z46" s="1510">
        <f t="shared" si="15"/>
        <v>111</v>
      </c>
      <c r="AA46" s="1511">
        <f t="shared" si="3"/>
        <v>1</v>
      </c>
      <c r="AB46" s="1511">
        <f t="shared" si="4"/>
        <v>1</v>
      </c>
      <c r="AC46" s="1511">
        <f t="shared" si="5"/>
        <v>1</v>
      </c>
    </row>
    <row r="47" spans="1:29" ht="15">
      <c r="A47" s="601" t="s">
        <v>730</v>
      </c>
      <c r="B47" s="876"/>
      <c r="C47" s="2471" t="s">
        <v>9</v>
      </c>
      <c r="D47" s="2472"/>
      <c r="E47" s="2473">
        <v>11800</v>
      </c>
      <c r="F47" s="2474"/>
      <c r="G47" s="2475">
        <v>12000</v>
      </c>
      <c r="H47" s="2476"/>
      <c r="I47" s="2473">
        <v>14150</v>
      </c>
      <c r="J47" s="2476"/>
      <c r="K47" s="1537"/>
      <c r="L47" s="2027"/>
      <c r="M47" s="2028"/>
      <c r="N47" s="2017"/>
      <c r="O47" s="2028"/>
      <c r="P47" s="3473" t="str">
        <f>A47</f>
        <v>成交单价（元/平方米）</v>
      </c>
      <c r="Q47" s="3473"/>
      <c r="R47" s="3568">
        <f>E47</f>
        <v>11800</v>
      </c>
      <c r="S47" s="3568"/>
      <c r="T47" s="3568">
        <f>G47</f>
        <v>12000</v>
      </c>
      <c r="U47" s="3568"/>
      <c r="V47" s="3568">
        <f>I47</f>
        <v>14150</v>
      </c>
      <c r="W47" s="3568"/>
      <c r="X47" s="1497"/>
      <c r="Y47" s="1516"/>
      <c r="Z47" s="1497"/>
      <c r="AA47" s="1497"/>
      <c r="AB47" s="1497"/>
      <c r="AC47" s="1497"/>
    </row>
    <row r="48" spans="1:29" ht="15.75" thickBot="1">
      <c r="A48" s="609" t="s">
        <v>2740</v>
      </c>
      <c r="B48" s="877"/>
      <c r="C48" s="2477">
        <f>R49</f>
        <v>10160</v>
      </c>
      <c r="D48" s="3015" t="s">
        <v>2959</v>
      </c>
      <c r="E48" s="2478">
        <f>R48</f>
        <v>9554</v>
      </c>
      <c r="F48" s="3016"/>
      <c r="G48" s="2477">
        <f>T48</f>
        <v>10255</v>
      </c>
      <c r="H48" s="3016"/>
      <c r="I48" s="2478">
        <f>V48</f>
        <v>10671</v>
      </c>
      <c r="J48" s="3016"/>
      <c r="K48" s="3024">
        <f>F48+H48+J48</f>
        <v>0</v>
      </c>
      <c r="L48" s="2027"/>
      <c r="M48" s="2028"/>
      <c r="N48" s="2028"/>
      <c r="O48" s="2028"/>
      <c r="P48" s="3473" t="str">
        <f>A48</f>
        <v>比较价格（元/平方米）</v>
      </c>
      <c r="Q48" s="3473"/>
      <c r="R48" s="3568">
        <f>IF(F1="售价",ROUND(PRODUCT(R47,AA7:AA46),0),ROUND(PRODUCT(R47,AA7:AA46),1))</f>
        <v>9554</v>
      </c>
      <c r="S48" s="3568"/>
      <c r="T48" s="3568">
        <f>IF(F1="售价",ROUND(PRODUCT(T47,AB7:AB46),0),ROUND(PRODUCT(T47,AB7:AB46),1))</f>
        <v>10255</v>
      </c>
      <c r="U48" s="3568"/>
      <c r="V48" s="3568">
        <f>IF(F1="售价",ROUND(PRODUCT(V47,AC7:AC46),0),ROUND(PRODUCT(V47,AC7:AC46),1))</f>
        <v>10671</v>
      </c>
      <c r="W48" s="3568"/>
      <c r="X48" s="1497"/>
      <c r="Y48" s="1497"/>
      <c r="Z48" s="1497"/>
      <c r="AA48" s="1497"/>
      <c r="AB48" s="1497"/>
      <c r="AC48" s="1497"/>
    </row>
    <row r="49" spans="1:29" ht="15.75" thickBot="1">
      <c r="A49" s="613" t="s">
        <v>2890</v>
      </c>
      <c r="B49" s="614"/>
      <c r="C49" s="2479">
        <f>R49</f>
        <v>10160</v>
      </c>
      <c r="D49" s="2479"/>
      <c r="E49" s="2479"/>
      <c r="F49" s="2479"/>
      <c r="G49" s="2479"/>
      <c r="H49" s="2479"/>
      <c r="I49" s="2479"/>
      <c r="J49" s="2479"/>
      <c r="K49" s="1538"/>
      <c r="L49" s="2027"/>
      <c r="M49" s="2028"/>
      <c r="N49" s="2028"/>
      <c r="O49" s="2028"/>
      <c r="P49" s="3470" t="str">
        <f>A49</f>
        <v>估价对象XX用房的比较价格（楼面单价，元/平方米）</v>
      </c>
      <c r="Q49" s="3471"/>
      <c r="R49" s="3567">
        <f>IF(F1="售价",ROUND(IF(D48="简单平均",AVERAGE(R48:V48),R48*F48+T48*H48+V48*J48),0),ROUND(IF(D48="简单平均",AVERAGE(R48:V48),R48*F48+T48*H48+V48*J48),1))</f>
        <v>10160</v>
      </c>
      <c r="S49" s="3567"/>
      <c r="T49" s="3567"/>
      <c r="U49" s="3567"/>
      <c r="V49" s="3567"/>
      <c r="W49" s="3567"/>
      <c r="X49" s="1497"/>
      <c r="Y49" s="1497"/>
      <c r="Z49" s="1497"/>
      <c r="AA49" s="1497"/>
      <c r="AB49" s="1497"/>
      <c r="AC49" s="1497"/>
    </row>
    <row r="50" spans="1:29">
      <c r="A50" s="3214"/>
      <c r="B50" s="3214"/>
      <c r="C50" s="3214"/>
      <c r="D50" s="3214"/>
      <c r="E50" s="3214"/>
      <c r="F50" s="3214"/>
      <c r="G50" s="3216"/>
      <c r="H50" s="3214"/>
      <c r="I50" s="3214">
        <f>I47*(J42/100-1)</f>
        <v>1273.5000000000011</v>
      </c>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f>IF(E47&lt;E48,E48/E47-1,E47/E48-1)</f>
        <v>0.23508478124345822</v>
      </c>
      <c r="F52" s="619" t="str">
        <f>IF(OR(E52&gt;=0.3,E52&lt;=-0.3),"超过30%","")</f>
        <v/>
      </c>
      <c r="G52" s="618">
        <f>IF(G47&lt;G48,G48/G47-1,G47/G48-1)</f>
        <v>0.17016089712335436</v>
      </c>
      <c r="H52" s="619" t="str">
        <f>IF(OR(G52&gt;=0.3,G52&lt;=-0.3),"超过30%","")</f>
        <v/>
      </c>
      <c r="I52" s="618">
        <f>IF(I47&lt;I48,I48/I47-1,I47/I48-1)</f>
        <v>0.32602380283010035</v>
      </c>
      <c r="J52" s="619" t="str">
        <f>IF(OR(I52&gt;=0.3,I52&lt;=-0.3),"超过30%","")</f>
        <v>超过30%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f>IF(E48&lt;G48,G48/E48-1,E48/G48-1)</f>
        <v>7.3372409462005406E-2</v>
      </c>
      <c r="F53" s="619" t="str">
        <f>IF(OR(E53&gt;=0.2,E53&lt;=-0.2),"超过20%","")</f>
        <v/>
      </c>
      <c r="G53" s="618">
        <f>IF(G48&lt;I48,I48/G48-1,G48/I48-1)</f>
        <v>4.0565577766942917E-2</v>
      </c>
      <c r="H53" s="619" t="str">
        <f>IF(OR(G53&gt;=0.2,G53&lt;=-0.2),"超过20%","")</f>
        <v/>
      </c>
      <c r="I53" s="618">
        <f>IF(I48&lt;E48,E48/I48-1,I48/E48-1)</f>
        <v>0.11691438141092747</v>
      </c>
      <c r="J53" s="619" t="str">
        <f>IF(OR(I53&gt;=0.2,I53&lt;=-0.2),"超过20%","")</f>
        <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f>IF(E47&lt;G47,G47/E47-1,E47/G47-1)</f>
        <v>1.6949152542372836E-2</v>
      </c>
      <c r="F54" s="619" t="str">
        <f>IF(OR(E54&gt;=0.3,E54&lt;=-0.3),"超过30%","")</f>
        <v/>
      </c>
      <c r="G54" s="618">
        <f>IF(G47&lt;I47,I47/G47-1,G47/I47-1)</f>
        <v>0.1791666666666667</v>
      </c>
      <c r="H54" s="619" t="str">
        <f>IF(OR(G54&gt;=0.3,G54&lt;=-0.3),"超过30%","")</f>
        <v/>
      </c>
      <c r="I54" s="618">
        <f>IF(I47&lt;E47,E47/I47-1,I47/E47-1)</f>
        <v>0.19915254237288127</v>
      </c>
      <c r="J54" s="619" t="str">
        <f>IF(OR(I54&gt;=0.3,I54&lt;=-0.3),"超过30%","")</f>
        <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2020-8</v>
      </c>
      <c r="D58" s="2522">
        <f>EDATE(C58,-1)</f>
        <v>44013</v>
      </c>
      <c r="E58" s="2522">
        <f t="shared" ref="E58:O58" si="16">EDATE(D58,-1)</f>
        <v>43983</v>
      </c>
      <c r="F58" s="2522">
        <f t="shared" si="16"/>
        <v>43952</v>
      </c>
      <c r="G58" s="2522">
        <f t="shared" si="16"/>
        <v>43922</v>
      </c>
      <c r="H58" s="2522">
        <f t="shared" si="16"/>
        <v>43891</v>
      </c>
      <c r="I58" s="2522">
        <f t="shared" si="16"/>
        <v>43862</v>
      </c>
      <c r="J58" s="2522">
        <f t="shared" si="16"/>
        <v>43831</v>
      </c>
      <c r="K58" s="2522">
        <f t="shared" si="16"/>
        <v>43800</v>
      </c>
      <c r="L58" s="2522">
        <f t="shared" si="16"/>
        <v>43770</v>
      </c>
      <c r="M58" s="2522">
        <f t="shared" si="16"/>
        <v>43739</v>
      </c>
      <c r="N58" s="2522">
        <f t="shared" si="16"/>
        <v>43709</v>
      </c>
      <c r="O58" s="2522">
        <f t="shared" si="16"/>
        <v>43678</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t="str">
        <f>C9</f>
        <v>住宅</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4（含）-5</v>
      </c>
      <c r="H67" s="674" t="str">
        <f t="shared" si="18"/>
        <v>5（含）-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v>0</v>
      </c>
      <c r="D68" s="535">
        <v>1</v>
      </c>
      <c r="E68" s="535">
        <v>2</v>
      </c>
      <c r="F68" s="535">
        <v>3</v>
      </c>
      <c r="G68" s="535">
        <v>4</v>
      </c>
      <c r="H68" s="535">
        <v>5</v>
      </c>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97</v>
      </c>
      <c r="E77" s="671">
        <f>D77-$K15</f>
        <v>94</v>
      </c>
      <c r="F77" s="671">
        <f>E77-$K15</f>
        <v>91</v>
      </c>
      <c r="G77" s="671">
        <f>F77-$K15</f>
        <v>88</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98</v>
      </c>
      <c r="E79" s="671">
        <f>D79-$K17</f>
        <v>96</v>
      </c>
      <c r="F79" s="671">
        <f>E79-$K17</f>
        <v>94</v>
      </c>
      <c r="G79" s="671">
        <f>F79-$K17</f>
        <v>92</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98</v>
      </c>
      <c r="E81" s="671">
        <f>D81-$K19</f>
        <v>96</v>
      </c>
      <c r="F81" s="671">
        <f>E81-$K19</f>
        <v>94</v>
      </c>
      <c r="G81" s="671">
        <f>F81-$K19</f>
        <v>92</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98</v>
      </c>
      <c r="E83" s="671">
        <f>D83-$K21</f>
        <v>96</v>
      </c>
      <c r="F83" s="671">
        <f>E83-$K21</f>
        <v>94</v>
      </c>
      <c r="G83" s="671">
        <f>F83-$K21</f>
        <v>92</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98</v>
      </c>
      <c r="E85" s="671">
        <f>D85-$K23</f>
        <v>96</v>
      </c>
      <c r="F85" s="671">
        <f>E85-$K23</f>
        <v>94</v>
      </c>
      <c r="G85" s="671">
        <f>F85-$K23</f>
        <v>92</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3290" t="s">
        <v>3062</v>
      </c>
      <c r="D100" s="3290" t="s">
        <v>3064</v>
      </c>
      <c r="E100" s="3290" t="s">
        <v>3065</v>
      </c>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95</v>
      </c>
      <c r="E101" s="671">
        <f t="shared" si="22"/>
        <v>90</v>
      </c>
      <c r="F101" s="671">
        <f t="shared" si="22"/>
        <v>85</v>
      </c>
      <c r="G101" s="671">
        <f t="shared" si="22"/>
        <v>80</v>
      </c>
      <c r="H101" s="671">
        <f t="shared" si="22"/>
        <v>75</v>
      </c>
      <c r="I101" s="671">
        <f t="shared" si="22"/>
        <v>70</v>
      </c>
      <c r="J101" s="671">
        <f t="shared" si="22"/>
        <v>65</v>
      </c>
      <c r="K101" s="671">
        <f t="shared" si="22"/>
        <v>60</v>
      </c>
      <c r="L101" s="671">
        <f t="shared" si="22"/>
        <v>55</v>
      </c>
      <c r="M101" s="671">
        <f t="shared" si="22"/>
        <v>50</v>
      </c>
      <c r="N101" s="2048"/>
      <c r="O101" s="2048"/>
      <c r="P101" s="2047"/>
      <c r="Q101" s="2040"/>
      <c r="R101" s="2028"/>
      <c r="S101" s="2028"/>
      <c r="T101" s="2028"/>
      <c r="U101" s="2028"/>
      <c r="V101" s="2028"/>
      <c r="W101" s="2028"/>
      <c r="X101" s="2028"/>
      <c r="Y101" s="2028"/>
      <c r="Z101" s="2028"/>
      <c r="AA101" s="2028"/>
      <c r="AB101" s="2028"/>
      <c r="AC101" s="2028"/>
    </row>
    <row r="102" spans="1:29" ht="29.25" thickTop="1">
      <c r="A102" s="661"/>
      <c r="B102" s="665" t="s">
        <v>742</v>
      </c>
      <c r="C102" s="700" t="str">
        <f>C103&amp;"(含)"&amp;"-"&amp;D103</f>
        <v>0(含)-50000</v>
      </c>
      <c r="D102" s="700" t="str">
        <f t="shared" ref="D102:L102" si="23">D103&amp;"(含)"&amp;"-"&amp;E103</f>
        <v>50000(含)-100000</v>
      </c>
      <c r="E102" s="700" t="str">
        <f t="shared" si="23"/>
        <v>100000(含)-150000</v>
      </c>
      <c r="F102" s="700" t="str">
        <f t="shared" si="23"/>
        <v>150000(含)-200000</v>
      </c>
      <c r="G102" s="700" t="str">
        <f t="shared" si="23"/>
        <v>200000(含)-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v>0</v>
      </c>
      <c r="D103" s="722">
        <v>50000</v>
      </c>
      <c r="E103" s="722">
        <v>100000</v>
      </c>
      <c r="F103" s="722">
        <v>150000</v>
      </c>
      <c r="G103" s="722">
        <v>200000</v>
      </c>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v>100</v>
      </c>
      <c r="D104" s="663">
        <v>102</v>
      </c>
      <c r="E104" s="663">
        <v>104</v>
      </c>
      <c r="F104" s="663">
        <v>106</v>
      </c>
      <c r="G104" s="663">
        <v>108</v>
      </c>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97</v>
      </c>
      <c r="E106" s="671">
        <f t="shared" si="24"/>
        <v>94</v>
      </c>
      <c r="F106" s="671">
        <f t="shared" si="24"/>
        <v>91</v>
      </c>
      <c r="G106" s="671">
        <f t="shared" si="24"/>
        <v>88</v>
      </c>
      <c r="H106" s="671">
        <f t="shared" si="24"/>
        <v>85</v>
      </c>
      <c r="I106" s="671">
        <f t="shared" si="24"/>
        <v>82</v>
      </c>
      <c r="J106" s="671">
        <f t="shared" si="24"/>
        <v>79</v>
      </c>
      <c r="K106" s="671">
        <f t="shared" si="24"/>
        <v>76</v>
      </c>
      <c r="L106" s="671">
        <f t="shared" si="24"/>
        <v>73</v>
      </c>
      <c r="M106" s="671">
        <f t="shared" si="24"/>
        <v>70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3292" t="s">
        <v>3067</v>
      </c>
      <c r="D107" s="3292" t="s">
        <v>3069</v>
      </c>
      <c r="E107" s="3292" t="s">
        <v>3070</v>
      </c>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95</v>
      </c>
      <c r="E108" s="671">
        <f t="shared" si="25"/>
        <v>90</v>
      </c>
      <c r="F108" s="671">
        <f t="shared" si="25"/>
        <v>85</v>
      </c>
      <c r="G108" s="671">
        <f t="shared" si="25"/>
        <v>80</v>
      </c>
      <c r="H108" s="671">
        <f t="shared" si="25"/>
        <v>75</v>
      </c>
      <c r="I108" s="671">
        <f t="shared" si="25"/>
        <v>70</v>
      </c>
      <c r="J108" s="671">
        <f t="shared" si="25"/>
        <v>65</v>
      </c>
      <c r="K108" s="671">
        <f t="shared" si="25"/>
        <v>60</v>
      </c>
      <c r="L108" s="671">
        <f t="shared" si="25"/>
        <v>55</v>
      </c>
      <c r="M108" s="671">
        <f t="shared" si="25"/>
        <v>50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3291" t="s">
        <v>3072</v>
      </c>
      <c r="D122" s="3291" t="s">
        <v>3073</v>
      </c>
      <c r="E122" s="3291" t="s">
        <v>3074</v>
      </c>
      <c r="F122" s="3292" t="s">
        <v>3076</v>
      </c>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97</v>
      </c>
      <c r="E123" s="671">
        <f t="shared" si="29"/>
        <v>94</v>
      </c>
      <c r="F123" s="671">
        <f t="shared" si="29"/>
        <v>91</v>
      </c>
      <c r="G123" s="671">
        <f t="shared" si="29"/>
        <v>88</v>
      </c>
      <c r="H123" s="671">
        <f t="shared" si="29"/>
        <v>85</v>
      </c>
      <c r="I123" s="671">
        <f t="shared" si="29"/>
        <v>82</v>
      </c>
      <c r="J123" s="671">
        <f t="shared" si="29"/>
        <v>79</v>
      </c>
      <c r="K123" s="671">
        <f t="shared" si="29"/>
        <v>76</v>
      </c>
      <c r="L123" s="671">
        <f t="shared" si="29"/>
        <v>73</v>
      </c>
      <c r="M123" s="671">
        <f t="shared" si="29"/>
        <v>70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2246</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2247</v>
      </c>
      <c r="C137" s="1834"/>
      <c r="D137" s="1834"/>
      <c r="E137" s="1834"/>
      <c r="F137" s="1834"/>
      <c r="G137" s="1835"/>
      <c r="H137" s="1836"/>
      <c r="I137" s="1837" t="s">
        <v>2248</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2249</v>
      </c>
      <c r="D138" s="1840" t="s">
        <v>2250</v>
      </c>
      <c r="E138" s="1841" t="s">
        <v>2251</v>
      </c>
      <c r="F138" s="1842" t="s">
        <v>2252</v>
      </c>
      <c r="G138" s="1840" t="s">
        <v>2253</v>
      </c>
      <c r="H138" s="1843" t="s">
        <v>2254</v>
      </c>
      <c r="I138" s="1844"/>
      <c r="J138" s="1840" t="s">
        <v>2255</v>
      </c>
      <c r="K138" s="1843" t="s">
        <v>2256</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2257</v>
      </c>
      <c r="E139" s="1814">
        <v>100</v>
      </c>
      <c r="F139" s="1815">
        <v>102.5</v>
      </c>
      <c r="G139" s="1845" t="s">
        <v>2258</v>
      </c>
      <c r="H139" s="1816">
        <v>105</v>
      </c>
      <c r="I139" s="1846" t="s">
        <v>2259</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2260</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2261</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2262</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2263</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2264</v>
      </c>
      <c r="E144" s="1820">
        <v>102</v>
      </c>
      <c r="F144" s="1826">
        <v>100</v>
      </c>
      <c r="G144" s="1849" t="s">
        <v>2264</v>
      </c>
      <c r="H144" s="1822">
        <v>105</v>
      </c>
      <c r="I144" s="1848" t="s">
        <v>2263</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2265</v>
      </c>
      <c r="C145" s="1827">
        <f>ROUND(MAX(C139:C144)/MIN(C139:C144)-1,3)</f>
        <v>7.2999999999999995E-2</v>
      </c>
      <c r="D145" s="1851"/>
      <c r="E145" s="1851"/>
      <c r="F145" s="1852" t="s">
        <v>2266</v>
      </c>
      <c r="G145" s="1853"/>
      <c r="H145" s="1854"/>
      <c r="I145" s="1855" t="s">
        <v>2263</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2274</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2275</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8" stopIfTrue="1" operator="containsText" text="超过">
      <formula>NOT(ISERROR(SEARCH("超过",F52)))</formula>
    </cfRule>
  </conditionalFormatting>
  <conditionalFormatting sqref="J54">
    <cfRule type="containsText" dxfId="120" priority="17" stopIfTrue="1" operator="containsText" text="超过">
      <formula>NOT(ISERROR(SEARCH("超过",J54)))</formula>
    </cfRule>
  </conditionalFormatting>
  <conditionalFormatting sqref="H54">
    <cfRule type="containsText" dxfId="119" priority="16" stopIfTrue="1" operator="containsText" text="超过">
      <formula>NOT(ISERROR(SEARCH("超过",H54)))</formula>
    </cfRule>
  </conditionalFormatting>
  <conditionalFormatting sqref="F54">
    <cfRule type="containsText" dxfId="118" priority="15" stopIfTrue="1" operator="containsText" text="超过">
      <formula>NOT(ISERROR(SEARCH("超过",F54)))</formula>
    </cfRule>
  </conditionalFormatting>
  <conditionalFormatting sqref="F53 H53 J53">
    <cfRule type="containsText" dxfId="117" priority="14" stopIfTrue="1" operator="containsText" text="超过">
      <formula>NOT(ISERROR(SEARCH("超过",F53)))</formula>
    </cfRule>
  </conditionalFormatting>
  <conditionalFormatting sqref="E52">
    <cfRule type="expression" dxfId="116" priority="13" stopIfTrue="1">
      <formula>$F$52="超过30%"</formula>
    </cfRule>
  </conditionalFormatting>
  <conditionalFormatting sqref="G54">
    <cfRule type="expression" dxfId="115" priority="11" stopIfTrue="1">
      <formula>$H$54="超过30%"</formula>
    </cfRule>
  </conditionalFormatting>
  <conditionalFormatting sqref="E53">
    <cfRule type="expression" dxfId="114" priority="10" stopIfTrue="1">
      <formula>$F$53="超过20%"</formula>
    </cfRule>
  </conditionalFormatting>
  <conditionalFormatting sqref="E54">
    <cfRule type="expression" dxfId="113" priority="9" stopIfTrue="1">
      <formula>$F$54="超过30%"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I52">
    <cfRule type="expression" dxfId="110" priority="6" stopIfTrue="1">
      <formula>$J$52="超过30%"</formula>
    </cfRule>
  </conditionalFormatting>
  <conditionalFormatting sqref="I53">
    <cfRule type="expression" dxfId="109" priority="5" stopIfTrue="1">
      <formula>$J$53="超过20%"</formula>
    </cfRule>
  </conditionalFormatting>
  <conditionalFormatting sqref="I54">
    <cfRule type="expression" dxfId="108" priority="4" stopIfTrue="1">
      <formula>$J$54="超过30%"</formula>
    </cfRule>
  </conditionalFormatting>
  <conditionalFormatting sqref="F48">
    <cfRule type="expression" dxfId="107" priority="3">
      <formula>$D$48="简单平均"</formula>
    </cfRule>
  </conditionalFormatting>
  <conditionalFormatting sqref="H48">
    <cfRule type="expression" dxfId="106" priority="2">
      <formula>$D$48="简单平均"</formula>
    </cfRule>
  </conditionalFormatting>
  <conditionalFormatting sqref="J48">
    <cfRule type="expression" dxfId="105" priority="1">
      <formula>$D$48="简单平均"</formula>
    </cfRule>
  </conditionalFormatting>
  <dataValidations count="22">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D48" xr:uid="{00000000-0002-0000-20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21157-C8AF-4382-BBA2-90F0FA1877F8}">
  <dimension ref="A1"/>
  <sheetViews>
    <sheetView workbookViewId="0">
      <selection activeCell="O20" sqref="O20"/>
    </sheetView>
  </sheetViews>
  <sheetFormatPr defaultRowHeight="13.5"/>
  <sheetData/>
  <phoneticPr fontId="228"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80" zoomScaleNormal="60" zoomScaleSheetLayoutView="80" workbookViewId="0">
      <selection activeCell="E36" sqref="E36"/>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3002</v>
      </c>
      <c r="D1" s="2799" t="s">
        <v>3052</v>
      </c>
      <c r="E1" s="2243" t="s">
        <v>2358</v>
      </c>
      <c r="F1" s="2244">
        <f ca="1">J53</f>
        <v>35.32</v>
      </c>
      <c r="G1" s="3259">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67439</v>
      </c>
      <c r="C2" s="3264"/>
      <c r="D2" s="3265"/>
      <c r="E2" s="3266"/>
      <c r="F2" s="3266"/>
      <c r="G2" s="3260"/>
      <c r="H2" s="1941"/>
      <c r="I2" s="1941"/>
      <c r="J2" s="1941"/>
      <c r="K2" s="1942"/>
      <c r="L2" s="1941"/>
      <c r="M2" s="1941"/>
    </row>
    <row r="3" spans="1:33" ht="18" customHeight="1" thickBot="1">
      <c r="A3" s="822" t="s">
        <v>1718</v>
      </c>
      <c r="B3" s="823">
        <f ca="1">IF(ISERROR(B2*10000/F43),0,ROUND(B2*10000/F43,0))</f>
        <v>9085</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5426</v>
      </c>
      <c r="D5" s="2350" t="s">
        <v>2442</v>
      </c>
      <c r="E5" s="2344"/>
      <c r="F5" s="2345"/>
      <c r="G5" s="1946"/>
      <c r="H5" s="771">
        <v>1</v>
      </c>
      <c r="I5" s="772" t="s">
        <v>2439</v>
      </c>
      <c r="J5" s="55">
        <f ca="1">J6+J10+J12</f>
        <v>0</v>
      </c>
      <c r="K5" s="2350" t="s">
        <v>2442</v>
      </c>
      <c r="L5" s="2344"/>
      <c r="M5" s="2345"/>
    </row>
    <row r="6" spans="1:33" ht="18" customHeight="1">
      <c r="A6" s="1746" t="s">
        <v>1815</v>
      </c>
      <c r="B6" s="3561" t="s">
        <v>2444</v>
      </c>
      <c r="C6" s="773">
        <f ca="1">ROUND(F6*F8*F7*(1-F9)/10000,0)</f>
        <v>5419</v>
      </c>
      <c r="D6" s="2351" t="s">
        <v>2443</v>
      </c>
      <c r="E6" s="774" t="s">
        <v>1729</v>
      </c>
      <c r="F6" s="775">
        <f ca="1">INDIRECT("'数据-取费表'!u"&amp;$G$1)</f>
        <v>2.5</v>
      </c>
      <c r="G6" s="1946"/>
      <c r="H6" s="2358" t="s">
        <v>2449</v>
      </c>
      <c r="I6" s="3561" t="s">
        <v>2444</v>
      </c>
      <c r="J6" s="773">
        <f ca="1">ROUND(M6*M8*M7*(1-M9)/10000,0)</f>
        <v>0</v>
      </c>
      <c r="K6" s="339" t="s">
        <v>1728</v>
      </c>
      <c r="L6" s="774" t="s">
        <v>1729</v>
      </c>
      <c r="M6" s="775">
        <f ca="1">INDIRECT("'数据-取费表'!z"&amp;$G$1)</f>
        <v>0</v>
      </c>
    </row>
    <row r="7" spans="1:33" ht="18" customHeight="1">
      <c r="A7" s="2354"/>
      <c r="B7" s="3562"/>
      <c r="C7" s="778"/>
      <c r="D7" s="779"/>
      <c r="E7" s="774" t="s">
        <v>1730</v>
      </c>
      <c r="F7" s="775">
        <f ca="1">IF(INDIRECT("'数据-取费表'!ah"&amp;$G$1)="",INDIRECT("'数据-取费表'!k"&amp;$G$1),INDIRECT("'数据-取费表'!ah"&amp;$G$1))</f>
        <v>74233.119999999995</v>
      </c>
      <c r="G7" s="1946"/>
      <c r="H7" s="2343"/>
      <c r="I7" s="3562"/>
      <c r="J7" s="778"/>
      <c r="K7" s="779"/>
      <c r="L7" s="774" t="s">
        <v>1730</v>
      </c>
      <c r="M7" s="775">
        <f ca="1">F7</f>
        <v>74233.119999999995</v>
      </c>
    </row>
    <row r="8" spans="1:33" ht="18" customHeight="1">
      <c r="A8" s="2347"/>
      <c r="B8" s="3563"/>
      <c r="C8" s="778"/>
      <c r="D8" s="779"/>
      <c r="E8" s="774" t="s">
        <v>1731</v>
      </c>
      <c r="F8" s="775">
        <f ca="1">INDIRECT("'数据-取费表'!ai"&amp;$G$1)</f>
        <v>365</v>
      </c>
      <c r="G8" s="1946"/>
      <c r="H8" s="2343"/>
      <c r="I8" s="3563"/>
      <c r="J8" s="778"/>
      <c r="K8" s="779"/>
      <c r="L8" s="774" t="s">
        <v>1731</v>
      </c>
      <c r="M8" s="775">
        <f ca="1">INDIRECT("'数据-取费表'!ai"&amp;$G$1)</f>
        <v>365</v>
      </c>
    </row>
    <row r="9" spans="1:33" ht="18" customHeight="1">
      <c r="A9" s="776"/>
      <c r="B9" s="3564"/>
      <c r="C9" s="778"/>
      <c r="D9" s="779"/>
      <c r="E9" s="774" t="s">
        <v>1732</v>
      </c>
      <c r="F9" s="784">
        <f ca="1">INDIRECT("'数据-取费表'!w"&amp;$G$1)</f>
        <v>0.2</v>
      </c>
      <c r="G9" s="1946"/>
      <c r="H9" s="2359"/>
      <c r="I9" s="3563"/>
      <c r="J9" s="778"/>
      <c r="K9" s="779"/>
      <c r="L9" s="785" t="s">
        <v>1732</v>
      </c>
      <c r="M9" s="786">
        <f ca="1">INDIRECT("'数据-取费表'!ab"&amp;$G$1)</f>
        <v>0</v>
      </c>
    </row>
    <row r="10" spans="1:33" ht="18" customHeight="1">
      <c r="A10" s="1746" t="s">
        <v>2447</v>
      </c>
      <c r="B10" s="2348" t="s">
        <v>2440</v>
      </c>
      <c r="C10" s="789">
        <f ca="1">ROUND(IF(F10="押一",C6/12*F11,IF(F10="押二",C6/12*2*F11,IF(F10="押三",C6/12*3*F11,C11*F11))),0)</f>
        <v>7</v>
      </c>
      <c r="D10" s="2355" t="s">
        <v>2925</v>
      </c>
      <c r="E10" s="2352" t="s">
        <v>2445</v>
      </c>
      <c r="F10" s="2466" t="s">
        <v>3053</v>
      </c>
      <c r="G10" s="1946"/>
      <c r="H10" s="2415" t="s">
        <v>2450</v>
      </c>
      <c r="I10" s="2420" t="s">
        <v>2440</v>
      </c>
      <c r="J10" s="773">
        <f ca="1">ROUND(IF(M10="押一",J6/12*M11,IF(M10="押二",J6/12*2*M11,IF(M10="押三",J6/12*3*M11,J11*M11))),0)</f>
        <v>0</v>
      </c>
      <c r="K10" s="2355" t="s">
        <v>2925</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f ca="1">ROUND(C29*F13,0)</f>
        <v>45204</v>
      </c>
      <c r="D13" s="1750" t="s">
        <v>2284</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27466</v>
      </c>
      <c r="D14" s="1894" t="s">
        <v>1736</v>
      </c>
      <c r="E14" s="1895"/>
      <c r="F14" s="795"/>
      <c r="G14" s="1946"/>
      <c r="H14" s="1578" t="s">
        <v>1821</v>
      </c>
      <c r="I14" s="2112" t="s">
        <v>2805</v>
      </c>
      <c r="J14" s="53">
        <f ca="1">C29</f>
        <v>45204</v>
      </c>
      <c r="K14" s="26"/>
      <c r="L14" s="791"/>
      <c r="M14" s="792"/>
    </row>
    <row r="15" spans="1:33" s="1948" customFormat="1" ht="18" customHeight="1" thickBot="1">
      <c r="A15" s="1577" t="s">
        <v>1876</v>
      </c>
      <c r="B15" s="774" t="s">
        <v>641</v>
      </c>
      <c r="C15" s="53">
        <f ca="1">ROUND(C14*F15,0)</f>
        <v>1373</v>
      </c>
      <c r="D15" s="796" t="s">
        <v>1737</v>
      </c>
      <c r="E15" s="796" t="s">
        <v>1738</v>
      </c>
      <c r="F15" s="797">
        <f>'数据-取费表'!B33</f>
        <v>0.05</v>
      </c>
      <c r="G15" s="3261"/>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4731</v>
      </c>
      <c r="K16" s="1737" t="s">
        <v>1741</v>
      </c>
      <c r="L16" s="2340"/>
      <c r="M16" s="2345"/>
    </row>
    <row r="17" spans="1:33" s="1948" customFormat="1" ht="18" customHeight="1">
      <c r="A17" s="1577" t="s">
        <v>1878</v>
      </c>
      <c r="B17" s="774" t="s">
        <v>647</v>
      </c>
      <c r="C17" s="53">
        <f ca="1">ROUND(F17*(F43+INDIRECT("'数据-取费表'!S"&amp;$G$1))/10000,0)</f>
        <v>1485</v>
      </c>
      <c r="D17" s="774" t="s">
        <v>1742</v>
      </c>
      <c r="E17" s="774" t="s">
        <v>1743</v>
      </c>
      <c r="F17" s="56">
        <f>'数据-取费表'!B35</f>
        <v>200</v>
      </c>
      <c r="G17" s="3261"/>
      <c r="H17" s="1578" t="s">
        <v>1821</v>
      </c>
      <c r="I17" s="774" t="s">
        <v>650</v>
      </c>
      <c r="J17" s="3020">
        <f ca="1">ROUND(IF(AND(项目基本情况!B11="自然人",项目基本情况!B10="北京市"),J6*M17/(1+'数据-取费表'!F30),J18+J19+J20),0)</f>
        <v>3827</v>
      </c>
      <c r="K17" s="2339" t="s">
        <v>1744</v>
      </c>
      <c r="L17" s="2338"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412</v>
      </c>
      <c r="D18" s="774" t="s">
        <v>1737</v>
      </c>
      <c r="E18" s="774" t="s">
        <v>1738</v>
      </c>
      <c r="F18" s="799">
        <f>'数据-取费表'!B36</f>
        <v>1.4999999999999999E-2</v>
      </c>
      <c r="G18" s="3261"/>
      <c r="H18" s="1577" t="s">
        <v>1875</v>
      </c>
      <c r="I18" s="774" t="s">
        <v>1746</v>
      </c>
      <c r="J18" s="53">
        <f ca="1">ROUND(J6*M18/(1+'数据-取费表'!C42),1)</f>
        <v>0</v>
      </c>
      <c r="K18" s="2338"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30736</v>
      </c>
      <c r="D19" s="259" t="s">
        <v>1748</v>
      </c>
      <c r="E19" s="1897"/>
      <c r="F19" s="56"/>
      <c r="G19" s="1946"/>
      <c r="H19" s="1577" t="s">
        <v>1876</v>
      </c>
      <c r="I19" s="774" t="s">
        <v>1749</v>
      </c>
      <c r="J19" s="53">
        <f ca="1">IF(K19="按租金收入计税",ROUND(J6*M19/(1+'数据-取费表'!C42),1),ROUND(C29*F33*0.7,1))</f>
        <v>3797.1</v>
      </c>
      <c r="K19" s="800" t="s">
        <v>659</v>
      </c>
      <c r="L19" s="774" t="s">
        <v>1738</v>
      </c>
      <c r="M19" s="799">
        <f>IF(K19="按租金收入计税",'数据-取费表'!B51,'数据-取费表'!B50)</f>
        <v>1.2E-2</v>
      </c>
    </row>
    <row r="20" spans="1:33" s="1948" customFormat="1" ht="18" customHeight="1">
      <c r="A20" s="1578" t="s">
        <v>1880</v>
      </c>
      <c r="B20" s="774" t="s">
        <v>660</v>
      </c>
      <c r="C20" s="53">
        <f ca="1">ROUND(C19*F20,0)</f>
        <v>922</v>
      </c>
      <c r="D20" s="801" t="s">
        <v>1750</v>
      </c>
      <c r="E20" s="774" t="s">
        <v>1738</v>
      </c>
      <c r="F20" s="799">
        <f>'数据-取费表'!B37</f>
        <v>0.03</v>
      </c>
      <c r="G20" s="3261"/>
      <c r="H20" s="1580" t="s">
        <v>1871</v>
      </c>
      <c r="I20" s="339" t="s">
        <v>1751</v>
      </c>
      <c r="J20" s="54">
        <f ca="1">ROUND(M20*M21/10000,0)</f>
        <v>30</v>
      </c>
      <c r="K20" s="803" t="s">
        <v>1752</v>
      </c>
      <c r="L20" s="774" t="s">
        <v>1753</v>
      </c>
      <c r="M20" s="632">
        <f>'数据-取费表'!B52</f>
        <v>4</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2285</v>
      </c>
      <c r="E21" s="774" t="s">
        <v>1756</v>
      </c>
      <c r="F21" s="799">
        <f>'数据-取费表'!B38</f>
        <v>0.03</v>
      </c>
      <c r="G21" s="3261"/>
      <c r="H21" s="2360"/>
      <c r="I21" s="783"/>
      <c r="J21" s="69"/>
      <c r="K21" s="805"/>
      <c r="L21" s="774" t="s">
        <v>1757</v>
      </c>
      <c r="M21" s="775">
        <f ca="1">INDIRECT("'数据-取费表'!r"&amp;$G$1)</f>
        <v>74233.119999999995</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904</v>
      </c>
      <c r="K22" s="2338" t="s">
        <v>1760</v>
      </c>
      <c r="L22" s="774" t="s">
        <v>1738</v>
      </c>
      <c r="M22" s="806">
        <f ca="1">INDIRECT("'数据-取费表'!Ak"&amp;$G$1)</f>
        <v>0.02</v>
      </c>
    </row>
    <row r="23" spans="1:33" s="1948" customFormat="1" ht="18" customHeight="1">
      <c r="A23" s="1577" t="s">
        <v>1822</v>
      </c>
      <c r="B23" s="774" t="s">
        <v>2516</v>
      </c>
      <c r="C23" s="53">
        <f ca="1">ROUND(IF('数据-取费表'!B22&lt;=1,(C19+C20)*F24*F23/2,(C19+C20)*(POWER((1+F24),F23/2)-1)),0)</f>
        <v>1504</v>
      </c>
      <c r="D23" s="2424" t="str">
        <f>IF(F23&lt;=1,"(建造成本+管理费用)×利率×(建设周期÷2)","(建造成本+管理费用)×((1+利率)^(建设周期÷2)-1)")</f>
        <v>(建造成本+管理费用)×((1+利率)^(建设周期÷2)-1)</v>
      </c>
      <c r="E23" s="774" t="s">
        <v>1761</v>
      </c>
      <c r="F23" s="632">
        <f>'数据-取费表'!B20</f>
        <v>2</v>
      </c>
      <c r="G23" s="3261"/>
      <c r="H23" s="1578" t="s">
        <v>1881</v>
      </c>
      <c r="I23" s="774" t="s">
        <v>673</v>
      </c>
      <c r="J23" s="53">
        <f ca="1">ROUND(J13*M23,0)</f>
        <v>0</v>
      </c>
      <c r="K23" s="2338" t="s">
        <v>1762</v>
      </c>
      <c r="L23" s="774" t="s">
        <v>1738</v>
      </c>
      <c r="M23" s="807">
        <f ca="1">INDIRECT("'数据-取费表'!Al"&amp;$G$1)</f>
        <v>2E-3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1.4E-3</v>
      </c>
      <c r="D24" s="2424" t="str">
        <f>IF(F23&lt;=1,"销售费用×利率×(建设周期÷2)","销售费用×((1+利率)^(建设周期÷2)-1)")</f>
        <v>销售费用×((1+利率)^(建设周期÷2)-1)</v>
      </c>
      <c r="E24" s="774" t="s">
        <v>1764</v>
      </c>
      <c r="F24" s="808">
        <f ca="1">'数据-取费表'!B40</f>
        <v>4.7500000000000001E-2</v>
      </c>
      <c r="G24" s="3261"/>
      <c r="H24" s="2405" t="s">
        <v>1882</v>
      </c>
      <c r="I24" s="2400" t="s">
        <v>660</v>
      </c>
      <c r="J24" s="2398">
        <f ca="1">ROUND(J5*M24,0)</f>
        <v>0</v>
      </c>
      <c r="K24" s="2399" t="s">
        <v>1765</v>
      </c>
      <c r="L24" s="2400" t="s">
        <v>1738</v>
      </c>
      <c r="M24" s="2396">
        <f ca="1">INDIRECT("'数据-取费表'!Am"&amp;$G$1)</f>
        <v>0.02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2801</v>
      </c>
      <c r="J25" s="782">
        <f ca="1">J5-J16</f>
        <v>-4731</v>
      </c>
      <c r="K25" s="2402" t="s">
        <v>1768</v>
      </c>
      <c r="L25" s="2403"/>
      <c r="M25" s="2404"/>
    </row>
    <row r="26" spans="1:33" ht="18" customHeight="1">
      <c r="A26" s="1577" t="s">
        <v>1822</v>
      </c>
      <c r="B26" s="774" t="s">
        <v>2421</v>
      </c>
      <c r="C26" s="53">
        <f ca="1">ROUND((C19+C20)*F26,0)</f>
        <v>7915</v>
      </c>
      <c r="D26" s="801" t="s">
        <v>1769</v>
      </c>
      <c r="E26" s="785" t="s">
        <v>1770</v>
      </c>
      <c r="F26" s="784">
        <f ca="1">INDIRECT("'数据-取费表'!q"&amp;$G$1)</f>
        <v>0.25</v>
      </c>
      <c r="G26" s="1946"/>
      <c r="H26" s="2356" t="s">
        <v>1771</v>
      </c>
      <c r="I26" s="2113" t="s">
        <v>2806</v>
      </c>
      <c r="J26" s="773">
        <f ca="1">IF(J5&lt;&gt;0,ROUND(J25*(1-((1+M28)/(1+M26))^M27)/(M26-M28),0),0)</f>
        <v>0</v>
      </c>
      <c r="K26" s="803" t="s">
        <v>1772</v>
      </c>
      <c r="L26" s="774" t="s">
        <v>2403</v>
      </c>
      <c r="M26" s="784">
        <f ca="1">INDIRECT("'数据-取费表'!I"&amp;$G$1)</f>
        <v>5.5E-2</v>
      </c>
    </row>
    <row r="27" spans="1:33" ht="18" customHeight="1">
      <c r="A27" s="1577" t="s">
        <v>1823</v>
      </c>
      <c r="B27" s="774" t="s">
        <v>680</v>
      </c>
      <c r="C27" s="53">
        <f ca="1">ROUND(F21*F26,4)</f>
        <v>7.4999999999999997E-3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2286</v>
      </c>
      <c r="E28" s="774" t="s">
        <v>1776</v>
      </c>
      <c r="F28" s="799">
        <f>'数据-取费表'!B41</f>
        <v>5.5000000000000007E-2</v>
      </c>
      <c r="G28" s="3261"/>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2287</v>
      </c>
      <c r="C29" s="2398">
        <f ca="1">ROUND((C19+C20+C23+C26)/(1-F21-C24-C27-C28),0)</f>
        <v>45204</v>
      </c>
      <c r="D29" s="2399"/>
      <c r="E29" s="2400"/>
      <c r="F29" s="2401"/>
      <c r="G29" s="3261"/>
      <c r="H29" s="812" t="s">
        <v>1778</v>
      </c>
      <c r="I29" s="813" t="s">
        <v>1779</v>
      </c>
      <c r="J29" s="814">
        <f ca="1">ROUND(J26/(1+F40)^F41,0)</f>
        <v>0</v>
      </c>
      <c r="K29" s="815" t="s">
        <v>1780</v>
      </c>
      <c r="L29" s="816"/>
      <c r="M29" s="817">
        <f ca="1">INDIRECT("'数据-取费表'!k"&amp;$G$1)</f>
        <v>74233.119999999995</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2036</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ROUND(IF(AND(项目基本情况!B11="自然人",项目基本情况!B10="北京市"),C6*F31/(1+'数据-取费表'!F30),C32+C33+C34),0)</f>
        <v>933</v>
      </c>
      <c r="D31" s="1894" t="s">
        <v>1783</v>
      </c>
      <c r="E31" s="1892" t="s">
        <v>1784</v>
      </c>
      <c r="F31" s="3019" t="str">
        <f>IF(项目基本情况!B11="企业","——",IF('数据-取费表'!B10="住宅",IF(F6*F7*F8/12/(1+'数据-取费表'!F30)&gt;100000,4%,2.5%),IF(F6*F7*F8/12/(1+'数据-取费表'!F30)&gt;100000,12%,7%)))</f>
        <v>——</v>
      </c>
      <c r="G31" s="1946"/>
      <c r="H31" s="3258" t="s">
        <v>2985</v>
      </c>
      <c r="I31" s="1950"/>
      <c r="J31" s="1951"/>
      <c r="K31" s="1952"/>
      <c r="L31" s="1953"/>
      <c r="M31" s="1954"/>
    </row>
    <row r="32" spans="1:33" ht="18" customHeight="1">
      <c r="A32" s="1577" t="s">
        <v>1822</v>
      </c>
      <c r="B32" s="774" t="s">
        <v>1785</v>
      </c>
      <c r="C32" s="53">
        <f ca="1">ROUND(C6*F32/(1+'数据-取费表'!C42),1)</f>
        <v>283.89999999999998</v>
      </c>
      <c r="D32" s="1892" t="s">
        <v>1786</v>
      </c>
      <c r="E32" s="774" t="s">
        <v>1787</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619.29999999999995</v>
      </c>
      <c r="D33" s="800" t="s">
        <v>3054</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29.7</v>
      </c>
      <c r="D34" s="803" t="s">
        <v>1790</v>
      </c>
      <c r="E34" s="774" t="s">
        <v>1791</v>
      </c>
      <c r="F34" s="632">
        <f>'数据-取费表'!B52</f>
        <v>4</v>
      </c>
      <c r="G34" s="1946"/>
      <c r="H34" s="1949"/>
      <c r="I34" s="824" t="s">
        <v>1804</v>
      </c>
      <c r="J34" s="825"/>
      <c r="K34" s="1964"/>
      <c r="L34" s="1963"/>
      <c r="M34" s="1963"/>
    </row>
    <row r="35" spans="1:18" ht="18" customHeight="1">
      <c r="A35" s="804"/>
      <c r="B35" s="783"/>
      <c r="C35" s="69"/>
      <c r="D35" s="805"/>
      <c r="E35" s="774" t="s">
        <v>1792</v>
      </c>
      <c r="F35" s="775">
        <f ca="1">INDIRECT("'数据-取费表'!r"&amp;$G$1)</f>
        <v>74233.119999999995</v>
      </c>
      <c r="G35" s="1946"/>
      <c r="H35" s="1949"/>
      <c r="I35" s="826" t="s">
        <v>1805</v>
      </c>
      <c r="J35" s="827">
        <f ca="1">ROUND(C13*J36,0)</f>
        <v>3842</v>
      </c>
      <c r="K35" s="1962"/>
      <c r="L35" s="1961"/>
      <c r="M35" s="1961"/>
    </row>
    <row r="36" spans="1:18" ht="18" customHeight="1">
      <c r="A36" s="1578" t="s">
        <v>1880</v>
      </c>
      <c r="B36" s="774" t="s">
        <v>1793</v>
      </c>
      <c r="C36" s="53">
        <f ca="1">ROUND(C29*F36,1)</f>
        <v>904.1</v>
      </c>
      <c r="D36" s="1892" t="s">
        <v>1794</v>
      </c>
      <c r="E36" s="774" t="s">
        <v>1787</v>
      </c>
      <c r="F36" s="806">
        <f ca="1">INDIRECT("'数据-取费表'!Ak"&amp;$G$1)</f>
        <v>0.02</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90.4</v>
      </c>
      <c r="D37" s="1892" t="s">
        <v>1795</v>
      </c>
      <c r="E37" s="774" t="s">
        <v>1787</v>
      </c>
      <c r="F37" s="807">
        <f ca="1">INDIRECT("'数据-取费表'!Al"&amp;$G$1)</f>
        <v>2E-3</v>
      </c>
      <c r="G37" s="1946"/>
      <c r="H37" s="1961"/>
      <c r="I37" s="830" t="s">
        <v>1807</v>
      </c>
      <c r="J37" s="831"/>
      <c r="K37" s="1965"/>
      <c r="L37" s="1961"/>
      <c r="M37" s="1961"/>
    </row>
    <row r="38" spans="1:18" ht="18" customHeight="1" thickBot="1">
      <c r="A38" s="2405" t="s">
        <v>1882</v>
      </c>
      <c r="B38" s="2400" t="s">
        <v>660</v>
      </c>
      <c r="C38" s="2398">
        <f ca="1">ROUND(C5*F38,1)</f>
        <v>108.5</v>
      </c>
      <c r="D38" s="2399" t="s">
        <v>1796</v>
      </c>
      <c r="E38" s="2400" t="s">
        <v>1787</v>
      </c>
      <c r="F38" s="2396">
        <f ca="1">INDIRECT("'数据-取费表'!Am"&amp;$G$1)</f>
        <v>0.02</v>
      </c>
      <c r="G38" s="1946"/>
      <c r="H38" s="1961"/>
      <c r="I38" s="832" t="s">
        <v>1808</v>
      </c>
      <c r="J38" s="833"/>
      <c r="K38" s="1966"/>
      <c r="L38" s="1961"/>
      <c r="M38" s="1961"/>
    </row>
    <row r="39" spans="1:18" ht="24.6" customHeight="1" thickTop="1">
      <c r="A39" s="1745" t="s">
        <v>1885</v>
      </c>
      <c r="B39" s="2724" t="s">
        <v>2801</v>
      </c>
      <c r="C39" s="782">
        <f ca="1">C5-C30</f>
        <v>3390</v>
      </c>
      <c r="D39" s="2402" t="s">
        <v>1797</v>
      </c>
      <c r="E39" s="2403"/>
      <c r="F39" s="2404"/>
      <c r="G39" s="1946"/>
      <c r="H39" s="1961"/>
      <c r="I39" s="826" t="s">
        <v>1809</v>
      </c>
      <c r="J39" s="834">
        <f ca="1">ROUND(J35/C39,3)</f>
        <v>1.133</v>
      </c>
      <c r="K39" s="1966"/>
      <c r="L39" s="1961"/>
      <c r="M39" s="1961"/>
    </row>
    <row r="40" spans="1:18" ht="18" customHeight="1">
      <c r="A40" s="771" t="s">
        <v>1886</v>
      </c>
      <c r="B40" s="2113" t="s">
        <v>2288</v>
      </c>
      <c r="C40" s="773">
        <f ca="1">ROUND(C39*(1-((1+F42)/(1+F40))^F41)/(F40-F42),0)</f>
        <v>67439</v>
      </c>
      <c r="D40" s="803" t="s">
        <v>1798</v>
      </c>
      <c r="E40" s="774" t="s">
        <v>2403</v>
      </c>
      <c r="F40" s="784">
        <f ca="1">INDIRECT("'数据-取费表'!I"&amp;$G$1)</f>
        <v>5.5E-2</v>
      </c>
      <c r="G40" s="1946"/>
      <c r="H40" s="1946"/>
      <c r="I40" s="826" t="s">
        <v>1810</v>
      </c>
      <c r="J40" s="834">
        <f ca="1">1-J39</f>
        <v>-0.13300000000000001</v>
      </c>
      <c r="K40" s="1966"/>
      <c r="L40" s="1946"/>
      <c r="M40" s="1946"/>
    </row>
    <row r="41" spans="1:18" ht="18" customHeight="1">
      <c r="A41" s="776"/>
      <c r="B41" s="777"/>
      <c r="C41" s="778"/>
      <c r="D41" s="810" t="s">
        <v>1799</v>
      </c>
      <c r="E41" s="774" t="s">
        <v>2916</v>
      </c>
      <c r="F41" s="811">
        <f ca="1">IF(INDIRECT("'数据-取费表'!af"&amp;$G$1)=0,INDIRECT("'数据-取费表'!ae"&amp;$G$1),INDIRECT("'数据-取费表'!af"&amp;$G$1))</f>
        <v>35.32</v>
      </c>
      <c r="G41" s="1946"/>
      <c r="H41" s="1901"/>
      <c r="I41" s="832" t="s">
        <v>1811</v>
      </c>
      <c r="J41" s="835"/>
      <c r="K41" s="1965"/>
      <c r="L41" s="1901"/>
      <c r="M41" s="1901"/>
    </row>
    <row r="42" spans="1:18" ht="18" customHeight="1">
      <c r="A42" s="780"/>
      <c r="B42" s="781"/>
      <c r="C42" s="782"/>
      <c r="D42" s="805"/>
      <c r="E42" s="774" t="s">
        <v>1800</v>
      </c>
      <c r="F42" s="784">
        <f ca="1">INDIRECT("'数据-取费表'!v"&amp;$G$1)</f>
        <v>0.02</v>
      </c>
      <c r="G42" s="1946"/>
      <c r="H42" s="1901"/>
      <c r="I42" s="836" t="s">
        <v>1812</v>
      </c>
      <c r="J42" s="834">
        <f ca="1">ROUND(C13/C40,3)</f>
        <v>0.67</v>
      </c>
      <c r="K42" s="1965"/>
      <c r="L42" s="1901"/>
      <c r="M42" s="1901"/>
    </row>
    <row r="43" spans="1:18" ht="18" customHeight="1" thickBot="1">
      <c r="A43" s="812" t="s">
        <v>1778</v>
      </c>
      <c r="B43" s="813" t="s">
        <v>1801</v>
      </c>
      <c r="C43" s="814">
        <f ca="1">ROUND(C40*10000/F43,0)</f>
        <v>9085</v>
      </c>
      <c r="D43" s="815" t="s">
        <v>1802</v>
      </c>
      <c r="E43" s="816" t="s">
        <v>1803</v>
      </c>
      <c r="F43" s="817">
        <f ca="1">INDIRECT("'数据-取费表'!k"&amp;$G$1)</f>
        <v>74233.119999999995</v>
      </c>
      <c r="G43" s="1946"/>
      <c r="H43" s="1901"/>
      <c r="I43" s="836" t="s">
        <v>1813</v>
      </c>
      <c r="J43" s="837">
        <f ca="1">1-J42</f>
        <v>0.32999999999999996</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2282</v>
      </c>
      <c r="B46" s="1968"/>
      <c r="C46" s="2427">
        <f ca="1">C67-C40</f>
        <v>-83263</v>
      </c>
      <c r="D46" s="3262"/>
      <c r="E46" s="3262"/>
      <c r="F46" s="3262"/>
      <c r="I46" s="2234" t="s">
        <v>2327</v>
      </c>
      <c r="J46" s="2235"/>
      <c r="K46" s="2236"/>
      <c r="L46" s="2812">
        <f>IF(OR(M47="住宅",D1="土地（套用方法）"),0,IF(L48&gt;J51,L60,J60))</f>
        <v>0</v>
      </c>
      <c r="M46" s="3263"/>
      <c r="O46" s="2250" t="s">
        <v>2394</v>
      </c>
      <c r="P46" s="1527"/>
      <c r="Q46" s="1535"/>
      <c r="R46" s="1527"/>
    </row>
    <row r="47" spans="1:18" s="1943" customFormat="1" ht="18" customHeight="1" thickBot="1">
      <c r="A47" s="2228">
        <v>1</v>
      </c>
      <c r="B47" s="2229" t="s">
        <v>629</v>
      </c>
      <c r="C47" s="2427">
        <f ca="1">C48+C52+C54</f>
        <v>0</v>
      </c>
      <c r="D47" s="3262"/>
      <c r="E47" s="3262"/>
      <c r="F47" s="3262"/>
      <c r="I47" s="2803" t="s">
        <v>2328</v>
      </c>
      <c r="J47" s="2237" t="s">
        <v>3055</v>
      </c>
      <c r="K47" s="2809" t="s">
        <v>2333</v>
      </c>
      <c r="L47" s="2813">
        <f ca="1">INDIRECT("'数据-取费表'!d"&amp;$G$1)</f>
        <v>40</v>
      </c>
      <c r="M47" s="1535" t="str">
        <f>IF(ISNUMBER(FIND("住宅",C1)),"住宅","非住宅")</f>
        <v>非住宅</v>
      </c>
      <c r="O47" s="2251" t="s">
        <v>2359</v>
      </c>
      <c r="P47" s="2252" t="s">
        <v>2360</v>
      </c>
      <c r="Q47" s="2253" t="s">
        <v>2361</v>
      </c>
      <c r="R47" s="2252" t="s">
        <v>2362</v>
      </c>
    </row>
    <row r="48" spans="1:18" s="1943" customFormat="1" ht="18" customHeight="1" thickBot="1">
      <c r="A48" s="2485" t="s">
        <v>2518</v>
      </c>
      <c r="B48" s="2486" t="s">
        <v>2519</v>
      </c>
      <c r="C48" s="2230">
        <f ca="1">ROUND(F48*F50*F49*(1-F51)/10000,0)</f>
        <v>0</v>
      </c>
      <c r="D48" s="2231" t="s">
        <v>630</v>
      </c>
      <c r="E48" s="2232" t="s">
        <v>2283</v>
      </c>
      <c r="F48" s="2233"/>
      <c r="G48" s="1973"/>
      <c r="I48" s="2800" t="s">
        <v>2329</v>
      </c>
      <c r="J48" s="2238" t="s">
        <v>2334</v>
      </c>
      <c r="K48" s="2810" t="s">
        <v>2335</v>
      </c>
      <c r="L48" s="1823">
        <f ca="1">INDIRECT("'数据-取费表'!f"&amp;$G$1)</f>
        <v>37.32</v>
      </c>
      <c r="M48" s="3263"/>
      <c r="O48" s="2254" t="s">
        <v>2363</v>
      </c>
      <c r="P48" s="2255" t="s">
        <v>2389</v>
      </c>
      <c r="Q48" s="2256">
        <f ca="1">C40+J29</f>
        <v>67439</v>
      </c>
      <c r="R48" s="2255" t="s">
        <v>2364</v>
      </c>
    </row>
    <row r="49" spans="1:18" s="1943" customFormat="1" ht="18" customHeight="1" thickBot="1">
      <c r="A49" s="776"/>
      <c r="B49" s="777"/>
      <c r="C49" s="778"/>
      <c r="D49" s="779"/>
      <c r="E49" s="774" t="s">
        <v>1730</v>
      </c>
      <c r="F49" s="775">
        <f ca="1">F7</f>
        <v>74233.119999999995</v>
      </c>
      <c r="G49" s="1973"/>
      <c r="H49" s="1976"/>
      <c r="I49" s="2800" t="s">
        <v>2330</v>
      </c>
      <c r="J49" s="2239">
        <v>2022</v>
      </c>
      <c r="K49" s="2811" t="s">
        <v>2336</v>
      </c>
      <c r="L49" s="2240"/>
      <c r="M49" s="3263"/>
      <c r="O49" s="2254" t="s">
        <v>2365</v>
      </c>
      <c r="P49" s="2255" t="s">
        <v>2390</v>
      </c>
      <c r="Q49" s="2256" t="str">
        <f ca="1">J60</f>
        <v>0</v>
      </c>
      <c r="R49" s="2255" t="s">
        <v>2366</v>
      </c>
    </row>
    <row r="50" spans="1:18" s="1943" customFormat="1" ht="18" customHeight="1" thickBot="1">
      <c r="A50" s="776"/>
      <c r="B50" s="777"/>
      <c r="C50" s="778"/>
      <c r="D50" s="779"/>
      <c r="E50" s="774" t="s">
        <v>1731</v>
      </c>
      <c r="F50" s="775">
        <f ca="1">F8</f>
        <v>365</v>
      </c>
      <c r="G50" s="1978"/>
      <c r="H50" s="1976"/>
      <c r="I50" s="2800" t="s">
        <v>2331</v>
      </c>
      <c r="J50" s="2807">
        <f>SUMPRODUCT((I63:I65=J47)*(J62:L62=J48)*(J63:L65))</f>
        <v>60</v>
      </c>
      <c r="K50" s="2811" t="s">
        <v>2337</v>
      </c>
      <c r="L50" s="2240"/>
      <c r="M50" s="3263"/>
      <c r="O50" s="2257" t="s">
        <v>2367</v>
      </c>
      <c r="P50" s="2255" t="s">
        <v>2391</v>
      </c>
      <c r="Q50" s="2256">
        <f ca="1">C29</f>
        <v>45204</v>
      </c>
      <c r="R50" s="2255" t="s">
        <v>2364</v>
      </c>
    </row>
    <row r="51" spans="1:18" s="1943" customFormat="1" ht="18" customHeight="1" thickBot="1">
      <c r="A51" s="776"/>
      <c r="B51" s="777"/>
      <c r="C51" s="778"/>
      <c r="D51" s="779"/>
      <c r="E51" s="774" t="s">
        <v>634</v>
      </c>
      <c r="F51" s="2227"/>
      <c r="H51" s="1976"/>
      <c r="I51" s="2804" t="s">
        <v>2332</v>
      </c>
      <c r="J51" s="2808">
        <f>IF(J49="",J50,J49+J50-YEAR('数据-取费表'!B2))</f>
        <v>62</v>
      </c>
      <c r="K51" s="2800" t="s">
        <v>2338</v>
      </c>
      <c r="L51" s="2814">
        <f ca="1">ROUND(-PV(INDIRECT("'数据-取费表'!h"&amp;$G$1),J51,(C39-C13*J36),0),0)</f>
        <v>-8608</v>
      </c>
      <c r="M51" s="3263"/>
      <c r="O51" s="2257" t="s">
        <v>2368</v>
      </c>
      <c r="P51" s="2255" t="s">
        <v>2369</v>
      </c>
      <c r="Q51" s="2258" t="e">
        <f ca="1">J58</f>
        <v>#VALUE!</v>
      </c>
      <c r="R51" s="2259"/>
    </row>
    <row r="52" spans="1:18" s="1943" customFormat="1" ht="18" customHeight="1" thickBot="1">
      <c r="A52" s="771" t="s">
        <v>2517</v>
      </c>
      <c r="B52" s="2348" t="s">
        <v>2440</v>
      </c>
      <c r="C52" s="789">
        <f ca="1">ROUND(IF(F52="押一",C48/12*F11,IF(F52="押二",C48/12*2*F11,IF(F52="押三",C48/12*3*F11,C53*F11))),0)</f>
        <v>0</v>
      </c>
      <c r="D52" s="2355" t="s">
        <v>2926</v>
      </c>
      <c r="E52" s="2352" t="s">
        <v>2445</v>
      </c>
      <c r="F52" s="2466"/>
      <c r="I52" s="2805" t="s">
        <v>2405</v>
      </c>
      <c r="J52" s="2241">
        <v>0.09</v>
      </c>
      <c r="K52" s="2805" t="s">
        <v>2404</v>
      </c>
      <c r="L52" s="2241"/>
      <c r="M52" s="3263"/>
      <c r="O52" s="2257" t="s">
        <v>2370</v>
      </c>
      <c r="P52" s="2255" t="s">
        <v>2371</v>
      </c>
      <c r="Q52" s="2258">
        <f>J52</f>
        <v>0.09</v>
      </c>
      <c r="R52" s="2259"/>
    </row>
    <row r="53" spans="1:18" s="1943" customFormat="1" ht="39.75" customHeight="1" thickBot="1">
      <c r="A53" s="776"/>
      <c r="B53" s="2349" t="s">
        <v>2554</v>
      </c>
      <c r="C53" s="2353"/>
      <c r="D53" s="2355"/>
      <c r="E53" s="2352"/>
      <c r="F53" s="790"/>
      <c r="I53" s="2806" t="s">
        <v>2929</v>
      </c>
      <c r="J53" s="2859">
        <f ca="1">IF(M47="住宅",IF(D1="——",MAX(J51,L48),MAX(J51,L48-'数据-取费表'!B20)),IF(D1="——",MIN(J51,L48),MIN(J51,L48-'数据-取费表'!B20)))</f>
        <v>35.32</v>
      </c>
      <c r="K53" s="3572" t="s">
        <v>2918</v>
      </c>
      <c r="L53" s="3573"/>
      <c r="M53" s="3263"/>
      <c r="O53" s="2257" t="s">
        <v>2372</v>
      </c>
      <c r="P53" s="2255" t="s">
        <v>2373</v>
      </c>
      <c r="Q53" s="2256">
        <f ca="1">J53</f>
        <v>35.32</v>
      </c>
      <c r="R53" s="2255" t="s">
        <v>2374</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3"/>
      <c r="O54" s="2254" t="s">
        <v>2375</v>
      </c>
      <c r="P54" s="2255" t="s">
        <v>2392</v>
      </c>
      <c r="Q54" s="2256">
        <f ca="1">Q48+Q49</f>
        <v>67439</v>
      </c>
      <c r="R54" s="2259" t="s">
        <v>2376</v>
      </c>
    </row>
    <row r="55" spans="1:18" s="1943" customFormat="1" ht="18" customHeight="1" thickTop="1" thickBot="1">
      <c r="A55" s="787">
        <v>2</v>
      </c>
      <c r="B55" s="788" t="s">
        <v>638</v>
      </c>
      <c r="C55" s="789">
        <f ca="1">C13</f>
        <v>45204</v>
      </c>
      <c r="D55" s="785"/>
      <c r="E55" s="785"/>
      <c r="F55" s="790"/>
      <c r="I55" s="2817" t="s">
        <v>2339</v>
      </c>
      <c r="J55" s="2789" t="e">
        <f ca="1">ROUND(IF(J47="钢混",J57/J50,1-(1-2%)*(J50-J57)/J50),3)</f>
        <v>#VALUE!</v>
      </c>
      <c r="K55" s="2818" t="s">
        <v>2340</v>
      </c>
      <c r="L55" s="2242"/>
      <c r="M55" s="3263"/>
      <c r="O55" s="2260" t="s">
        <v>2395</v>
      </c>
      <c r="P55" s="1527"/>
      <c r="Q55" s="1535"/>
      <c r="R55" s="1527"/>
    </row>
    <row r="56" spans="1:18" s="1943" customFormat="1" ht="42.75" customHeight="1" thickBot="1">
      <c r="A56" s="1579"/>
      <c r="B56" s="2112" t="s">
        <v>2289</v>
      </c>
      <c r="C56" s="53">
        <f ca="1">C29</f>
        <v>45204</v>
      </c>
      <c r="D56" s="2482"/>
      <c r="E56" s="774"/>
      <c r="F56" s="799"/>
      <c r="I56" s="2819" t="s">
        <v>2341</v>
      </c>
      <c r="J56" s="2829" t="s">
        <v>1669</v>
      </c>
      <c r="K56" s="2800" t="s">
        <v>2346</v>
      </c>
      <c r="L56" s="1823" t="str">
        <f ca="1">IF(L48&lt;J51,"——",L48-J51)</f>
        <v>——</v>
      </c>
      <c r="M56" s="3263"/>
      <c r="O56" s="2251" t="s">
        <v>2359</v>
      </c>
      <c r="P56" s="2252" t="s">
        <v>2360</v>
      </c>
      <c r="Q56" s="2253" t="s">
        <v>2361</v>
      </c>
      <c r="R56" s="2252" t="s">
        <v>2362</v>
      </c>
    </row>
    <row r="57" spans="1:18" s="1943" customFormat="1" ht="28.5" customHeight="1" thickBot="1">
      <c r="A57" s="787" t="s">
        <v>1739</v>
      </c>
      <c r="B57" s="788" t="s">
        <v>645</v>
      </c>
      <c r="C57" s="789">
        <f ca="1">ROUND(C58+C63+C64+C65,0)</f>
        <v>1025</v>
      </c>
      <c r="D57" s="26" t="s">
        <v>1741</v>
      </c>
      <c r="E57" s="2483"/>
      <c r="F57" s="56"/>
      <c r="I57" s="2820" t="s">
        <v>2342</v>
      </c>
      <c r="J57" s="2821" t="str">
        <f ca="1">IF(OR(M47="住宅",J51&lt;L48,J56="是"),"——",J51-L48)</f>
        <v>——</v>
      </c>
      <c r="K57" s="2800" t="s">
        <v>2347</v>
      </c>
      <c r="L57" s="1823" t="str">
        <f ca="1">IF(L48&lt;J51,"——",IF(L55="比较法",L49,IF(L55="基准地价",L50,L51)))</f>
        <v>——</v>
      </c>
      <c r="M57" s="3263"/>
      <c r="O57" s="2254" t="s">
        <v>2363</v>
      </c>
      <c r="P57" s="2255" t="s">
        <v>2393</v>
      </c>
      <c r="Q57" s="2256">
        <f ca="1">C40+J29</f>
        <v>67439</v>
      </c>
      <c r="R57" s="2255" t="s">
        <v>2364</v>
      </c>
    </row>
    <row r="58" spans="1:18" s="1943" customFormat="1" ht="28.5" customHeight="1" thickBot="1">
      <c r="A58" s="1578" t="s">
        <v>1815</v>
      </c>
      <c r="B58" s="774" t="s">
        <v>650</v>
      </c>
      <c r="C58" s="3020">
        <f ca="1">ROUND(IF(AND(项目基本情况!B11="自然人",项目基本情况!B10="北京市"),C48*F58/(1+'数据-取费表'!F30),C59+C60+C61),0)</f>
        <v>30</v>
      </c>
      <c r="D58" s="2481" t="s">
        <v>651</v>
      </c>
      <c r="E58" s="2482" t="s">
        <v>684</v>
      </c>
      <c r="F58" s="3019" t="str">
        <f>IF(项目基本情况!B11="企业","——",IF('数据-取费表'!B10="住宅",IF(F48*F49*F50/12/(1+'数据-取费表'!F30)&gt;100000,4%,2.5%),IF(F48*F49*F50/12/(1+'数据-取费表'!F30)&gt;100000,12%,7%)))</f>
        <v>——</v>
      </c>
      <c r="I58" s="2820" t="s">
        <v>2343</v>
      </c>
      <c r="J58" s="2790" t="e">
        <f ca="1">IF(J55&lt;0.4,0.4,J55)</f>
        <v>#VALUE!</v>
      </c>
      <c r="K58" s="2800" t="s">
        <v>2348</v>
      </c>
      <c r="L58" s="1823" t="e">
        <f ca="1">ROUND(POWER(1+L52,L47-L48)*(POWER(1+L52,L48)-1)/(POWER(1+L52,L47)-1),4)</f>
        <v>#DIV/0!</v>
      </c>
      <c r="M58" s="3263"/>
      <c r="O58" s="2254" t="s">
        <v>2365</v>
      </c>
      <c r="P58" s="2255" t="s">
        <v>2396</v>
      </c>
      <c r="Q58" s="2256">
        <f ca="1">L60</f>
        <v>0</v>
      </c>
      <c r="R58" s="2259" t="s">
        <v>2398</v>
      </c>
    </row>
    <row r="59" spans="1:18" s="1943" customFormat="1" ht="28.5" customHeight="1" thickBot="1">
      <c r="A59" s="1577" t="s">
        <v>1822</v>
      </c>
      <c r="B59" s="774" t="s">
        <v>654</v>
      </c>
      <c r="C59" s="53">
        <f ca="1">ROUND(C47*F59/1.05,1)</f>
        <v>0</v>
      </c>
      <c r="D59" s="2482" t="s">
        <v>1747</v>
      </c>
      <c r="E59" s="774" t="s">
        <v>1738</v>
      </c>
      <c r="F59" s="799">
        <f t="shared" ref="F59:F65" si="0">F32</f>
        <v>5.5000000000000007E-2</v>
      </c>
      <c r="I59" s="2820" t="s">
        <v>2344</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3"/>
      <c r="O59" s="2257" t="s">
        <v>2367</v>
      </c>
      <c r="P59" s="2255" t="s">
        <v>2397</v>
      </c>
      <c r="Q59" s="2256">
        <f>IF(L55="比较法",L49,IF(L55="基准地价",L50,0))</f>
        <v>0</v>
      </c>
      <c r="R59" s="2255" t="s">
        <v>2364</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按租金收入计税</v>
      </c>
      <c r="E60" s="774" t="s">
        <v>1738</v>
      </c>
      <c r="F60" s="799">
        <f t="shared" si="0"/>
        <v>0.12</v>
      </c>
      <c r="I60" s="2822" t="s">
        <v>2345</v>
      </c>
      <c r="J60" s="2823" t="str">
        <f ca="1">IF(OR(M47="住宅",J51&lt;L48,J56="是"),"0",ROUND(J59/(1+J52)^J53,0))</f>
        <v>0</v>
      </c>
      <c r="K60" s="2824" t="s">
        <v>2350</v>
      </c>
      <c r="L60" s="2823">
        <f ca="1">IF(OR(M47="住宅",L48&lt;J51),0,ROUND(L57*(L58/L59-1),0))</f>
        <v>0</v>
      </c>
      <c r="M60" s="3263"/>
      <c r="O60" s="2257" t="s">
        <v>2368</v>
      </c>
      <c r="P60" s="2255" t="s">
        <v>2377</v>
      </c>
      <c r="Q60" s="2258">
        <f>L52</f>
        <v>0</v>
      </c>
      <c r="R60" s="2259"/>
    </row>
    <row r="61" spans="1:18" s="1943" customFormat="1" ht="18" customHeight="1" thickBot="1">
      <c r="A61" s="1580" t="s">
        <v>1824</v>
      </c>
      <c r="B61" s="339" t="s">
        <v>662</v>
      </c>
      <c r="C61" s="54">
        <f ca="1">ROUND(F61*F62/10000,1)</f>
        <v>29.7</v>
      </c>
      <c r="D61" s="803" t="s">
        <v>663</v>
      </c>
      <c r="E61" s="774" t="s">
        <v>664</v>
      </c>
      <c r="F61" s="632">
        <f t="shared" si="0"/>
        <v>4</v>
      </c>
      <c r="K61" s="1969"/>
      <c r="O61" s="2257" t="s">
        <v>2370</v>
      </c>
      <c r="P61" s="2255" t="s">
        <v>2378</v>
      </c>
      <c r="Q61" s="2256" t="e">
        <f ca="1">L58</f>
        <v>#DIV/0!</v>
      </c>
      <c r="R61" s="2259" t="s">
        <v>2379</v>
      </c>
    </row>
    <row r="62" spans="1:18" s="1943" customFormat="1" ht="15.75" thickBot="1">
      <c r="A62" s="804"/>
      <c r="B62" s="783"/>
      <c r="C62" s="69"/>
      <c r="D62" s="805"/>
      <c r="E62" s="774" t="s">
        <v>668</v>
      </c>
      <c r="F62" s="775">
        <f t="shared" ca="1" si="0"/>
        <v>74233.119999999995</v>
      </c>
      <c r="I62" s="2825" t="s">
        <v>2351</v>
      </c>
      <c r="J62" s="2826" t="s">
        <v>2352</v>
      </c>
      <c r="K62" s="2826" t="s">
        <v>2353</v>
      </c>
      <c r="L62" s="2826" t="s">
        <v>2334</v>
      </c>
      <c r="M62" s="2827" t="s">
        <v>2897</v>
      </c>
      <c r="O62" s="2257" t="s">
        <v>2372</v>
      </c>
      <c r="P62" s="2255" t="str">
        <f>K59</f>
        <v>建设期及建筑物耐用年限下的土地年期修正系数Kn</v>
      </c>
      <c r="Q62" s="2256" t="e">
        <f ca="1">L59</f>
        <v>#DIV/0!</v>
      </c>
      <c r="R62" s="2259" t="s">
        <v>2381</v>
      </c>
    </row>
    <row r="63" spans="1:18" s="1943" customFormat="1" ht="15.75" thickBot="1">
      <c r="A63" s="1578" t="s">
        <v>1880</v>
      </c>
      <c r="B63" s="774" t="s">
        <v>670</v>
      </c>
      <c r="C63" s="53">
        <f ca="1">ROUND(C56*F63,1)</f>
        <v>904.1</v>
      </c>
      <c r="D63" s="2482" t="s">
        <v>1794</v>
      </c>
      <c r="E63" s="774" t="s">
        <v>1738</v>
      </c>
      <c r="F63" s="806">
        <f t="shared" ca="1" si="0"/>
        <v>0.02</v>
      </c>
      <c r="I63" s="2825" t="s">
        <v>2354</v>
      </c>
      <c r="J63" s="2826">
        <v>70</v>
      </c>
      <c r="K63" s="2826">
        <v>50</v>
      </c>
      <c r="L63" s="2826">
        <v>80</v>
      </c>
      <c r="M63" s="2828">
        <v>0.02</v>
      </c>
      <c r="O63" s="2254" t="s">
        <v>2375</v>
      </c>
      <c r="P63" s="2255" t="s">
        <v>2392</v>
      </c>
      <c r="Q63" s="2256">
        <f ca="1">Q57+Q58</f>
        <v>67439</v>
      </c>
      <c r="R63" s="2259" t="s">
        <v>2376</v>
      </c>
    </row>
    <row r="64" spans="1:18" s="1943" customFormat="1" ht="16.5" thickBot="1">
      <c r="A64" s="1578" t="s">
        <v>1881</v>
      </c>
      <c r="B64" s="774" t="s">
        <v>673</v>
      </c>
      <c r="C64" s="53">
        <f ca="1">ROUND(C55*F64,1)</f>
        <v>90.4</v>
      </c>
      <c r="D64" s="2482" t="s">
        <v>674</v>
      </c>
      <c r="E64" s="774" t="s">
        <v>1738</v>
      </c>
      <c r="F64" s="807">
        <f t="shared" ca="1" si="0"/>
        <v>2E-3</v>
      </c>
      <c r="I64" s="2825" t="s">
        <v>2355</v>
      </c>
      <c r="J64" s="2826">
        <v>50</v>
      </c>
      <c r="K64" s="2826">
        <v>35</v>
      </c>
      <c r="L64" s="2826">
        <v>60</v>
      </c>
      <c r="M64" s="835">
        <v>0</v>
      </c>
      <c r="O64" s="2260" t="s">
        <v>2399</v>
      </c>
      <c r="P64" s="1527"/>
      <c r="Q64" s="1535"/>
      <c r="R64" s="1527"/>
    </row>
    <row r="65" spans="1:18" s="1943" customFormat="1" ht="15.75" thickBot="1">
      <c r="A65" s="1578" t="s">
        <v>1882</v>
      </c>
      <c r="B65" s="774" t="s">
        <v>660</v>
      </c>
      <c r="C65" s="53">
        <f ca="1">ROUND(C47*F65,1)</f>
        <v>0</v>
      </c>
      <c r="D65" s="2482" t="s">
        <v>677</v>
      </c>
      <c r="E65" s="774" t="s">
        <v>1738</v>
      </c>
      <c r="F65" s="784">
        <f t="shared" ca="1" si="0"/>
        <v>0.02</v>
      </c>
      <c r="I65" s="2825" t="s">
        <v>2356</v>
      </c>
      <c r="J65" s="2826">
        <v>40</v>
      </c>
      <c r="K65" s="2826">
        <v>30</v>
      </c>
      <c r="L65" s="2826">
        <v>50</v>
      </c>
      <c r="M65" s="2828">
        <v>0.02</v>
      </c>
      <c r="O65" s="2251" t="s">
        <v>2359</v>
      </c>
      <c r="P65" s="2252" t="s">
        <v>2360</v>
      </c>
      <c r="Q65" s="2253" t="s">
        <v>2361</v>
      </c>
      <c r="R65" s="2252" t="s">
        <v>2362</v>
      </c>
    </row>
    <row r="66" spans="1:18" s="1943" customFormat="1" ht="24.75" thickBot="1">
      <c r="A66" s="787" t="s">
        <v>1767</v>
      </c>
      <c r="B66" s="2725" t="s">
        <v>2801</v>
      </c>
      <c r="C66" s="789">
        <f ca="1">C47-C57</f>
        <v>-1025</v>
      </c>
      <c r="D66" s="2481" t="s">
        <v>694</v>
      </c>
      <c r="E66" s="2480"/>
      <c r="F66" s="809"/>
      <c r="K66" s="1969"/>
      <c r="O66" s="2254" t="s">
        <v>2363</v>
      </c>
      <c r="P66" s="2255" t="s">
        <v>2393</v>
      </c>
      <c r="Q66" s="2256">
        <f ca="1">C40+J29</f>
        <v>67439</v>
      </c>
      <c r="R66" s="2255" t="s">
        <v>2364</v>
      </c>
    </row>
    <row r="67" spans="1:18" s="1943" customFormat="1" ht="20.25" thickBot="1">
      <c r="A67" s="771" t="s">
        <v>1771</v>
      </c>
      <c r="B67" s="2113" t="s">
        <v>2288</v>
      </c>
      <c r="C67" s="773">
        <f ca="1">ROUND(C66*(1-((1+F69)/(1+F67))^F68)/(F67-F69),0)</f>
        <v>-15824</v>
      </c>
      <c r="D67" s="803" t="s">
        <v>698</v>
      </c>
      <c r="E67" s="774" t="s">
        <v>699</v>
      </c>
      <c r="F67" s="784">
        <f ca="1">F40</f>
        <v>5.5E-2</v>
      </c>
      <c r="K67" s="1969"/>
      <c r="O67" s="2254" t="s">
        <v>2365</v>
      </c>
      <c r="P67" s="2255" t="s">
        <v>2396</v>
      </c>
      <c r="Q67" s="2256">
        <f ca="1">L60</f>
        <v>0</v>
      </c>
      <c r="R67" s="2259" t="s">
        <v>2398</v>
      </c>
    </row>
    <row r="68" spans="1:18" ht="21.75" thickBot="1">
      <c r="A68" s="776"/>
      <c r="B68" s="777"/>
      <c r="C68" s="778"/>
      <c r="D68" s="810" t="s">
        <v>1799</v>
      </c>
      <c r="E68" s="774" t="s">
        <v>1775</v>
      </c>
      <c r="F68" s="811">
        <f ca="1">F41</f>
        <v>35.32</v>
      </c>
      <c r="O68" s="2257" t="s">
        <v>2367</v>
      </c>
      <c r="P68" s="2255" t="s">
        <v>2397</v>
      </c>
      <c r="Q68" s="2261">
        <f ca="1">L51</f>
        <v>-8608</v>
      </c>
      <c r="R68" s="2262" t="s">
        <v>2400</v>
      </c>
    </row>
    <row r="69" spans="1:18" ht="20.25" thickBot="1">
      <c r="A69" s="780"/>
      <c r="B69" s="781"/>
      <c r="C69" s="782"/>
      <c r="D69" s="805"/>
      <c r="E69" s="774" t="s">
        <v>704</v>
      </c>
      <c r="F69" s="2227"/>
      <c r="O69" s="2257" t="s">
        <v>2368</v>
      </c>
      <c r="P69" s="2263" t="s">
        <v>2382</v>
      </c>
      <c r="Q69" s="2256">
        <f ca="1">ROUND(Q70-Q71*Q72,0)</f>
        <v>-452</v>
      </c>
      <c r="R69" s="2259"/>
    </row>
    <row r="70" spans="1:18" ht="15.75" thickBot="1">
      <c r="A70" s="812" t="s">
        <v>1778</v>
      </c>
      <c r="B70" s="813" t="s">
        <v>1801</v>
      </c>
      <c r="C70" s="814">
        <f ca="1">ROUND(C67*10000/F70,0)</f>
        <v>-2132</v>
      </c>
      <c r="D70" s="815" t="s">
        <v>1802</v>
      </c>
      <c r="E70" s="816" t="s">
        <v>1803</v>
      </c>
      <c r="F70" s="817">
        <f ca="1">F43</f>
        <v>74233.119999999995</v>
      </c>
      <c r="O70" s="2257" t="s">
        <v>2383</v>
      </c>
      <c r="P70" s="2263" t="s">
        <v>2384</v>
      </c>
      <c r="Q70" s="2256">
        <f ca="1">C39</f>
        <v>3390</v>
      </c>
      <c r="R70" s="2255" t="s">
        <v>2364</v>
      </c>
    </row>
    <row r="71" spans="1:18" ht="15.75" thickBot="1">
      <c r="O71" s="2257" t="s">
        <v>2385</v>
      </c>
      <c r="P71" s="2263" t="s">
        <v>2386</v>
      </c>
      <c r="Q71" s="2256">
        <f ca="1">C13</f>
        <v>45204</v>
      </c>
      <c r="R71" s="2255" t="s">
        <v>2364</v>
      </c>
    </row>
    <row r="72" spans="1:18" ht="15.75" thickBot="1">
      <c r="O72" s="2257" t="s">
        <v>2387</v>
      </c>
      <c r="P72" s="2263" t="s">
        <v>2388</v>
      </c>
      <c r="Q72" s="2258">
        <f ca="1">J36</f>
        <v>8.5000000000000006E-2</v>
      </c>
      <c r="R72" s="2259"/>
    </row>
    <row r="73" spans="1:18" ht="15.75" thickBot="1">
      <c r="O73" s="2257" t="s">
        <v>2370</v>
      </c>
      <c r="P73" s="2255" t="s">
        <v>2377</v>
      </c>
      <c r="Q73" s="2258">
        <f>L52</f>
        <v>0</v>
      </c>
      <c r="R73" s="2259"/>
    </row>
    <row r="74" spans="1:18" ht="20.25" thickBot="1">
      <c r="O74" s="2257" t="s">
        <v>2372</v>
      </c>
      <c r="P74" s="2255" t="s">
        <v>2378</v>
      </c>
      <c r="Q74" s="2256" t="e">
        <f ca="1">L58</f>
        <v>#DIV/0!</v>
      </c>
      <c r="R74" s="2259" t="s">
        <v>2379</v>
      </c>
    </row>
    <row r="75" spans="1:18" ht="15.75" thickBot="1">
      <c r="O75" s="2257" t="s">
        <v>2401</v>
      </c>
      <c r="P75" s="2255" t="str">
        <f>K59</f>
        <v>建设期及建筑物耐用年限下的土地年期修正系数Kn</v>
      </c>
      <c r="Q75" s="2256" t="e">
        <f ca="1">L59</f>
        <v>#DIV/0!</v>
      </c>
      <c r="R75" s="2259" t="s">
        <v>2381</v>
      </c>
    </row>
    <row r="76" spans="1:18" ht="15.75" thickBot="1">
      <c r="O76" s="2254" t="s">
        <v>2375</v>
      </c>
      <c r="P76" s="2255" t="s">
        <v>2392</v>
      </c>
      <c r="Q76" s="2256">
        <f ca="1">Q66+Q67</f>
        <v>67439</v>
      </c>
      <c r="R76" s="2259"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4" priority="7">
      <formula>$L$48&gt;$J$51</formula>
    </cfRule>
  </conditionalFormatting>
  <conditionalFormatting sqref="I55">
    <cfRule type="expression" dxfId="103" priority="8">
      <formula>$J$51&gt;$L$48</formula>
    </cfRule>
  </conditionalFormatting>
  <conditionalFormatting sqref="I60">
    <cfRule type="expression" dxfId="102" priority="6">
      <formula>$J$51&gt;$L$48</formula>
    </cfRule>
  </conditionalFormatting>
  <conditionalFormatting sqref="K60">
    <cfRule type="expression" dxfId="101" priority="5">
      <formula>$L$48&gt;$J$51</formula>
    </cfRule>
  </conditionalFormatting>
  <conditionalFormatting sqref="C11">
    <cfRule type="expression" dxfId="100" priority="4">
      <formula>$F$10="自定义"</formula>
    </cfRule>
  </conditionalFormatting>
  <conditionalFormatting sqref="J11">
    <cfRule type="expression" dxfId="99" priority="2">
      <formula>$M$10="自定义"</formula>
    </cfRule>
  </conditionalFormatting>
  <conditionalFormatting sqref="C53">
    <cfRule type="expression" dxfId="98"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zoomScale="80" zoomScaleNormal="80" workbookViewId="0">
      <selection activeCell="Q41" sqref="Q41"/>
    </sheetView>
  </sheetViews>
  <sheetFormatPr defaultRowHeight="13.5"/>
  <cols>
    <col min="1" max="1" width="10.5" customWidth="1"/>
    <col min="2" max="2" width="12.875" customWidth="1"/>
    <col min="3" max="3" width="8.75" customWidth="1"/>
  </cols>
  <sheetData>
    <row r="1" spans="1:9" ht="14.25">
      <c r="A1" s="3574" t="s">
        <v>2452</v>
      </c>
      <c r="B1" s="3575"/>
      <c r="C1" s="3576"/>
      <c r="D1" s="3577">
        <f>SUM(I10,I15,I20,I21,I23)</f>
        <v>0</v>
      </c>
      <c r="E1" s="3577"/>
      <c r="F1" s="3577"/>
      <c r="G1" s="3577"/>
      <c r="H1" s="3577"/>
      <c r="I1" s="3578"/>
    </row>
    <row r="2" spans="1:9">
      <c r="A2" s="3579" t="s">
        <v>2453</v>
      </c>
      <c r="B2" s="3580" t="s">
        <v>2454</v>
      </c>
      <c r="C2" s="3580"/>
      <c r="D2" s="2361" t="s">
        <v>2455</v>
      </c>
      <c r="E2" s="2361" t="s">
        <v>2456</v>
      </c>
      <c r="F2" s="2361" t="s">
        <v>2457</v>
      </c>
      <c r="G2" s="2361" t="s">
        <v>2458</v>
      </c>
      <c r="H2" s="2361" t="s">
        <v>2459</v>
      </c>
      <c r="I2" s="2362" t="s">
        <v>2460</v>
      </c>
    </row>
    <row r="3" spans="1:9">
      <c r="A3" s="3579"/>
      <c r="B3" s="3580" t="s">
        <v>2461</v>
      </c>
      <c r="C3" s="3580"/>
      <c r="D3" s="2363"/>
      <c r="E3" s="2361"/>
      <c r="F3" s="2364"/>
      <c r="G3" s="2364"/>
      <c r="H3" s="2365"/>
      <c r="I3" s="2366">
        <f>ROUND(D3*E3*F3*G3*H3/10000,0)</f>
        <v>0</v>
      </c>
    </row>
    <row r="4" spans="1:9">
      <c r="A4" s="3579"/>
      <c r="B4" s="3580" t="s">
        <v>2462</v>
      </c>
      <c r="C4" s="3580"/>
      <c r="D4" s="2363"/>
      <c r="E4" s="2361"/>
      <c r="F4" s="2364"/>
      <c r="G4" s="2364"/>
      <c r="H4" s="2365"/>
      <c r="I4" s="2366">
        <f t="shared" ref="I4:I9" si="0">ROUND(D4*E4*F4*G4*H4/10000,0)</f>
        <v>0</v>
      </c>
    </row>
    <row r="5" spans="1:9">
      <c r="A5" s="3579"/>
      <c r="B5" s="3580" t="s">
        <v>2463</v>
      </c>
      <c r="C5" s="3580"/>
      <c r="D5" s="2363"/>
      <c r="E5" s="2361"/>
      <c r="F5" s="2364"/>
      <c r="G5" s="2364"/>
      <c r="H5" s="2365"/>
      <c r="I5" s="2366">
        <f t="shared" si="0"/>
        <v>0</v>
      </c>
    </row>
    <row r="6" spans="1:9">
      <c r="A6" s="3579"/>
      <c r="B6" s="3580" t="s">
        <v>2464</v>
      </c>
      <c r="C6" s="3580"/>
      <c r="D6" s="2363"/>
      <c r="E6" s="2361"/>
      <c r="F6" s="2364"/>
      <c r="G6" s="2364"/>
      <c r="H6" s="2365"/>
      <c r="I6" s="2366">
        <f t="shared" si="0"/>
        <v>0</v>
      </c>
    </row>
    <row r="7" spans="1:9">
      <c r="A7" s="3579"/>
      <c r="B7" s="3580" t="s">
        <v>2465</v>
      </c>
      <c r="C7" s="3580"/>
      <c r="D7" s="2363"/>
      <c r="E7" s="2361"/>
      <c r="F7" s="2364"/>
      <c r="G7" s="2364"/>
      <c r="H7" s="2365"/>
      <c r="I7" s="2366">
        <f t="shared" si="0"/>
        <v>0</v>
      </c>
    </row>
    <row r="8" spans="1:9">
      <c r="A8" s="3579"/>
      <c r="B8" s="3580" t="s">
        <v>2466</v>
      </c>
      <c r="C8" s="3580"/>
      <c r="D8" s="2363"/>
      <c r="E8" s="2361"/>
      <c r="F8" s="2364"/>
      <c r="G8" s="2364"/>
      <c r="H8" s="2365"/>
      <c r="I8" s="2366">
        <f t="shared" si="0"/>
        <v>0</v>
      </c>
    </row>
    <row r="9" spans="1:9">
      <c r="A9" s="3579"/>
      <c r="B9" s="3580" t="s">
        <v>2467</v>
      </c>
      <c r="C9" s="3580"/>
      <c r="D9" s="2363"/>
      <c r="E9" s="2361"/>
      <c r="F9" s="2364"/>
      <c r="G9" s="2364"/>
      <c r="H9" s="2365"/>
      <c r="I9" s="2366">
        <f t="shared" si="0"/>
        <v>0</v>
      </c>
    </row>
    <row r="10" spans="1:9">
      <c r="A10" s="3579"/>
      <c r="B10" s="3581" t="s">
        <v>2468</v>
      </c>
      <c r="C10" s="3581"/>
      <c r="D10" s="2367">
        <v>527</v>
      </c>
      <c r="E10" s="2367" t="e">
        <f>ROUND(D1*10000/D10/H9,0)</f>
        <v>#DIV/0!</v>
      </c>
      <c r="F10" s="2368"/>
      <c r="G10" s="2368"/>
      <c r="H10" s="2369"/>
      <c r="I10" s="2370">
        <f>SUM(I3:I9)</f>
        <v>0</v>
      </c>
    </row>
    <row r="11" spans="1:9" ht="14.25">
      <c r="A11" s="3579" t="s">
        <v>2469</v>
      </c>
      <c r="B11" s="3580" t="s">
        <v>2470</v>
      </c>
      <c r="C11" s="3580"/>
      <c r="D11" s="2363" t="s">
        <v>2471</v>
      </c>
      <c r="E11" s="2363" t="s">
        <v>2472</v>
      </c>
      <c r="F11" s="2364" t="s">
        <v>2473</v>
      </c>
      <c r="G11" s="2364" t="s">
        <v>2474</v>
      </c>
      <c r="H11" s="2371" t="s">
        <v>2475</v>
      </c>
      <c r="I11" s="2362" t="s">
        <v>2476</v>
      </c>
    </row>
    <row r="12" spans="1:9">
      <c r="A12" s="3579"/>
      <c r="B12" s="3580" t="s">
        <v>2477</v>
      </c>
      <c r="C12" s="3580"/>
      <c r="D12" s="2363"/>
      <c r="E12" s="2363"/>
      <c r="F12" s="2364"/>
      <c r="G12" s="2365"/>
      <c r="H12" s="2372"/>
      <c r="I12" s="2362">
        <f>ROUND(D12*E12*F12*G12/10000,0)</f>
        <v>0</v>
      </c>
    </row>
    <row r="13" spans="1:9">
      <c r="A13" s="3579"/>
      <c r="B13" s="3580" t="s">
        <v>2478</v>
      </c>
      <c r="C13" s="3580"/>
      <c r="D13" s="2363"/>
      <c r="E13" s="2363"/>
      <c r="F13" s="2364"/>
      <c r="G13" s="2365"/>
      <c r="H13" s="2372"/>
      <c r="I13" s="2362">
        <f>ROUND(D13*E13*F13*G13/10000,0)</f>
        <v>0</v>
      </c>
    </row>
    <row r="14" spans="1:9">
      <c r="A14" s="3579"/>
      <c r="B14" s="3580" t="s">
        <v>2479</v>
      </c>
      <c r="C14" s="3580"/>
      <c r="D14" s="2363"/>
      <c r="E14" s="2363"/>
      <c r="F14" s="2364"/>
      <c r="G14" s="2365"/>
      <c r="H14" s="2372"/>
      <c r="I14" s="2362">
        <f>ROUND(D14*E14*F14*G14/10000,0)</f>
        <v>0</v>
      </c>
    </row>
    <row r="15" spans="1:9">
      <c r="A15" s="3579"/>
      <c r="B15" s="3581" t="s">
        <v>2468</v>
      </c>
      <c r="C15" s="3581"/>
      <c r="D15" s="2367"/>
      <c r="E15" s="2367">
        <f>SUM(E12:E14)</f>
        <v>0</v>
      </c>
      <c r="F15" s="2368"/>
      <c r="G15" s="2365"/>
      <c r="H15" s="2372"/>
      <c r="I15" s="2373">
        <f>SUM(I12:I14)</f>
        <v>0</v>
      </c>
    </row>
    <row r="16" spans="1:9" ht="24">
      <c r="A16" s="3579" t="s">
        <v>2480</v>
      </c>
      <c r="B16" s="3580" t="s">
        <v>2481</v>
      </c>
      <c r="C16" s="3580"/>
      <c r="D16" s="2363" t="s">
        <v>2482</v>
      </c>
      <c r="E16" s="2374" t="s">
        <v>2483</v>
      </c>
      <c r="F16" s="2364" t="s">
        <v>2484</v>
      </c>
      <c r="G16" s="2365" t="s">
        <v>2474</v>
      </c>
      <c r="H16" s="2371" t="s">
        <v>2475</v>
      </c>
      <c r="I16" s="2362" t="s">
        <v>2476</v>
      </c>
    </row>
    <row r="17" spans="1:9" ht="14.25">
      <c r="A17" s="3579"/>
      <c r="B17" s="3580" t="s">
        <v>2485</v>
      </c>
      <c r="C17" s="3580"/>
      <c r="D17" s="2363"/>
      <c r="E17" s="2363"/>
      <c r="F17" s="2364"/>
      <c r="G17" s="2365"/>
      <c r="H17" s="2375"/>
      <c r="I17" s="2376">
        <f>ROUND(D17*E17*F17*G17/10000,0)</f>
        <v>0</v>
      </c>
    </row>
    <row r="18" spans="1:9" ht="14.25">
      <c r="A18" s="3579"/>
      <c r="B18" s="3580" t="s">
        <v>2486</v>
      </c>
      <c r="C18" s="3580"/>
      <c r="D18" s="2363"/>
      <c r="E18" s="2363"/>
      <c r="F18" s="2364"/>
      <c r="G18" s="2365"/>
      <c r="H18" s="2375"/>
      <c r="I18" s="2376">
        <f>ROUND(D18*E18*F18*G18/10000,0)</f>
        <v>0</v>
      </c>
    </row>
    <row r="19" spans="1:9" ht="14.25">
      <c r="A19" s="3579"/>
      <c r="B19" s="3580" t="s">
        <v>2487</v>
      </c>
      <c r="C19" s="3580"/>
      <c r="D19" s="2363"/>
      <c r="E19" s="2363"/>
      <c r="F19" s="2364"/>
      <c r="G19" s="2365"/>
      <c r="H19" s="2375"/>
      <c r="I19" s="2376">
        <f>ROUND(D19*E19*F19*G19/10000,0)</f>
        <v>0</v>
      </c>
    </row>
    <row r="20" spans="1:9">
      <c r="A20" s="3579"/>
      <c r="B20" s="3581" t="s">
        <v>2468</v>
      </c>
      <c r="C20" s="3581"/>
      <c r="D20" s="2367">
        <f>SUM(D17:D19)</f>
        <v>0</v>
      </c>
      <c r="E20" s="2367"/>
      <c r="F20" s="2368"/>
      <c r="G20" s="2365"/>
      <c r="H20" s="2372"/>
      <c r="I20" s="2373">
        <f>SUM(I17:I19)</f>
        <v>0</v>
      </c>
    </row>
    <row r="21" spans="1:9">
      <c r="A21" s="3579" t="s">
        <v>2488</v>
      </c>
      <c r="B21" s="3583"/>
      <c r="C21" s="3583"/>
      <c r="D21" s="3583"/>
      <c r="E21" s="3583"/>
      <c r="F21" s="3583"/>
      <c r="G21" s="3583"/>
      <c r="H21" s="2377">
        <v>0.1</v>
      </c>
      <c r="I21" s="2370">
        <f>ROUND(I10*H21,0)</f>
        <v>0</v>
      </c>
    </row>
    <row r="22" spans="1:9" ht="14.25">
      <c r="A22" s="3584" t="s">
        <v>2489</v>
      </c>
      <c r="B22" s="3585"/>
      <c r="C22" s="3586"/>
      <c r="D22" s="2378" t="s">
        <v>2490</v>
      </c>
      <c r="E22" s="2378" t="s">
        <v>2491</v>
      </c>
      <c r="F22" s="2379" t="s">
        <v>2492</v>
      </c>
      <c r="G22" s="2379" t="s">
        <v>2493</v>
      </c>
      <c r="H22" s="2371" t="s">
        <v>2494</v>
      </c>
      <c r="I22" s="2362" t="s">
        <v>2495</v>
      </c>
    </row>
    <row r="23" spans="1:9" ht="14.25" thickBot="1">
      <c r="A23" s="3587"/>
      <c r="B23" s="3588"/>
      <c r="C23" s="3589"/>
      <c r="D23" s="2380"/>
      <c r="E23" s="2380"/>
      <c r="F23" s="2380"/>
      <c r="G23" s="2381"/>
      <c r="H23" s="2382"/>
      <c r="I23" s="2383">
        <f>ROUND(E23*D23*F23*(1-G23)/10000,0)</f>
        <v>0</v>
      </c>
    </row>
    <row r="26" spans="1:9">
      <c r="A26" s="2384" t="s">
        <v>2496</v>
      </c>
      <c r="B26" s="2384"/>
      <c r="C26" s="2384"/>
      <c r="D26" s="2384"/>
      <c r="E26" s="3590">
        <f>C27-C30-C31-C32</f>
        <v>0</v>
      </c>
      <c r="F26" s="3590"/>
      <c r="G26" s="3590"/>
      <c r="H26" s="2757" t="s">
        <v>2822</v>
      </c>
    </row>
    <row r="27" spans="1:9">
      <c r="A27" s="2385">
        <v>1</v>
      </c>
      <c r="B27" s="2386" t="s">
        <v>2497</v>
      </c>
      <c r="C27" s="2386"/>
      <c r="D27" s="2386"/>
      <c r="E27" s="3591"/>
      <c r="F27" s="3591"/>
      <c r="G27" s="3591"/>
    </row>
    <row r="28" spans="1:9">
      <c r="A28" s="2387" t="s">
        <v>2498</v>
      </c>
      <c r="B28" s="2386" t="s">
        <v>2499</v>
      </c>
      <c r="C28" s="2386"/>
      <c r="D28" s="2386"/>
      <c r="E28" s="3591"/>
      <c r="F28" s="3591"/>
      <c r="G28" s="3591"/>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82"/>
      <c r="F32" s="3582"/>
      <c r="G32" s="3582"/>
    </row>
    <row r="33" spans="1:7" hidden="1">
      <c r="A33" s="3592" t="s">
        <v>2507</v>
      </c>
      <c r="B33" s="3593"/>
      <c r="C33" s="3593"/>
      <c r="D33" s="3594"/>
      <c r="E33" s="3590"/>
      <c r="F33" s="3590"/>
      <c r="G33" s="3590"/>
    </row>
    <row r="34" spans="1:7" hidden="1">
      <c r="A34" s="2389">
        <v>1</v>
      </c>
      <c r="B34" s="2386" t="s">
        <v>2508</v>
      </c>
      <c r="C34" s="2386"/>
      <c r="D34" s="2386"/>
      <c r="E34" s="3591"/>
      <c r="F34" s="3591"/>
      <c r="G34" s="3591"/>
    </row>
    <row r="35" spans="1:7" hidden="1">
      <c r="A35" s="2389">
        <v>2</v>
      </c>
      <c r="B35" s="2386" t="s">
        <v>2509</v>
      </c>
      <c r="C35" s="2386"/>
      <c r="D35" s="2386"/>
      <c r="E35" s="3591"/>
      <c r="F35" s="3591"/>
      <c r="G35" s="3591"/>
    </row>
    <row r="36" spans="1:7" hidden="1">
      <c r="A36" s="2389">
        <v>3</v>
      </c>
      <c r="B36" s="2386" t="s">
        <v>2510</v>
      </c>
      <c r="C36" s="2386"/>
      <c r="D36" s="2386"/>
      <c r="E36" s="3591"/>
      <c r="F36" s="3591"/>
      <c r="G36" s="3591"/>
    </row>
    <row r="37" spans="1:7" hidden="1">
      <c r="A37" s="2389">
        <v>4</v>
      </c>
      <c r="B37" s="2386" t="s">
        <v>2511</v>
      </c>
      <c r="C37" s="2386"/>
      <c r="D37" s="2386"/>
      <c r="E37" s="3591"/>
      <c r="F37" s="3591"/>
      <c r="G37" s="3591"/>
    </row>
    <row r="38" spans="1:7" hidden="1">
      <c r="A38" s="3592" t="s">
        <v>2512</v>
      </c>
      <c r="B38" s="3593"/>
      <c r="C38" s="3593"/>
      <c r="D38" s="3594"/>
      <c r="E38" s="3590"/>
      <c r="F38" s="3590"/>
      <c r="G38" s="35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63"/>
  <sheetViews>
    <sheetView view="pageBreakPreview" zoomScale="90" zoomScaleNormal="80" zoomScaleSheetLayoutView="90" workbookViewId="0">
      <selection activeCell="Q41" sqref="Q41"/>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8"/>
      <c r="D2" s="3268"/>
      <c r="E2" s="3268"/>
      <c r="F2" s="3268"/>
      <c r="G2" s="3268"/>
    </row>
    <row r="3" spans="1:25" s="1943" customFormat="1" ht="18" customHeight="1">
      <c r="A3" s="1331" t="s">
        <v>1676</v>
      </c>
      <c r="B3" s="419">
        <f ca="1">ROUND(B2*10000/'数据-汇总表'!E3,0)</f>
        <v>0</v>
      </c>
      <c r="C3" s="3268"/>
      <c r="D3" s="3268"/>
      <c r="E3" s="3268"/>
      <c r="F3" s="3268"/>
      <c r="G3" s="3268"/>
    </row>
    <row r="4" spans="1:25" s="1943" customFormat="1" ht="18" customHeight="1">
      <c r="A4" s="420" t="s">
        <v>462</v>
      </c>
      <c r="B4" s="421">
        <f ca="1">ROUND(B2*10000/'数据-汇总表'!D3,0)</f>
        <v>0</v>
      </c>
      <c r="C4" s="3221"/>
      <c r="D4" s="3268"/>
      <c r="E4" s="3268"/>
      <c r="F4" s="3268"/>
      <c r="G4" s="3268"/>
    </row>
    <row r="5" spans="1:25" s="1943" customFormat="1" ht="18" customHeight="1" thickBot="1">
      <c r="A5" s="423"/>
      <c r="B5" s="424">
        <f ca="1">ROUND(B2/('数据-汇总表'!D3/666.67),0)</f>
        <v>0</v>
      </c>
      <c r="C5" s="425" t="s">
        <v>463</v>
      </c>
      <c r="D5" s="3268"/>
      <c r="E5" s="3268"/>
      <c r="F5" s="3268"/>
      <c r="G5" s="3268"/>
    </row>
    <row r="6" spans="1:25" s="2065" customFormat="1" ht="13.5" customHeight="1">
      <c r="A6" s="735"/>
      <c r="B6" s="736" t="s">
        <v>598</v>
      </c>
      <c r="C6" s="737" t="s">
        <v>599</v>
      </c>
      <c r="D6" s="737" t="s">
        <v>600</v>
      </c>
      <c r="E6" s="738" t="s">
        <v>601</v>
      </c>
      <c r="F6" s="738" t="s">
        <v>602</v>
      </c>
      <c r="G6" s="3267" t="s">
        <v>2986</v>
      </c>
    </row>
    <row r="7" spans="1:25" s="2065" customFormat="1" ht="13.5" customHeight="1">
      <c r="A7" s="2324">
        <v>1</v>
      </c>
      <c r="B7" s="739" t="s">
        <v>603</v>
      </c>
      <c r="C7" s="740">
        <f>C8+C9</f>
        <v>0</v>
      </c>
      <c r="D7" s="740"/>
      <c r="E7" s="741"/>
      <c r="F7" s="741"/>
      <c r="G7" s="2333"/>
    </row>
    <row r="8" spans="1:25" s="2065" customFormat="1" ht="13.5" customHeight="1">
      <c r="A8" s="2324" t="s">
        <v>2422</v>
      </c>
      <c r="B8" s="2327" t="s">
        <v>2424</v>
      </c>
      <c r="C8" s="3271">
        <f t="shared" ref="C8:C9" si="0">ROUND(D8*E8/10000,0)</f>
        <v>0</v>
      </c>
      <c r="D8" s="3271">
        <v>0</v>
      </c>
      <c r="E8" s="3272">
        <v>0</v>
      </c>
      <c r="F8" s="741"/>
      <c r="G8" s="742"/>
    </row>
    <row r="9" spans="1:25" s="2065" customFormat="1" ht="13.5" customHeight="1">
      <c r="A9" s="2324" t="s">
        <v>2423</v>
      </c>
      <c r="B9" s="2327" t="s">
        <v>2425</v>
      </c>
      <c r="C9" s="3271">
        <f t="shared" si="0"/>
        <v>0</v>
      </c>
      <c r="D9" s="3271">
        <v>0</v>
      </c>
      <c r="E9" s="3272">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2422</v>
      </c>
      <c r="B11" s="743" t="s">
        <v>604</v>
      </c>
      <c r="C11" s="744">
        <f>'数据-取费表'!B29</f>
        <v>0</v>
      </c>
      <c r="D11" s="745"/>
      <c r="E11" s="744"/>
      <c r="F11" s="746"/>
      <c r="G11" s="2332" t="s">
        <v>2433</v>
      </c>
    </row>
    <row r="12" spans="1:25" s="2065" customFormat="1" ht="13.5" customHeight="1">
      <c r="A12" s="2330" t="s">
        <v>2430</v>
      </c>
      <c r="B12" s="747" t="s">
        <v>605</v>
      </c>
      <c r="C12" s="748">
        <f>ROUND(D12*E12/10000,0)</f>
        <v>0</v>
      </c>
      <c r="D12" s="3271">
        <f>'数据-汇总表'!E5</f>
        <v>0</v>
      </c>
      <c r="E12" s="3271">
        <f>'数据-取费表'!B27</f>
        <v>150</v>
      </c>
      <c r="F12" s="746"/>
      <c r="G12" s="749"/>
    </row>
    <row r="13" spans="1:25" s="2065" customFormat="1" ht="13.5" customHeight="1">
      <c r="A13" s="2330" t="s">
        <v>2429</v>
      </c>
      <c r="B13" s="747" t="s">
        <v>606</v>
      </c>
      <c r="C13" s="748">
        <f>ROUND(D13*E13/10000,0)</f>
        <v>1113</v>
      </c>
      <c r="D13" s="3271">
        <f>'数据-汇总表'!E6</f>
        <v>74233.119999999995</v>
      </c>
      <c r="E13" s="3271">
        <f>'数据-取费表'!B28</f>
        <v>150</v>
      </c>
      <c r="F13" s="746"/>
      <c r="G13" s="749"/>
    </row>
    <row r="14" spans="1:25" s="2065" customFormat="1" ht="13.5" customHeight="1">
      <c r="A14" s="2324" t="s">
        <v>2423</v>
      </c>
      <c r="B14" s="2329" t="s">
        <v>2426</v>
      </c>
      <c r="C14" s="3273">
        <f t="shared" ref="C14:C15" si="1">ROUND(D14*E14/10000,0)</f>
        <v>0</v>
      </c>
      <c r="D14" s="3271">
        <v>0</v>
      </c>
      <c r="E14" s="3272">
        <v>0</v>
      </c>
      <c r="F14" s="2328"/>
      <c r="G14" s="2331" t="s">
        <v>2431</v>
      </c>
    </row>
    <row r="15" spans="1:25" s="2065" customFormat="1" ht="13.5" customHeight="1">
      <c r="A15" s="2324" t="s">
        <v>2428</v>
      </c>
      <c r="B15" s="2329" t="s">
        <v>2427</v>
      </c>
      <c r="C15" s="3273">
        <f t="shared" si="1"/>
        <v>0</v>
      </c>
      <c r="D15" s="3271">
        <v>0</v>
      </c>
      <c r="E15" s="3272">
        <v>0</v>
      </c>
      <c r="F15" s="2328"/>
      <c r="G15" s="2331" t="s">
        <v>2432</v>
      </c>
    </row>
    <row r="16" spans="1:25" s="2066" customFormat="1" ht="48">
      <c r="A16" s="2324">
        <v>3</v>
      </c>
      <c r="B16" s="739" t="s">
        <v>609</v>
      </c>
      <c r="C16" s="3273">
        <f t="shared" ref="C16" si="2">ROUND(D16*E16/10000,0)</f>
        <v>0</v>
      </c>
      <c r="D16" s="3271">
        <v>0</v>
      </c>
      <c r="E16" s="3272">
        <v>0</v>
      </c>
      <c r="F16" s="751"/>
      <c r="G16" s="749" t="s">
        <v>2434</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0.83799999999999997</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0" customFormat="1">
      <c r="A24" s="3269"/>
      <c r="D24" s="1885"/>
      <c r="E24" s="1885"/>
    </row>
    <row r="25" spans="1:25" s="3270" customFormat="1">
      <c r="A25" s="3269"/>
      <c r="D25" s="1885"/>
      <c r="E25" s="1885"/>
    </row>
    <row r="26" spans="1:25" s="3270" customFormat="1">
      <c r="A26" s="3269"/>
      <c r="D26" s="1885"/>
      <c r="E26" s="1885"/>
    </row>
    <row r="27" spans="1:25" s="3270" customFormat="1">
      <c r="A27" s="3269"/>
      <c r="D27" s="1885"/>
      <c r="E27" s="1885"/>
    </row>
    <row r="28" spans="1:25" s="3270" customFormat="1">
      <c r="A28" s="3269"/>
      <c r="D28" s="1885"/>
      <c r="E28" s="1885"/>
    </row>
    <row r="29" spans="1:25" s="3270" customFormat="1">
      <c r="A29" s="3269"/>
      <c r="D29" s="1885"/>
      <c r="E29" s="1885"/>
    </row>
    <row r="30" spans="1:25" s="3270" customFormat="1">
      <c r="A30" s="3269"/>
      <c r="D30" s="1885"/>
      <c r="E30" s="1885"/>
    </row>
    <row r="31" spans="1:25" s="3270" customFormat="1">
      <c r="A31" s="3269"/>
      <c r="D31" s="1885"/>
      <c r="E31" s="1885"/>
    </row>
    <row r="32" spans="1:25" s="3270" customFormat="1">
      <c r="A32" s="3269"/>
      <c r="D32" s="1885"/>
      <c r="E32" s="1885"/>
    </row>
    <row r="33" spans="1:5" s="3270" customFormat="1">
      <c r="A33" s="3269"/>
      <c r="D33" s="1885"/>
      <c r="E33" s="1885"/>
    </row>
    <row r="34" spans="1:5" s="3270" customFormat="1">
      <c r="A34" s="3269"/>
      <c r="D34" s="1885"/>
      <c r="E34" s="1885"/>
    </row>
    <row r="35" spans="1:5" s="3270" customFormat="1">
      <c r="A35" s="3269"/>
      <c r="D35" s="1885"/>
      <c r="E35" s="1885"/>
    </row>
    <row r="36" spans="1:5" s="3270" customFormat="1">
      <c r="A36" s="3269"/>
      <c r="D36" s="1885"/>
      <c r="E36" s="1885"/>
    </row>
    <row r="37" spans="1:5" s="3270" customFormat="1">
      <c r="A37" s="3269"/>
      <c r="D37" s="1885"/>
      <c r="E37" s="1885"/>
    </row>
    <row r="38" spans="1:5" s="3270" customFormat="1">
      <c r="A38" s="3269"/>
      <c r="D38" s="1885"/>
      <c r="E38" s="1885"/>
    </row>
    <row r="39" spans="1:5" s="3270" customFormat="1">
      <c r="A39" s="3269"/>
      <c r="D39" s="1885"/>
      <c r="E39" s="1885"/>
    </row>
    <row r="40" spans="1:5" s="3270" customFormat="1">
      <c r="A40" s="3269"/>
      <c r="D40" s="1885"/>
      <c r="E40" s="1885"/>
    </row>
    <row r="41" spans="1:5" s="3270" customFormat="1">
      <c r="A41" s="3269"/>
      <c r="D41" s="1885"/>
      <c r="E41" s="1885"/>
    </row>
    <row r="42" spans="1:5" s="3270" customFormat="1">
      <c r="A42" s="3269"/>
      <c r="D42" s="1885"/>
      <c r="E42" s="1885"/>
    </row>
    <row r="43" spans="1:5" s="3270" customFormat="1">
      <c r="A43" s="3269"/>
      <c r="D43" s="1885"/>
      <c r="E43" s="1885"/>
    </row>
    <row r="44" spans="1:5" s="3270" customFormat="1">
      <c r="A44" s="3269"/>
      <c r="D44" s="1885"/>
      <c r="E44" s="1885"/>
    </row>
    <row r="45" spans="1:5" s="3270" customFormat="1">
      <c r="A45" s="3269"/>
      <c r="D45" s="1885"/>
      <c r="E45" s="1885"/>
    </row>
    <row r="46" spans="1:5" s="3270" customFormat="1">
      <c r="A46" s="3269"/>
      <c r="D46" s="1885"/>
      <c r="E46" s="1885"/>
    </row>
    <row r="47" spans="1:5" s="3270" customFormat="1">
      <c r="A47" s="3269"/>
      <c r="D47" s="1885"/>
      <c r="E47" s="1885"/>
    </row>
    <row r="48" spans="1:5" s="3270" customFormat="1">
      <c r="A48" s="3269"/>
      <c r="D48" s="1885"/>
      <c r="E48" s="1885"/>
    </row>
    <row r="49" spans="1:5" s="3270" customFormat="1">
      <c r="A49" s="3269"/>
      <c r="D49" s="1885"/>
      <c r="E49" s="1885"/>
    </row>
    <row r="50" spans="1:5" s="3270" customFormat="1">
      <c r="A50" s="3269"/>
      <c r="D50" s="1885"/>
      <c r="E50" s="1885"/>
    </row>
    <row r="51" spans="1:5" s="3270" customFormat="1">
      <c r="A51" s="3269"/>
      <c r="D51" s="1885"/>
      <c r="E51" s="1885"/>
    </row>
    <row r="52" spans="1:5" s="3270" customFormat="1">
      <c r="A52" s="3269"/>
      <c r="D52" s="1885"/>
      <c r="E52" s="1885"/>
    </row>
    <row r="53" spans="1:5" s="3270" customFormat="1">
      <c r="A53" s="3269"/>
      <c r="D53" s="1885"/>
      <c r="E53" s="1885"/>
    </row>
    <row r="54" spans="1:5" s="3270" customFormat="1">
      <c r="A54" s="3269"/>
      <c r="D54" s="1885"/>
      <c r="E54" s="1885"/>
    </row>
    <row r="55" spans="1:5" s="3270" customFormat="1">
      <c r="A55" s="3269"/>
      <c r="D55" s="1885"/>
      <c r="E55" s="1885"/>
    </row>
    <row r="56" spans="1:5" s="3270" customFormat="1">
      <c r="A56" s="3269"/>
      <c r="D56" s="1885"/>
      <c r="E56" s="1885"/>
    </row>
    <row r="57" spans="1:5" s="3270" customFormat="1">
      <c r="A57" s="3269"/>
      <c r="D57" s="1885"/>
      <c r="E57" s="1885"/>
    </row>
    <row r="58" spans="1:5" s="3270" customFormat="1">
      <c r="A58" s="3269"/>
      <c r="D58" s="1885"/>
      <c r="E58" s="1885"/>
    </row>
    <row r="59" spans="1:5" s="3270" customFormat="1">
      <c r="A59" s="3269"/>
      <c r="D59" s="1885"/>
      <c r="E59" s="1885"/>
    </row>
    <row r="60" spans="1:5" s="3270" customFormat="1">
      <c r="A60" s="3269"/>
      <c r="D60" s="1885"/>
      <c r="E60" s="1885"/>
    </row>
    <row r="61" spans="1:5" s="3270" customFormat="1">
      <c r="A61" s="3269"/>
      <c r="D61" s="1885"/>
      <c r="E61" s="1885"/>
    </row>
    <row r="62" spans="1:5" s="3270" customFormat="1">
      <c r="A62" s="3269"/>
      <c r="D62" s="1885"/>
      <c r="E62" s="1885"/>
    </row>
    <row r="63" spans="1:5" s="3270" customFormat="1">
      <c r="A63" s="3269"/>
      <c r="D63" s="1885"/>
      <c r="E63" s="1885"/>
    </row>
  </sheetData>
  <sheetProtection password="CEE9"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0D608-FAEC-432D-9687-A5C42BDFDC1C}">
  <sheetPr>
    <tabColor rgb="FF92D050"/>
    <pageSetUpPr fitToPage="1"/>
  </sheetPr>
  <dimension ref="A1:AG76"/>
  <sheetViews>
    <sheetView view="pageBreakPreview" zoomScale="80" zoomScaleNormal="60" zoomScaleSheetLayoutView="80" workbookViewId="0">
      <selection activeCell="D10" sqref="D10"/>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35</v>
      </c>
      <c r="D1" s="2799" t="s">
        <v>3052</v>
      </c>
      <c r="E1" s="2243" t="s">
        <v>862</v>
      </c>
      <c r="F1" s="2244">
        <f ca="1">J53</f>
        <v>-2</v>
      </c>
      <c r="G1" s="3259">
        <f>MATCH(C1,'数据-取费表'!A6:A16,0)+5</f>
        <v>8</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461</v>
      </c>
      <c r="B2" s="765" t="e">
        <f ca="1">C40+J29+L46</f>
        <v>#DIV/0!</v>
      </c>
      <c r="C2" s="3264"/>
      <c r="D2" s="3265"/>
      <c r="E2" s="3266"/>
      <c r="F2" s="3266"/>
      <c r="G2" s="3260"/>
      <c r="H2" s="1941"/>
      <c r="I2" s="1941"/>
      <c r="J2" s="1941"/>
      <c r="K2" s="1942"/>
      <c r="L2" s="1941"/>
      <c r="M2" s="1941"/>
    </row>
    <row r="3" spans="1:33" ht="18" customHeight="1" thickBot="1">
      <c r="A3" s="822" t="s">
        <v>513</v>
      </c>
      <c r="B3" s="823">
        <f ca="1">IF(ISERROR(B2*10000/F43),0,ROUND(B2*10000/F43,0))</f>
        <v>0</v>
      </c>
      <c r="C3" s="3264"/>
      <c r="D3" s="3265"/>
      <c r="E3" s="3266"/>
      <c r="F3" s="3266"/>
      <c r="G3" s="3260"/>
      <c r="H3" s="766" t="s">
        <v>689</v>
      </c>
      <c r="I3" s="1316"/>
      <c r="J3" s="1316"/>
      <c r="K3" s="1526"/>
      <c r="L3" s="1316"/>
      <c r="M3" s="1316"/>
    </row>
    <row r="4" spans="1:33" ht="18" customHeight="1">
      <c r="A4" s="767" t="s">
        <v>624</v>
      </c>
      <c r="B4" s="768" t="s">
        <v>625</v>
      </c>
      <c r="C4" s="768" t="s">
        <v>626</v>
      </c>
      <c r="D4" s="768" t="s">
        <v>627</v>
      </c>
      <c r="E4" s="769" t="s">
        <v>628</v>
      </c>
      <c r="F4" s="770"/>
      <c r="G4" s="1946"/>
      <c r="H4" s="767" t="s">
        <v>624</v>
      </c>
      <c r="I4" s="768" t="s">
        <v>625</v>
      </c>
      <c r="J4" s="768" t="s">
        <v>626</v>
      </c>
      <c r="K4" s="768" t="s">
        <v>627</v>
      </c>
      <c r="L4" s="769" t="s">
        <v>628</v>
      </c>
      <c r="M4" s="770"/>
    </row>
    <row r="5" spans="1:33" ht="18" customHeight="1">
      <c r="A5" s="771">
        <v>1</v>
      </c>
      <c r="B5" s="772" t="s">
        <v>2439</v>
      </c>
      <c r="C5" s="55">
        <f ca="1">C6+C10+C12</f>
        <v>0</v>
      </c>
      <c r="D5" s="2350" t="s">
        <v>2442</v>
      </c>
      <c r="E5" s="2344"/>
      <c r="F5" s="2345"/>
      <c r="G5" s="1946"/>
      <c r="H5" s="771">
        <v>1</v>
      </c>
      <c r="I5" s="772" t="s">
        <v>2439</v>
      </c>
      <c r="J5" s="55">
        <f ca="1">J6+J10+J12</f>
        <v>0</v>
      </c>
      <c r="K5" s="2350" t="s">
        <v>2442</v>
      </c>
      <c r="L5" s="2344"/>
      <c r="M5" s="2345"/>
    </row>
    <row r="6" spans="1:33" ht="18" customHeight="1">
      <c r="A6" s="1746" t="s">
        <v>1815</v>
      </c>
      <c r="B6" s="3561" t="s">
        <v>2444</v>
      </c>
      <c r="C6" s="773">
        <f ca="1">ROUND(F6*F8*F7*(1-F9)/10000,0)</f>
        <v>0</v>
      </c>
      <c r="D6" s="2351" t="s">
        <v>2443</v>
      </c>
      <c r="E6" s="774" t="s">
        <v>631</v>
      </c>
      <c r="F6" s="775">
        <f ca="1">INDIRECT("'数据-取费表'!u"&amp;$G$1)</f>
        <v>0</v>
      </c>
      <c r="G6" s="1946"/>
      <c r="H6" s="2358" t="s">
        <v>1815</v>
      </c>
      <c r="I6" s="3561" t="s">
        <v>2444</v>
      </c>
      <c r="J6" s="773">
        <f ca="1">ROUND(M6*M8*M7*(1-M9)/10000,0)</f>
        <v>0</v>
      </c>
      <c r="K6" s="339" t="s">
        <v>630</v>
      </c>
      <c r="L6" s="774" t="s">
        <v>631</v>
      </c>
      <c r="M6" s="775">
        <f ca="1">INDIRECT("'数据-取费表'!z"&amp;$G$1)</f>
        <v>0</v>
      </c>
    </row>
    <row r="7" spans="1:33" ht="18" customHeight="1">
      <c r="A7" s="2354"/>
      <c r="B7" s="3562"/>
      <c r="C7" s="778"/>
      <c r="D7" s="779"/>
      <c r="E7" s="774" t="s">
        <v>632</v>
      </c>
      <c r="F7" s="775">
        <f ca="1">IF(INDIRECT("'数据-取费表'!ah"&amp;$G$1)="",INDIRECT("'数据-取费表'!k"&amp;$G$1),INDIRECT("'数据-取费表'!ah"&amp;$G$1))</f>
        <v>0</v>
      </c>
      <c r="G7" s="1946"/>
      <c r="H7" s="2343"/>
      <c r="I7" s="3562"/>
      <c r="J7" s="778"/>
      <c r="K7" s="779"/>
      <c r="L7" s="774" t="s">
        <v>632</v>
      </c>
      <c r="M7" s="775">
        <f ca="1">F7</f>
        <v>0</v>
      </c>
    </row>
    <row r="8" spans="1:33" ht="18" customHeight="1">
      <c r="A8" s="2347"/>
      <c r="B8" s="3563"/>
      <c r="C8" s="778"/>
      <c r="D8" s="779"/>
      <c r="E8" s="774" t="s">
        <v>633</v>
      </c>
      <c r="F8" s="775">
        <f ca="1">INDIRECT("'数据-取费表'!ai"&amp;$G$1)</f>
        <v>0</v>
      </c>
      <c r="G8" s="1946"/>
      <c r="H8" s="2343"/>
      <c r="I8" s="3563"/>
      <c r="J8" s="778"/>
      <c r="K8" s="779"/>
      <c r="L8" s="774" t="s">
        <v>633</v>
      </c>
      <c r="M8" s="775">
        <f ca="1">INDIRECT("'数据-取费表'!ai"&amp;$G$1)</f>
        <v>0</v>
      </c>
    </row>
    <row r="9" spans="1:33" ht="18" customHeight="1">
      <c r="A9" s="776"/>
      <c r="B9" s="3564"/>
      <c r="C9" s="778"/>
      <c r="D9" s="779"/>
      <c r="E9" s="774" t="s">
        <v>634</v>
      </c>
      <c r="F9" s="784">
        <f ca="1">INDIRECT("'数据-取费表'!w"&amp;$G$1)</f>
        <v>0</v>
      </c>
      <c r="G9" s="1946"/>
      <c r="H9" s="2359"/>
      <c r="I9" s="3563"/>
      <c r="J9" s="778"/>
      <c r="K9" s="779"/>
      <c r="L9" s="785" t="s">
        <v>634</v>
      </c>
      <c r="M9" s="786">
        <f ca="1">INDIRECT("'数据-取费表'!ab"&amp;$G$1)</f>
        <v>0</v>
      </c>
    </row>
    <row r="10" spans="1:33" ht="18" customHeight="1">
      <c r="A10" s="1746" t="s">
        <v>1816</v>
      </c>
      <c r="B10" s="2348" t="s">
        <v>2440</v>
      </c>
      <c r="C10" s="789">
        <f ca="1">ROUND(IF(F10="押一",C6/12*F11,IF(F10="押二",C6/12*2*F11,IF(F10="押三",C6/12*3*F11,C11*F11))),0)</f>
        <v>0</v>
      </c>
      <c r="D10" s="2355" t="s">
        <v>2925</v>
      </c>
      <c r="E10" s="2352" t="s">
        <v>2445</v>
      </c>
      <c r="F10" s="2466" t="s">
        <v>3053</v>
      </c>
      <c r="G10" s="1946"/>
      <c r="H10" s="2415" t="s">
        <v>1816</v>
      </c>
      <c r="I10" s="2420" t="s">
        <v>2440</v>
      </c>
      <c r="J10" s="773">
        <f ca="1">ROUND(IF(M10="押一",J6/12*M11,IF(M10="押二",J6/12*2*M11,IF(M10="押三",J6/12*3*M11,J11*M11))),0)</f>
        <v>0</v>
      </c>
      <c r="K10" s="2355" t="s">
        <v>2925</v>
      </c>
      <c r="L10" s="2352" t="s">
        <v>2445</v>
      </c>
      <c r="M10" s="2466"/>
    </row>
    <row r="11" spans="1:33" ht="18" customHeight="1">
      <c r="A11" s="780"/>
      <c r="B11" s="2349" t="s">
        <v>2554</v>
      </c>
      <c r="C11" s="2353"/>
      <c r="D11" s="779"/>
      <c r="E11" s="2352" t="s">
        <v>2437</v>
      </c>
      <c r="F11" s="786">
        <f ca="1">'数据-取费表'!B39</f>
        <v>1.4999999999999999E-2</v>
      </c>
      <c r="G11" s="1946"/>
      <c r="H11" s="2416"/>
      <c r="I11" s="2349" t="s">
        <v>2554</v>
      </c>
      <c r="J11" s="2353"/>
      <c r="K11" s="2417"/>
      <c r="L11" s="2352" t="s">
        <v>2437</v>
      </c>
      <c r="M11" s="2346">
        <f ca="1">'数据-取费表'!B39</f>
        <v>1.4999999999999999E-2</v>
      </c>
    </row>
    <row r="12" spans="1:33" ht="18" customHeight="1" thickBot="1">
      <c r="A12" s="2391" t="s">
        <v>2448</v>
      </c>
      <c r="B12" s="2392" t="s">
        <v>2441</v>
      </c>
      <c r="C12" s="2393"/>
      <c r="D12" s="2394"/>
      <c r="E12" s="2395"/>
      <c r="F12" s="2396"/>
      <c r="G12" s="1946"/>
      <c r="H12" s="2405" t="s">
        <v>2448</v>
      </c>
      <c r="I12" s="2418" t="s">
        <v>2441</v>
      </c>
      <c r="J12" s="2419"/>
      <c r="K12" s="2394"/>
      <c r="L12" s="2395"/>
      <c r="M12" s="2408"/>
    </row>
    <row r="13" spans="1:33" ht="18" customHeight="1" thickTop="1">
      <c r="A13" s="1745">
        <v>2</v>
      </c>
      <c r="B13" s="1743" t="s">
        <v>638</v>
      </c>
      <c r="C13" s="782">
        <f ca="1">ROUND(C29*F13,0)</f>
        <v>0</v>
      </c>
      <c r="D13" s="1750" t="s">
        <v>2284</v>
      </c>
      <c r="E13" s="1750" t="s">
        <v>637</v>
      </c>
      <c r="F13" s="2390">
        <f ca="1">INDIRECT("'数据-取费表'!y"&amp;$G$1)</f>
        <v>0</v>
      </c>
      <c r="G13" s="1946"/>
      <c r="H13" s="1745">
        <v>2</v>
      </c>
      <c r="I13" s="1743" t="s">
        <v>638</v>
      </c>
      <c r="J13" s="1735">
        <f ca="1">ROUND(J14*J15,0)</f>
        <v>0</v>
      </c>
      <c r="K13" s="1737" t="s">
        <v>636</v>
      </c>
      <c r="L13" s="2406"/>
      <c r="M13" s="2407"/>
    </row>
    <row r="14" spans="1:33" ht="18" customHeight="1">
      <c r="A14" s="1577" t="s">
        <v>1822</v>
      </c>
      <c r="B14" s="774" t="s">
        <v>639</v>
      </c>
      <c r="C14" s="794">
        <f ca="1">INDIRECT("'数据-取费表'!m"&amp;$G$1)+INDIRECT("'数据-取费表'!t"&amp;$G$1)</f>
        <v>0</v>
      </c>
      <c r="D14" s="3277" t="s">
        <v>640</v>
      </c>
      <c r="E14" s="3278"/>
      <c r="F14" s="795"/>
      <c r="G14" s="1946"/>
      <c r="H14" s="1578" t="s">
        <v>1815</v>
      </c>
      <c r="I14" s="2112" t="s">
        <v>2804</v>
      </c>
      <c r="J14" s="53">
        <f ca="1">C29</f>
        <v>0</v>
      </c>
      <c r="K14" s="26"/>
      <c r="L14" s="791"/>
      <c r="M14" s="792"/>
    </row>
    <row r="15" spans="1:33" s="1948" customFormat="1" ht="18" customHeight="1" thickBot="1">
      <c r="A15" s="1577" t="s">
        <v>1823</v>
      </c>
      <c r="B15" s="774" t="s">
        <v>641</v>
      </c>
      <c r="C15" s="53">
        <f ca="1">ROUND(C14*F15,0)</f>
        <v>0</v>
      </c>
      <c r="D15" s="796" t="s">
        <v>642</v>
      </c>
      <c r="E15" s="796" t="s">
        <v>643</v>
      </c>
      <c r="F15" s="797">
        <f>'数据-取费表'!B33</f>
        <v>0.05</v>
      </c>
      <c r="G15" s="3261"/>
      <c r="H15" s="2405" t="s">
        <v>1880</v>
      </c>
      <c r="I15" s="2400" t="s">
        <v>637</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1824</v>
      </c>
      <c r="B16" s="774" t="s">
        <v>644</v>
      </c>
      <c r="C16" s="53">
        <f ca="1">ROUND(INDIRECT("'数据-取费表'!m"&amp;$G$1)*F16,0)</f>
        <v>0</v>
      </c>
      <c r="D16" s="774" t="s">
        <v>642</v>
      </c>
      <c r="E16" s="774" t="s">
        <v>643</v>
      </c>
      <c r="F16" s="799">
        <f ca="1">IF(INDIRECT("'数据-取费表'!c"&amp;$G$1)="住宅",'数据-取费表'!B34,0)</f>
        <v>0</v>
      </c>
      <c r="G16" s="1946"/>
      <c r="H16" s="1745" t="s">
        <v>7</v>
      </c>
      <c r="I16" s="1743" t="s">
        <v>645</v>
      </c>
      <c r="J16" s="782">
        <f ca="1">ROUND(J17+J22+J23+J24,0)</f>
        <v>0</v>
      </c>
      <c r="K16" s="1737" t="s">
        <v>646</v>
      </c>
      <c r="L16" s="3279"/>
      <c r="M16" s="2345"/>
    </row>
    <row r="17" spans="1:33" s="1948" customFormat="1" ht="18" customHeight="1">
      <c r="A17" s="1577" t="s">
        <v>1878</v>
      </c>
      <c r="B17" s="774" t="s">
        <v>647</v>
      </c>
      <c r="C17" s="53">
        <f ca="1">ROUND(F17*(F43+INDIRECT("'数据-取费表'!S"&amp;$G$1))/10000,0)</f>
        <v>0</v>
      </c>
      <c r="D17" s="774" t="s">
        <v>648</v>
      </c>
      <c r="E17" s="774" t="s">
        <v>649</v>
      </c>
      <c r="F17" s="56">
        <f>'数据-取费表'!B35</f>
        <v>200</v>
      </c>
      <c r="G17" s="3261"/>
      <c r="H17" s="1578" t="s">
        <v>1815</v>
      </c>
      <c r="I17" s="774" t="s">
        <v>650</v>
      </c>
      <c r="J17" s="3020">
        <f ca="1">ROUND(IF(AND(项目基本情况!B11="自然人",项目基本情况!B10="北京市"),J6*M17/(1+'数据-取费表'!F30),J18+J19+J20),0)</f>
        <v>0</v>
      </c>
      <c r="K17" s="3277" t="s">
        <v>651</v>
      </c>
      <c r="L17" s="3276" t="s">
        <v>652</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0</v>
      </c>
      <c r="D18" s="774" t="s">
        <v>642</v>
      </c>
      <c r="E18" s="774" t="s">
        <v>643</v>
      </c>
      <c r="F18" s="799">
        <f>'数据-取费表'!B36</f>
        <v>1.4999999999999999E-2</v>
      </c>
      <c r="G18" s="3261"/>
      <c r="H18" s="1577" t="s">
        <v>1822</v>
      </c>
      <c r="I18" s="774" t="s">
        <v>654</v>
      </c>
      <c r="J18" s="53">
        <f ca="1">ROUND(J6*M18/(1+'数据-取费表'!C42),1)</f>
        <v>0</v>
      </c>
      <c r="K18" s="3276" t="s">
        <v>655</v>
      </c>
      <c r="L18" s="774" t="s">
        <v>643</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1815</v>
      </c>
      <c r="B19" s="774" t="s">
        <v>656</v>
      </c>
      <c r="C19" s="53">
        <f ca="1">SUM(C14:C18)</f>
        <v>0</v>
      </c>
      <c r="D19" s="259" t="s">
        <v>657</v>
      </c>
      <c r="E19" s="3281"/>
      <c r="F19" s="56"/>
      <c r="G19" s="1946"/>
      <c r="H19" s="1577" t="s">
        <v>1823</v>
      </c>
      <c r="I19" s="774" t="s">
        <v>658</v>
      </c>
      <c r="J19" s="53">
        <f ca="1">IF(K19="按租金收入计税",ROUND(J6*M19/(1+'数据-取费表'!C42),1),ROUND(C29*F33*0.7,1))</f>
        <v>0</v>
      </c>
      <c r="K19" s="800" t="s">
        <v>659</v>
      </c>
      <c r="L19" s="774" t="s">
        <v>643</v>
      </c>
      <c r="M19" s="799">
        <f>IF(K19="按租金收入计税",'数据-取费表'!B51,'数据-取费表'!B50)</f>
        <v>1.2E-2</v>
      </c>
    </row>
    <row r="20" spans="1:33" s="1948" customFormat="1" ht="18" customHeight="1">
      <c r="A20" s="1578" t="s">
        <v>1880</v>
      </c>
      <c r="B20" s="774" t="s">
        <v>660</v>
      </c>
      <c r="C20" s="53">
        <f ca="1">ROUND(C19*F20,0)</f>
        <v>0</v>
      </c>
      <c r="D20" s="801" t="s">
        <v>661</v>
      </c>
      <c r="E20" s="774" t="s">
        <v>643</v>
      </c>
      <c r="F20" s="799">
        <f>'数据-取费表'!B37</f>
        <v>0.03</v>
      </c>
      <c r="G20" s="3261"/>
      <c r="H20" s="1580" t="s">
        <v>1824</v>
      </c>
      <c r="I20" s="339" t="s">
        <v>662</v>
      </c>
      <c r="J20" s="54">
        <f ca="1">ROUND(M20*M21/10000,0)</f>
        <v>0</v>
      </c>
      <c r="K20" s="803" t="s">
        <v>663</v>
      </c>
      <c r="L20" s="774" t="s">
        <v>664</v>
      </c>
      <c r="M20" s="632">
        <f>'数据-取费表'!B52</f>
        <v>4</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665</v>
      </c>
      <c r="C21" s="53" t="s">
        <v>1</v>
      </c>
      <c r="D21" s="801" t="s">
        <v>2285</v>
      </c>
      <c r="E21" s="774" t="s">
        <v>667</v>
      </c>
      <c r="F21" s="799">
        <f>'数据-取费表'!B38</f>
        <v>0.03</v>
      </c>
      <c r="G21" s="3261"/>
      <c r="H21" s="2360"/>
      <c r="I21" s="783"/>
      <c r="J21" s="69"/>
      <c r="K21" s="805"/>
      <c r="L21" s="774" t="s">
        <v>668</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669</v>
      </c>
      <c r="C22" s="53"/>
      <c r="D22" s="2425" t="str">
        <f>IF(F23&lt;=1,"单利计息。","复利计息。")&amp;"建造成本、管理费用、销售费用产生的利息。"</f>
        <v>复利计息。建造成本、管理费用、销售费用产生的利息。</v>
      </c>
      <c r="E22" s="3281"/>
      <c r="F22" s="56"/>
      <c r="G22" s="1946"/>
      <c r="H22" s="1578" t="s">
        <v>1880</v>
      </c>
      <c r="I22" s="774" t="s">
        <v>670</v>
      </c>
      <c r="J22" s="53">
        <f ca="1">ROUND(J14*M22,0)</f>
        <v>0</v>
      </c>
      <c r="K22" s="3276" t="s">
        <v>671</v>
      </c>
      <c r="L22" s="774" t="s">
        <v>643</v>
      </c>
      <c r="M22" s="806">
        <f ca="1">INDIRECT("'数据-取费表'!Ak"&amp;$G$1)</f>
        <v>0</v>
      </c>
    </row>
    <row r="23" spans="1:33" s="1948" customFormat="1" ht="18" customHeight="1">
      <c r="A23" s="1577" t="s">
        <v>1822</v>
      </c>
      <c r="B23" s="774" t="s">
        <v>2420</v>
      </c>
      <c r="C23" s="53">
        <f ca="1">ROUND(IF('数据-取费表'!B22&lt;=1,(C19+C20)*F24*F23/2,(C19+C20)*(POWER((1+F24),F23/2)-1)),0)</f>
        <v>0</v>
      </c>
      <c r="D23" s="2424" t="str">
        <f>IF(F23&lt;=1,"(建造成本+管理费用)×利率×(建设周期÷2)","(建造成本+管理费用)×((1+利率)^(建设周期÷2)-1)")</f>
        <v>(建造成本+管理费用)×((1+利率)^(建设周期÷2)-1)</v>
      </c>
      <c r="E23" s="774" t="s">
        <v>672</v>
      </c>
      <c r="F23" s="632">
        <f>'数据-取费表'!B20</f>
        <v>2</v>
      </c>
      <c r="G23" s="3261"/>
      <c r="H23" s="1578" t="s">
        <v>1881</v>
      </c>
      <c r="I23" s="774" t="s">
        <v>673</v>
      </c>
      <c r="J23" s="53">
        <f ca="1">ROUND(J13*M23,0)</f>
        <v>0</v>
      </c>
      <c r="K23" s="3276" t="s">
        <v>674</v>
      </c>
      <c r="L23" s="774" t="s">
        <v>643</v>
      </c>
      <c r="M23" s="807">
        <f ca="1">INDIRECT("'数据-取费表'!Al"&amp;$G$1)</f>
        <v>0</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675</v>
      </c>
      <c r="C24" s="53">
        <f ca="1">ROUND(IF('数据-取费表'!B22&lt;=1,F21*F24*F23/2,F21*(POWER((1+F24),F23/2)-1)),4)</f>
        <v>1.4E-3</v>
      </c>
      <c r="D24" s="2424" t="str">
        <f>IF(F23&lt;=1,"销售费用×利率×(建设周期÷2)","销售费用×((1+利率)^(建设周期÷2)-1)")</f>
        <v>销售费用×((1+利率)^(建设周期÷2)-1)</v>
      </c>
      <c r="E24" s="774" t="s">
        <v>676</v>
      </c>
      <c r="F24" s="808">
        <f ca="1">'数据-取费表'!B40</f>
        <v>4.7500000000000001E-2</v>
      </c>
      <c r="G24" s="3261"/>
      <c r="H24" s="2405" t="s">
        <v>1882</v>
      </c>
      <c r="I24" s="2400" t="s">
        <v>660</v>
      </c>
      <c r="J24" s="2398">
        <f ca="1">ROUND(J5*M24,0)</f>
        <v>0</v>
      </c>
      <c r="K24" s="2399" t="s">
        <v>677</v>
      </c>
      <c r="L24" s="2400" t="s">
        <v>643</v>
      </c>
      <c r="M24" s="2396">
        <f ca="1">INDIRECT("'数据-取费表'!Am"&amp;$G$1)</f>
        <v>0</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679</v>
      </c>
      <c r="E25" s="3281"/>
      <c r="F25" s="56"/>
      <c r="G25" s="1946"/>
      <c r="H25" s="1745" t="s">
        <v>1767</v>
      </c>
      <c r="I25" s="2724" t="s">
        <v>2801</v>
      </c>
      <c r="J25" s="782">
        <f ca="1">J5-J16</f>
        <v>0</v>
      </c>
      <c r="K25" s="2402" t="s">
        <v>694</v>
      </c>
      <c r="L25" s="2403"/>
      <c r="M25" s="2404"/>
    </row>
    <row r="26" spans="1:33" ht="18" customHeight="1">
      <c r="A26" s="1577" t="s">
        <v>1822</v>
      </c>
      <c r="B26" s="774" t="s">
        <v>2421</v>
      </c>
      <c r="C26" s="53">
        <f ca="1">ROUND((C19+C20)*F26,0)</f>
        <v>0</v>
      </c>
      <c r="D26" s="801" t="s">
        <v>695</v>
      </c>
      <c r="E26" s="785" t="s">
        <v>696</v>
      </c>
      <c r="F26" s="784">
        <f ca="1">INDIRECT("'数据-取费表'!q"&amp;$G$1)</f>
        <v>0</v>
      </c>
      <c r="G26" s="1946"/>
      <c r="H26" s="2356" t="s">
        <v>1771</v>
      </c>
      <c r="I26" s="2113" t="s">
        <v>2806</v>
      </c>
      <c r="J26" s="773">
        <f ca="1">IF(J5&lt;&gt;0,ROUND(J25*(1-((1+M28)/(1+M26))^M27)/(M26-M28),0),0)</f>
        <v>0</v>
      </c>
      <c r="K26" s="803" t="s">
        <v>698</v>
      </c>
      <c r="L26" s="774" t="s">
        <v>2403</v>
      </c>
      <c r="M26" s="784">
        <f ca="1">INDIRECT("'数据-取费表'!I"&amp;$G$1)</f>
        <v>0</v>
      </c>
    </row>
    <row r="27" spans="1:33" ht="18" customHeight="1">
      <c r="A27" s="1577" t="s">
        <v>1823</v>
      </c>
      <c r="B27" s="774" t="s">
        <v>680</v>
      </c>
      <c r="C27" s="53">
        <f ca="1">ROUND(F21*F26,4)</f>
        <v>0</v>
      </c>
      <c r="D27" s="801" t="s">
        <v>700</v>
      </c>
      <c r="E27" s="796"/>
      <c r="F27" s="797"/>
      <c r="G27" s="1946"/>
      <c r="H27" s="2357"/>
      <c r="I27" s="777"/>
      <c r="J27" s="778"/>
      <c r="K27" s="810" t="s">
        <v>701</v>
      </c>
      <c r="L27" s="774" t="s">
        <v>702</v>
      </c>
      <c r="M27" s="811">
        <f ca="1">INDIRECT("'数据-取费表'!ag"&amp;$G$1)</f>
        <v>0</v>
      </c>
    </row>
    <row r="28" spans="1:33" s="1948" customFormat="1" ht="18" customHeight="1">
      <c r="A28" s="1579" t="s">
        <v>1832</v>
      </c>
      <c r="B28" s="774" t="s">
        <v>681</v>
      </c>
      <c r="C28" s="53">
        <f>ROUND(F28/(1+'数据-取费表'!C42),4)</f>
        <v>5.2400000000000002E-2</v>
      </c>
      <c r="D28" s="801" t="s">
        <v>2286</v>
      </c>
      <c r="E28" s="774" t="s">
        <v>643</v>
      </c>
      <c r="F28" s="799">
        <f>'数据-取费表'!B41</f>
        <v>5.5000000000000007E-2</v>
      </c>
      <c r="G28" s="3261"/>
      <c r="H28" s="1745"/>
      <c r="I28" s="781"/>
      <c r="J28" s="782"/>
      <c r="K28" s="805"/>
      <c r="L28" s="774" t="s">
        <v>704</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2287</v>
      </c>
      <c r="C29" s="2398">
        <f ca="1">ROUND((C19+C20+C23+C26)/(1-F21-C24-C27-C28),0)</f>
        <v>0</v>
      </c>
      <c r="D29" s="2399"/>
      <c r="E29" s="2400"/>
      <c r="F29" s="2401"/>
      <c r="G29" s="3261"/>
      <c r="H29" s="812" t="s">
        <v>1778</v>
      </c>
      <c r="I29" s="813" t="s">
        <v>1779</v>
      </c>
      <c r="J29" s="814">
        <f ca="1">ROUND(J26/(1+F40)^F41,0)</f>
        <v>0</v>
      </c>
      <c r="K29" s="815" t="s">
        <v>682</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7</v>
      </c>
      <c r="B30" s="1743" t="s">
        <v>645</v>
      </c>
      <c r="C30" s="782">
        <f ca="1">ROUND(C31+C36+C37+C38,0)</f>
        <v>0</v>
      </c>
      <c r="D30" s="1737" t="s">
        <v>646</v>
      </c>
      <c r="E30" s="3279"/>
      <c r="F30" s="2345"/>
      <c r="G30" s="1946"/>
      <c r="H30" s="1949"/>
      <c r="I30" s="1950"/>
      <c r="J30" s="1951"/>
      <c r="K30" s="1952"/>
      <c r="L30" s="1953"/>
      <c r="M30" s="1954"/>
    </row>
    <row r="31" spans="1:33" ht="18" customHeight="1">
      <c r="A31" s="1578" t="s">
        <v>1815</v>
      </c>
      <c r="B31" s="774" t="s">
        <v>650</v>
      </c>
      <c r="C31" s="3020">
        <f ca="1">ROUND(IF(AND(项目基本情况!B11="自然人",项目基本情况!B10="北京市"),C6*F31/(1+'数据-取费表'!F30),C32+C33+C34),0)</f>
        <v>0</v>
      </c>
      <c r="D31" s="3277" t="s">
        <v>651</v>
      </c>
      <c r="E31" s="3276" t="s">
        <v>684</v>
      </c>
      <c r="F31" s="3019" t="str">
        <f>IF(项目基本情况!B11="企业","——",IF('数据-取费表'!B10="住宅",IF(F6*F7*F8/12/(1+'数据-取费表'!F30)&gt;100000,4%,2.5%),IF(F6*F7*F8/12/(1+'数据-取费表'!F30)&gt;100000,12%,7%)))</f>
        <v>——</v>
      </c>
      <c r="G31" s="1946"/>
      <c r="H31" s="3258" t="s">
        <v>2984</v>
      </c>
      <c r="I31" s="1950"/>
      <c r="J31" s="1951"/>
      <c r="K31" s="1952"/>
      <c r="L31" s="1953"/>
      <c r="M31" s="1954"/>
    </row>
    <row r="32" spans="1:33" ht="18" customHeight="1">
      <c r="A32" s="1577" t="s">
        <v>1822</v>
      </c>
      <c r="B32" s="774" t="s">
        <v>654</v>
      </c>
      <c r="C32" s="53">
        <f ca="1">ROUND(C6*F32/(1+'数据-取费表'!C42),1)</f>
        <v>0</v>
      </c>
      <c r="D32" s="3276" t="s">
        <v>655</v>
      </c>
      <c r="E32" s="774" t="s">
        <v>643</v>
      </c>
      <c r="F32" s="799">
        <f>'数据-取费表'!B41</f>
        <v>5.5000000000000007E-2</v>
      </c>
      <c r="G32" s="1946"/>
      <c r="H32" s="1955"/>
      <c r="I32" s="1956"/>
      <c r="J32" s="1957"/>
      <c r="K32" s="1958"/>
      <c r="L32" s="1959"/>
      <c r="M32" s="1960"/>
    </row>
    <row r="33" spans="1:18" ht="18" customHeight="1">
      <c r="A33" s="1577" t="s">
        <v>1823</v>
      </c>
      <c r="B33" s="774" t="s">
        <v>658</v>
      </c>
      <c r="C33" s="53">
        <f ca="1">IF(D33="按租金收入计税",ROUND(C6*F33/(1+'数据-取费表'!C42),1),IF(D33="按房产原值计税",ROUND(C29*F33*0.7,1),INDIRECT("'数据-取费表'!Aj"&amp;$G$1)))</f>
        <v>0</v>
      </c>
      <c r="D33" s="800" t="s">
        <v>3054</v>
      </c>
      <c r="E33" s="774" t="s">
        <v>643</v>
      </c>
      <c r="F33" s="799">
        <f>IF(D33="按租金收入计税",'数据-取费表'!B51,'数据-取费表'!B50)</f>
        <v>0.12</v>
      </c>
      <c r="G33" s="1946"/>
      <c r="H33" s="1961"/>
      <c r="I33" s="1961"/>
      <c r="J33" s="1961"/>
      <c r="K33" s="1962"/>
      <c r="L33" s="1961"/>
      <c r="M33" s="1961"/>
    </row>
    <row r="34" spans="1:18" ht="18" customHeight="1">
      <c r="A34" s="1580" t="s">
        <v>1824</v>
      </c>
      <c r="B34" s="339" t="s">
        <v>662</v>
      </c>
      <c r="C34" s="54">
        <f ca="1">ROUND(F34*F35/10000,1)</f>
        <v>0</v>
      </c>
      <c r="D34" s="803" t="s">
        <v>663</v>
      </c>
      <c r="E34" s="774" t="s">
        <v>664</v>
      </c>
      <c r="F34" s="632">
        <f>'数据-取费表'!B52</f>
        <v>4</v>
      </c>
      <c r="G34" s="1946"/>
      <c r="H34" s="1949"/>
      <c r="I34" s="824" t="s">
        <v>1804</v>
      </c>
      <c r="J34" s="825"/>
      <c r="K34" s="1964"/>
      <c r="L34" s="1963"/>
      <c r="M34" s="1963"/>
    </row>
    <row r="35" spans="1:18" ht="18" customHeight="1">
      <c r="A35" s="804"/>
      <c r="B35" s="783"/>
      <c r="C35" s="69"/>
      <c r="D35" s="805"/>
      <c r="E35" s="774" t="s">
        <v>668</v>
      </c>
      <c r="F35" s="775">
        <f ca="1">INDIRECT("'数据-取费表'!r"&amp;$G$1)</f>
        <v>0</v>
      </c>
      <c r="G35" s="1946"/>
      <c r="H35" s="1949"/>
      <c r="I35" s="826" t="s">
        <v>1805</v>
      </c>
      <c r="J35" s="827">
        <f ca="1">ROUND(C13*J36,0)</f>
        <v>0</v>
      </c>
      <c r="K35" s="1962"/>
      <c r="L35" s="1961"/>
      <c r="M35" s="1961"/>
    </row>
    <row r="36" spans="1:18" ht="18" customHeight="1">
      <c r="A36" s="1578" t="s">
        <v>1880</v>
      </c>
      <c r="B36" s="774" t="s">
        <v>670</v>
      </c>
      <c r="C36" s="53">
        <f ca="1">ROUND(C29*F36,1)</f>
        <v>0</v>
      </c>
      <c r="D36" s="3276" t="s">
        <v>685</v>
      </c>
      <c r="E36" s="774" t="s">
        <v>643</v>
      </c>
      <c r="F36" s="806">
        <f ca="1">INDIRECT("'数据-取费表'!Ak"&amp;$G$1)</f>
        <v>0</v>
      </c>
      <c r="G36" s="1946"/>
      <c r="H36" s="1961"/>
      <c r="I36" s="828" t="s">
        <v>1806</v>
      </c>
      <c r="J36" s="829">
        <f ca="1">INDIRECT("'数据-取费表'!j"&amp;$G$1)</f>
        <v>0</v>
      </c>
      <c r="K36" s="1965"/>
      <c r="L36" s="1961"/>
      <c r="M36" s="1961"/>
    </row>
    <row r="37" spans="1:18" ht="18" customHeight="1">
      <c r="A37" s="1578" t="s">
        <v>1881</v>
      </c>
      <c r="B37" s="774" t="s">
        <v>673</v>
      </c>
      <c r="C37" s="53">
        <f ca="1">ROUND(C13*F37,1)</f>
        <v>0</v>
      </c>
      <c r="D37" s="3276" t="s">
        <v>674</v>
      </c>
      <c r="E37" s="774" t="s">
        <v>643</v>
      </c>
      <c r="F37" s="807">
        <f ca="1">INDIRECT("'数据-取费表'!Al"&amp;$G$1)</f>
        <v>0</v>
      </c>
      <c r="G37" s="1946"/>
      <c r="H37" s="1961"/>
      <c r="I37" s="830" t="s">
        <v>1807</v>
      </c>
      <c r="J37" s="831"/>
      <c r="K37" s="1965"/>
      <c r="L37" s="1961"/>
      <c r="M37" s="1961"/>
    </row>
    <row r="38" spans="1:18" ht="18" customHeight="1" thickBot="1">
      <c r="A38" s="2405" t="s">
        <v>1882</v>
      </c>
      <c r="B38" s="2400" t="s">
        <v>660</v>
      </c>
      <c r="C38" s="2398">
        <f ca="1">ROUND(C5*F38,1)</f>
        <v>0</v>
      </c>
      <c r="D38" s="2399" t="s">
        <v>677</v>
      </c>
      <c r="E38" s="2400" t="s">
        <v>643</v>
      </c>
      <c r="F38" s="2396">
        <f ca="1">INDIRECT("'数据-取费表'!Am"&amp;$G$1)</f>
        <v>0</v>
      </c>
      <c r="G38" s="1946"/>
      <c r="H38" s="1961"/>
      <c r="I38" s="832" t="s">
        <v>1808</v>
      </c>
      <c r="J38" s="833"/>
      <c r="K38" s="1966"/>
      <c r="L38" s="1961"/>
      <c r="M38" s="1961"/>
    </row>
    <row r="39" spans="1:18" ht="24.6" customHeight="1" thickTop="1">
      <c r="A39" s="1745" t="s">
        <v>1767</v>
      </c>
      <c r="B39" s="2724" t="s">
        <v>2801</v>
      </c>
      <c r="C39" s="782">
        <f ca="1">C5-C30</f>
        <v>0</v>
      </c>
      <c r="D39" s="2402" t="s">
        <v>694</v>
      </c>
      <c r="E39" s="2403"/>
      <c r="F39" s="2404"/>
      <c r="G39" s="1946"/>
      <c r="H39" s="1961"/>
      <c r="I39" s="826" t="s">
        <v>1809</v>
      </c>
      <c r="J39" s="834" t="e">
        <f ca="1">ROUND(J35/C39,3)</f>
        <v>#DIV/0!</v>
      </c>
      <c r="K39" s="1966"/>
      <c r="L39" s="1961"/>
      <c r="M39" s="1961"/>
    </row>
    <row r="40" spans="1:18" ht="18" customHeight="1">
      <c r="A40" s="771" t="s">
        <v>1771</v>
      </c>
      <c r="B40" s="2113" t="s">
        <v>2288</v>
      </c>
      <c r="C40" s="773" t="e">
        <f ca="1">ROUND(C39*(1-((1+F42)/(1+F40))^F41)/(F40-F42),0)</f>
        <v>#DIV/0!</v>
      </c>
      <c r="D40" s="803" t="s">
        <v>698</v>
      </c>
      <c r="E40" s="774" t="s">
        <v>2403</v>
      </c>
      <c r="F40" s="784">
        <f ca="1">INDIRECT("'数据-取费表'!I"&amp;$G$1)</f>
        <v>0</v>
      </c>
      <c r="G40" s="1946"/>
      <c r="H40" s="1946"/>
      <c r="I40" s="826" t="s">
        <v>1810</v>
      </c>
      <c r="J40" s="834" t="e">
        <f ca="1">1-J39</f>
        <v>#DIV/0!</v>
      </c>
      <c r="K40" s="1966"/>
      <c r="L40" s="1946"/>
      <c r="M40" s="1946"/>
    </row>
    <row r="41" spans="1:18" ht="18" customHeight="1">
      <c r="A41" s="776"/>
      <c r="B41" s="777"/>
      <c r="C41" s="778"/>
      <c r="D41" s="810" t="s">
        <v>1799</v>
      </c>
      <c r="E41" s="774" t="s">
        <v>702</v>
      </c>
      <c r="F41" s="811">
        <f ca="1">IF(INDIRECT("'数据-取费表'!af"&amp;$G$1)=0,INDIRECT("'数据-取费表'!ae"&amp;$G$1),INDIRECT("'数据-取费表'!af"&amp;$G$1))</f>
        <v>0</v>
      </c>
      <c r="G41" s="1946"/>
      <c r="H41" s="1901"/>
      <c r="I41" s="832" t="s">
        <v>1811</v>
      </c>
      <c r="J41" s="835"/>
      <c r="K41" s="1965"/>
      <c r="L41" s="1901"/>
      <c r="M41" s="1901"/>
    </row>
    <row r="42" spans="1:18" ht="18" customHeight="1">
      <c r="A42" s="780"/>
      <c r="B42" s="781"/>
      <c r="C42" s="782"/>
      <c r="D42" s="805"/>
      <c r="E42" s="774" t="s">
        <v>704</v>
      </c>
      <c r="F42" s="784">
        <f ca="1">INDIRECT("'数据-取费表'!v"&amp;$G$1)</f>
        <v>0</v>
      </c>
      <c r="G42" s="1946"/>
      <c r="H42" s="1901"/>
      <c r="I42" s="836" t="s">
        <v>1812</v>
      </c>
      <c r="J42" s="834" t="e">
        <f ca="1">ROUND(C13/C40,3)</f>
        <v>#DIV/0!</v>
      </c>
      <c r="K42" s="1965"/>
      <c r="L42" s="1901"/>
      <c r="M42" s="1901"/>
    </row>
    <row r="43" spans="1:18" ht="18" customHeight="1" thickBot="1">
      <c r="A43" s="812" t="s">
        <v>1778</v>
      </c>
      <c r="B43" s="813" t="s">
        <v>1801</v>
      </c>
      <c r="C43" s="814" t="e">
        <f ca="1">ROUND(C40*10000/F43,0)</f>
        <v>#DIV/0!</v>
      </c>
      <c r="D43" s="815" t="s">
        <v>1802</v>
      </c>
      <c r="E43" s="816" t="s">
        <v>1803</v>
      </c>
      <c r="F43" s="817">
        <f ca="1">INDIRECT("'数据-取费表'!k"&amp;$G$1)</f>
        <v>0</v>
      </c>
      <c r="G43" s="1946"/>
      <c r="H43" s="1901"/>
      <c r="I43" s="836" t="s">
        <v>1813</v>
      </c>
      <c r="J43" s="837" t="e">
        <f ca="1">1-J42</f>
        <v>#DIV/0!</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2282</v>
      </c>
      <c r="B46" s="1968"/>
      <c r="C46" s="2427" t="e">
        <f ca="1">C67-C40</f>
        <v>#DIV/0!</v>
      </c>
      <c r="D46" s="3262"/>
      <c r="E46" s="3262"/>
      <c r="F46" s="3262"/>
      <c r="I46" s="2234" t="s">
        <v>2327</v>
      </c>
      <c r="J46" s="2235"/>
      <c r="K46" s="2236"/>
      <c r="L46" s="2812">
        <f>IF(OR(M47="住宅",D1="土地（套用方法）"),0,IF(L48&gt;J51,L60,J60))</f>
        <v>0</v>
      </c>
      <c r="M46" s="3263"/>
      <c r="O46" s="2250" t="s">
        <v>2394</v>
      </c>
      <c r="P46" s="1527"/>
      <c r="Q46" s="1535"/>
      <c r="R46" s="1527"/>
    </row>
    <row r="47" spans="1:18" s="1943" customFormat="1" ht="18" customHeight="1" thickBot="1">
      <c r="A47" s="2228">
        <v>1</v>
      </c>
      <c r="B47" s="2229" t="s">
        <v>629</v>
      </c>
      <c r="C47" s="2427">
        <f ca="1">C48+C52+C54</f>
        <v>0</v>
      </c>
      <c r="D47" s="3262"/>
      <c r="E47" s="3262"/>
      <c r="F47" s="3262"/>
      <c r="I47" s="2803" t="s">
        <v>2328</v>
      </c>
      <c r="J47" s="2237" t="s">
        <v>3055</v>
      </c>
      <c r="K47" s="2809" t="s">
        <v>2333</v>
      </c>
      <c r="L47" s="2813">
        <f ca="1">INDIRECT("'数据-取费表'!d"&amp;$G$1)</f>
        <v>0</v>
      </c>
      <c r="M47" s="1535" t="str">
        <f>IF(ISNUMBER(FIND("住宅",C1)),"住宅","非住宅")</f>
        <v>非住宅</v>
      </c>
      <c r="O47" s="2251" t="s">
        <v>2359</v>
      </c>
      <c r="P47" s="2252" t="s">
        <v>2360</v>
      </c>
      <c r="Q47" s="2253" t="s">
        <v>2361</v>
      </c>
      <c r="R47" s="2252" t="s">
        <v>2362</v>
      </c>
    </row>
    <row r="48" spans="1:18" s="1943" customFormat="1" ht="18" customHeight="1" thickBot="1">
      <c r="A48" s="2485" t="s">
        <v>1861</v>
      </c>
      <c r="B48" s="2486" t="s">
        <v>2519</v>
      </c>
      <c r="C48" s="2230">
        <f ca="1">ROUND(F48*F50*F49*(1-F51)/10000,0)</f>
        <v>0</v>
      </c>
      <c r="D48" s="2231" t="s">
        <v>630</v>
      </c>
      <c r="E48" s="2232" t="s">
        <v>2283</v>
      </c>
      <c r="F48" s="2233"/>
      <c r="G48" s="1973"/>
      <c r="I48" s="2800" t="s">
        <v>2329</v>
      </c>
      <c r="J48" s="2238" t="s">
        <v>2334</v>
      </c>
      <c r="K48" s="2810" t="s">
        <v>2335</v>
      </c>
      <c r="L48" s="1823">
        <f ca="1">INDIRECT("'数据-取费表'!f"&amp;$G$1)</f>
        <v>0</v>
      </c>
      <c r="M48" s="3263"/>
      <c r="O48" s="2254" t="s">
        <v>2363</v>
      </c>
      <c r="P48" s="2255" t="s">
        <v>2389</v>
      </c>
      <c r="Q48" s="2256" t="e">
        <f ca="1">C40+J29</f>
        <v>#DIV/0!</v>
      </c>
      <c r="R48" s="2255" t="s">
        <v>2364</v>
      </c>
    </row>
    <row r="49" spans="1:18" s="1943" customFormat="1" ht="18" customHeight="1" thickBot="1">
      <c r="A49" s="776"/>
      <c r="B49" s="777"/>
      <c r="C49" s="778"/>
      <c r="D49" s="779"/>
      <c r="E49" s="774" t="s">
        <v>632</v>
      </c>
      <c r="F49" s="775">
        <f ca="1">F7</f>
        <v>0</v>
      </c>
      <c r="G49" s="1973"/>
      <c r="H49" s="1976"/>
      <c r="I49" s="2800" t="s">
        <v>2330</v>
      </c>
      <c r="J49" s="2239">
        <v>2022</v>
      </c>
      <c r="K49" s="2811" t="s">
        <v>2336</v>
      </c>
      <c r="L49" s="2240"/>
      <c r="M49" s="3263"/>
      <c r="O49" s="2254" t="s">
        <v>2365</v>
      </c>
      <c r="P49" s="2255" t="s">
        <v>2390</v>
      </c>
      <c r="Q49" s="2256" t="str">
        <f ca="1">J60</f>
        <v>0</v>
      </c>
      <c r="R49" s="2255" t="s">
        <v>2366</v>
      </c>
    </row>
    <row r="50" spans="1:18" s="1943" customFormat="1" ht="18" customHeight="1" thickBot="1">
      <c r="A50" s="776"/>
      <c r="B50" s="777"/>
      <c r="C50" s="778"/>
      <c r="D50" s="779"/>
      <c r="E50" s="774" t="s">
        <v>633</v>
      </c>
      <c r="F50" s="775">
        <f ca="1">F8</f>
        <v>0</v>
      </c>
      <c r="G50" s="1978"/>
      <c r="H50" s="1976"/>
      <c r="I50" s="2800" t="s">
        <v>2331</v>
      </c>
      <c r="J50" s="2807">
        <f>SUMPRODUCT((I63:I65=J47)*(J62:L62=J48)*(J63:L65))</f>
        <v>60</v>
      </c>
      <c r="K50" s="2811" t="s">
        <v>2337</v>
      </c>
      <c r="L50" s="2240"/>
      <c r="M50" s="3263"/>
      <c r="O50" s="2257" t="s">
        <v>2367</v>
      </c>
      <c r="P50" s="2255" t="s">
        <v>2391</v>
      </c>
      <c r="Q50" s="2256">
        <f ca="1">C29</f>
        <v>0</v>
      </c>
      <c r="R50" s="2255" t="s">
        <v>2364</v>
      </c>
    </row>
    <row r="51" spans="1:18" s="1943" customFormat="1" ht="18" customHeight="1" thickBot="1">
      <c r="A51" s="776"/>
      <c r="B51" s="777"/>
      <c r="C51" s="778"/>
      <c r="D51" s="779"/>
      <c r="E51" s="774" t="s">
        <v>634</v>
      </c>
      <c r="F51" s="2227"/>
      <c r="H51" s="1976"/>
      <c r="I51" s="2804" t="s">
        <v>2332</v>
      </c>
      <c r="J51" s="2808">
        <f>IF(J49="",J50,J49+J50-YEAR('数据-取费表'!B2))</f>
        <v>62</v>
      </c>
      <c r="K51" s="2800" t="s">
        <v>2338</v>
      </c>
      <c r="L51" s="2814">
        <f ca="1">ROUND(-PV(INDIRECT("'数据-取费表'!h"&amp;$G$1),J51,(C39-C13*J36),0),0)</f>
        <v>0</v>
      </c>
      <c r="M51" s="3263"/>
      <c r="O51" s="2257" t="s">
        <v>2368</v>
      </c>
      <c r="P51" s="2255" t="s">
        <v>2369</v>
      </c>
      <c r="Q51" s="2258" t="e">
        <f ca="1">J58</f>
        <v>#VALUE!</v>
      </c>
      <c r="R51" s="2259"/>
    </row>
    <row r="52" spans="1:18" s="1943" customFormat="1" ht="18" customHeight="1" thickBot="1">
      <c r="A52" s="771" t="s">
        <v>2517</v>
      </c>
      <c r="B52" s="2348" t="s">
        <v>2440</v>
      </c>
      <c r="C52" s="789">
        <f ca="1">ROUND(IF(F52="押一",C48/12*F11,IF(F52="押二",C48/12*2*F11,IF(F52="押三",C48/12*3*F11,C53*F11))),0)</f>
        <v>0</v>
      </c>
      <c r="D52" s="2355" t="s">
        <v>2925</v>
      </c>
      <c r="E52" s="2352" t="s">
        <v>2445</v>
      </c>
      <c r="F52" s="2466"/>
      <c r="I52" s="2805" t="s">
        <v>2405</v>
      </c>
      <c r="J52" s="2241">
        <v>0.09</v>
      </c>
      <c r="K52" s="2805" t="s">
        <v>2404</v>
      </c>
      <c r="L52" s="2241"/>
      <c r="M52" s="3263"/>
      <c r="O52" s="2257" t="s">
        <v>2370</v>
      </c>
      <c r="P52" s="2255" t="s">
        <v>2371</v>
      </c>
      <c r="Q52" s="2258">
        <f>J52</f>
        <v>0.09</v>
      </c>
      <c r="R52" s="2259"/>
    </row>
    <row r="53" spans="1:18" s="1943" customFormat="1" ht="39.75" customHeight="1" thickBot="1">
      <c r="A53" s="776"/>
      <c r="B53" s="2349" t="s">
        <v>2554</v>
      </c>
      <c r="C53" s="2353"/>
      <c r="D53" s="2355"/>
      <c r="E53" s="2352"/>
      <c r="F53" s="790"/>
      <c r="I53" s="2806" t="s">
        <v>2929</v>
      </c>
      <c r="J53" s="2859">
        <f ca="1">IF(M47="住宅",IF(D1="——",MAX(J51,L48),MAX(J51,L48-'数据-取费表'!B20)),IF(D1="——",MIN(J51,L48),MIN(J51,L48-'数据-取费表'!B20)))</f>
        <v>-2</v>
      </c>
      <c r="K53" s="3572" t="s">
        <v>2918</v>
      </c>
      <c r="L53" s="3573"/>
      <c r="M53" s="3263"/>
      <c r="O53" s="2257" t="s">
        <v>2372</v>
      </c>
      <c r="P53" s="2255" t="s">
        <v>2373</v>
      </c>
      <c r="Q53" s="2256">
        <f ca="1">J53</f>
        <v>-2</v>
      </c>
      <c r="R53" s="2255" t="s">
        <v>2374</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3"/>
      <c r="O54" s="2254" t="s">
        <v>2375</v>
      </c>
      <c r="P54" s="2255" t="s">
        <v>2392</v>
      </c>
      <c r="Q54" s="2256" t="e">
        <f ca="1">Q48+Q49</f>
        <v>#DIV/0!</v>
      </c>
      <c r="R54" s="2259" t="s">
        <v>2376</v>
      </c>
    </row>
    <row r="55" spans="1:18" s="1943" customFormat="1" ht="18" customHeight="1" thickTop="1" thickBot="1">
      <c r="A55" s="787">
        <v>2</v>
      </c>
      <c r="B55" s="788" t="s">
        <v>638</v>
      </c>
      <c r="C55" s="789">
        <f ca="1">C13</f>
        <v>0</v>
      </c>
      <c r="D55" s="785"/>
      <c r="E55" s="785"/>
      <c r="F55" s="790"/>
      <c r="I55" s="2817" t="s">
        <v>2339</v>
      </c>
      <c r="J55" s="2789" t="e">
        <f ca="1">ROUND(IF(J47="钢混",J57/J50,1-(1-2%)*(J50-J57)/J50),3)</f>
        <v>#VALUE!</v>
      </c>
      <c r="K55" s="2818" t="s">
        <v>2340</v>
      </c>
      <c r="L55" s="2242"/>
      <c r="M55" s="3263"/>
      <c r="O55" s="2260" t="s">
        <v>2395</v>
      </c>
      <c r="P55" s="1527"/>
      <c r="Q55" s="1535"/>
      <c r="R55" s="1527"/>
    </row>
    <row r="56" spans="1:18" s="1943" customFormat="1" ht="42.75" customHeight="1" thickBot="1">
      <c r="A56" s="1579"/>
      <c r="B56" s="2112" t="s">
        <v>2287</v>
      </c>
      <c r="C56" s="53">
        <f ca="1">C29</f>
        <v>0</v>
      </c>
      <c r="D56" s="3276"/>
      <c r="E56" s="774"/>
      <c r="F56" s="799"/>
      <c r="I56" s="2819" t="s">
        <v>2341</v>
      </c>
      <c r="J56" s="2829" t="s">
        <v>1669</v>
      </c>
      <c r="K56" s="2800" t="s">
        <v>2346</v>
      </c>
      <c r="L56" s="1823" t="str">
        <f ca="1">IF(L48&lt;J51,"——",L48-J51)</f>
        <v>——</v>
      </c>
      <c r="M56" s="3263"/>
      <c r="O56" s="2251" t="s">
        <v>2359</v>
      </c>
      <c r="P56" s="2252" t="s">
        <v>2360</v>
      </c>
      <c r="Q56" s="2253" t="s">
        <v>2361</v>
      </c>
      <c r="R56" s="2252" t="s">
        <v>2362</v>
      </c>
    </row>
    <row r="57" spans="1:18" s="1943" customFormat="1" ht="28.5" customHeight="1" thickBot="1">
      <c r="A57" s="787" t="s">
        <v>7</v>
      </c>
      <c r="B57" s="788" t="s">
        <v>645</v>
      </c>
      <c r="C57" s="789">
        <f ca="1">ROUND(C58+C63+C64+C65,0)</f>
        <v>0</v>
      </c>
      <c r="D57" s="26" t="s">
        <v>646</v>
      </c>
      <c r="E57" s="3281"/>
      <c r="F57" s="56"/>
      <c r="I57" s="2820" t="s">
        <v>2342</v>
      </c>
      <c r="J57" s="2821" t="str">
        <f ca="1">IF(OR(M47="住宅",J51&lt;L48,J56="是"),"——",J51-L48)</f>
        <v>——</v>
      </c>
      <c r="K57" s="2800" t="s">
        <v>2347</v>
      </c>
      <c r="L57" s="1823" t="str">
        <f ca="1">IF(L48&lt;J51,"——",IF(L55="比较法",L49,IF(L55="基准地价",L50,L51)))</f>
        <v>——</v>
      </c>
      <c r="M57" s="3263"/>
      <c r="O57" s="2254" t="s">
        <v>2363</v>
      </c>
      <c r="P57" s="2255" t="s">
        <v>2389</v>
      </c>
      <c r="Q57" s="2256" t="e">
        <f ca="1">C40+J29</f>
        <v>#DIV/0!</v>
      </c>
      <c r="R57" s="2255" t="s">
        <v>2364</v>
      </c>
    </row>
    <row r="58" spans="1:18" s="1943" customFormat="1" ht="28.5" customHeight="1" thickBot="1">
      <c r="A58" s="1578" t="s">
        <v>1815</v>
      </c>
      <c r="B58" s="774" t="s">
        <v>650</v>
      </c>
      <c r="C58" s="3020">
        <f ca="1">ROUND(IF(AND(项目基本情况!B11="自然人",项目基本情况!B10="北京市"),C48*F58/(1+'数据-取费表'!F30),C59+C60+C61),0)</f>
        <v>0</v>
      </c>
      <c r="D58" s="3277" t="s">
        <v>651</v>
      </c>
      <c r="E58" s="3276" t="s">
        <v>684</v>
      </c>
      <c r="F58" s="3019" t="str">
        <f>IF(项目基本情况!B11="企业","——",IF('数据-取费表'!B10="住宅",IF(F48*F49*F50/12/(1+'数据-取费表'!F30)&gt;100000,4%,2.5%),IF(F48*F49*F50/12/(1+'数据-取费表'!F30)&gt;100000,12%,7%)))</f>
        <v>——</v>
      </c>
      <c r="I58" s="2820" t="s">
        <v>2343</v>
      </c>
      <c r="J58" s="2790" t="e">
        <f ca="1">IF(J55&lt;0.4,0.4,J55)</f>
        <v>#VALUE!</v>
      </c>
      <c r="K58" s="2800" t="s">
        <v>2348</v>
      </c>
      <c r="L58" s="1823" t="e">
        <f ca="1">ROUND(POWER(1+L52,L47-L48)*(POWER(1+L52,L48)-1)/(POWER(1+L52,L47)-1),4)</f>
        <v>#DIV/0!</v>
      </c>
      <c r="M58" s="3263"/>
      <c r="O58" s="2254" t="s">
        <v>2365</v>
      </c>
      <c r="P58" s="2255" t="s">
        <v>2396</v>
      </c>
      <c r="Q58" s="2256">
        <f ca="1">L60</f>
        <v>0</v>
      </c>
      <c r="R58" s="2259" t="s">
        <v>2398</v>
      </c>
    </row>
    <row r="59" spans="1:18" s="1943" customFormat="1" ht="28.5" customHeight="1" thickBot="1">
      <c r="A59" s="1577" t="s">
        <v>1822</v>
      </c>
      <c r="B59" s="774" t="s">
        <v>654</v>
      </c>
      <c r="C59" s="53">
        <f ca="1">ROUND(C47*F59/1.05,1)</f>
        <v>0</v>
      </c>
      <c r="D59" s="3276" t="s">
        <v>655</v>
      </c>
      <c r="E59" s="774" t="s">
        <v>643</v>
      </c>
      <c r="F59" s="799">
        <f t="shared" ref="F59:F65" si="0">F32</f>
        <v>5.5000000000000007E-2</v>
      </c>
      <c r="I59" s="2820" t="s">
        <v>2344</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3"/>
      <c r="O59" s="2257" t="s">
        <v>2367</v>
      </c>
      <c r="P59" s="2255" t="s">
        <v>2397</v>
      </c>
      <c r="Q59" s="2256">
        <f>IF(L55="比较法",L49,IF(L55="基准地价",L50,0))</f>
        <v>0</v>
      </c>
      <c r="R59" s="2255" t="s">
        <v>2364</v>
      </c>
    </row>
    <row r="60" spans="1:18" s="1943" customFormat="1" ht="18" customHeight="1" thickBot="1">
      <c r="A60" s="1577" t="s">
        <v>1823</v>
      </c>
      <c r="B60" s="774" t="s">
        <v>658</v>
      </c>
      <c r="C60" s="53">
        <f ca="1">IF(D60="按租金收入计税",ROUND(C47*F60,1),IF(D60="按房产原值计税",ROUND(C56*F60*0.7,1),INDIRECT("'数据-取费表'!Aj"&amp;$G$1)))</f>
        <v>0</v>
      </c>
      <c r="D60" s="3276" t="str">
        <f>D33</f>
        <v>按租金收入计税</v>
      </c>
      <c r="E60" s="774" t="s">
        <v>643</v>
      </c>
      <c r="F60" s="799">
        <f t="shared" si="0"/>
        <v>0.12</v>
      </c>
      <c r="I60" s="2822" t="s">
        <v>2345</v>
      </c>
      <c r="J60" s="2823" t="str">
        <f ca="1">IF(OR(M47="住宅",J51&lt;L48,J56="是"),"0",ROUND(J59/(1+J52)^J53,0))</f>
        <v>0</v>
      </c>
      <c r="K60" s="2824" t="s">
        <v>2350</v>
      </c>
      <c r="L60" s="2823">
        <f ca="1">IF(OR(M47="住宅",L48&lt;J51),0,ROUND(L57*(L58/L59-1),0))</f>
        <v>0</v>
      </c>
      <c r="M60" s="3263"/>
      <c r="O60" s="2257" t="s">
        <v>2368</v>
      </c>
      <c r="P60" s="2255" t="s">
        <v>2377</v>
      </c>
      <c r="Q60" s="2258">
        <f>L52</f>
        <v>0</v>
      </c>
      <c r="R60" s="2259"/>
    </row>
    <row r="61" spans="1:18" s="1943" customFormat="1" ht="18" customHeight="1" thickBot="1">
      <c r="A61" s="1580" t="s">
        <v>1824</v>
      </c>
      <c r="B61" s="339" t="s">
        <v>662</v>
      </c>
      <c r="C61" s="54">
        <f ca="1">ROUND(F61*F62/10000,1)</f>
        <v>0</v>
      </c>
      <c r="D61" s="803" t="s">
        <v>663</v>
      </c>
      <c r="E61" s="774" t="s">
        <v>664</v>
      </c>
      <c r="F61" s="632">
        <f t="shared" si="0"/>
        <v>4</v>
      </c>
      <c r="K61" s="1969"/>
      <c r="O61" s="2257" t="s">
        <v>2370</v>
      </c>
      <c r="P61" s="2255" t="s">
        <v>2378</v>
      </c>
      <c r="Q61" s="2256" t="e">
        <f ca="1">L58</f>
        <v>#DIV/0!</v>
      </c>
      <c r="R61" s="2259" t="s">
        <v>2379</v>
      </c>
    </row>
    <row r="62" spans="1:18" s="1943" customFormat="1" ht="15.75" thickBot="1">
      <c r="A62" s="804"/>
      <c r="B62" s="783"/>
      <c r="C62" s="69"/>
      <c r="D62" s="805"/>
      <c r="E62" s="774" t="s">
        <v>668</v>
      </c>
      <c r="F62" s="775">
        <f t="shared" ca="1" si="0"/>
        <v>0</v>
      </c>
      <c r="I62" s="2825" t="s">
        <v>2351</v>
      </c>
      <c r="J62" s="2826" t="s">
        <v>2352</v>
      </c>
      <c r="K62" s="2826" t="s">
        <v>2353</v>
      </c>
      <c r="L62" s="2826" t="s">
        <v>2334</v>
      </c>
      <c r="M62" s="2827" t="s">
        <v>2897</v>
      </c>
      <c r="O62" s="2257" t="s">
        <v>2372</v>
      </c>
      <c r="P62" s="2255" t="str">
        <f>K59</f>
        <v>建设期及建筑物耐用年限下的土地年期修正系数Kn</v>
      </c>
      <c r="Q62" s="2256" t="e">
        <f ca="1">L59</f>
        <v>#DIV/0!</v>
      </c>
      <c r="R62" s="2259" t="s">
        <v>2381</v>
      </c>
    </row>
    <row r="63" spans="1:18" s="1943" customFormat="1" ht="15.75" thickBot="1">
      <c r="A63" s="1578" t="s">
        <v>1880</v>
      </c>
      <c r="B63" s="774" t="s">
        <v>670</v>
      </c>
      <c r="C63" s="53">
        <f ca="1">ROUND(C56*F63,1)</f>
        <v>0</v>
      </c>
      <c r="D63" s="3276" t="s">
        <v>685</v>
      </c>
      <c r="E63" s="774" t="s">
        <v>643</v>
      </c>
      <c r="F63" s="806">
        <f t="shared" ca="1" si="0"/>
        <v>0</v>
      </c>
      <c r="I63" s="2825" t="s">
        <v>2354</v>
      </c>
      <c r="J63" s="2826">
        <v>70</v>
      </c>
      <c r="K63" s="2826">
        <v>50</v>
      </c>
      <c r="L63" s="2826">
        <v>80</v>
      </c>
      <c r="M63" s="2828">
        <v>0.02</v>
      </c>
      <c r="O63" s="2254" t="s">
        <v>2375</v>
      </c>
      <c r="P63" s="2255" t="s">
        <v>2392</v>
      </c>
      <c r="Q63" s="2256" t="e">
        <f ca="1">Q57+Q58</f>
        <v>#DIV/0!</v>
      </c>
      <c r="R63" s="2259" t="s">
        <v>2376</v>
      </c>
    </row>
    <row r="64" spans="1:18" s="1943" customFormat="1" ht="16.5" thickBot="1">
      <c r="A64" s="1578" t="s">
        <v>1881</v>
      </c>
      <c r="B64" s="774" t="s">
        <v>673</v>
      </c>
      <c r="C64" s="53">
        <f ca="1">ROUND(C55*F64,1)</f>
        <v>0</v>
      </c>
      <c r="D64" s="3276" t="s">
        <v>674</v>
      </c>
      <c r="E64" s="774" t="s">
        <v>643</v>
      </c>
      <c r="F64" s="807">
        <f t="shared" ca="1" si="0"/>
        <v>0</v>
      </c>
      <c r="I64" s="2825" t="s">
        <v>2355</v>
      </c>
      <c r="J64" s="2826">
        <v>50</v>
      </c>
      <c r="K64" s="2826">
        <v>35</v>
      </c>
      <c r="L64" s="2826">
        <v>60</v>
      </c>
      <c r="M64" s="835">
        <v>0</v>
      </c>
      <c r="O64" s="2260" t="s">
        <v>2399</v>
      </c>
      <c r="P64" s="1527"/>
      <c r="Q64" s="1535"/>
      <c r="R64" s="1527"/>
    </row>
    <row r="65" spans="1:18" s="1943" customFormat="1" ht="15.75" thickBot="1">
      <c r="A65" s="1578" t="s">
        <v>1882</v>
      </c>
      <c r="B65" s="774" t="s">
        <v>660</v>
      </c>
      <c r="C65" s="53">
        <f ca="1">ROUND(C47*F65,1)</f>
        <v>0</v>
      </c>
      <c r="D65" s="3276" t="s">
        <v>677</v>
      </c>
      <c r="E65" s="774" t="s">
        <v>643</v>
      </c>
      <c r="F65" s="784">
        <f t="shared" ca="1" si="0"/>
        <v>0</v>
      </c>
      <c r="I65" s="2825" t="s">
        <v>2356</v>
      </c>
      <c r="J65" s="2826">
        <v>40</v>
      </c>
      <c r="K65" s="2826">
        <v>30</v>
      </c>
      <c r="L65" s="2826">
        <v>50</v>
      </c>
      <c r="M65" s="2828">
        <v>0.02</v>
      </c>
      <c r="O65" s="2251" t="s">
        <v>2359</v>
      </c>
      <c r="P65" s="2252" t="s">
        <v>2360</v>
      </c>
      <c r="Q65" s="2253" t="s">
        <v>2361</v>
      </c>
      <c r="R65" s="2252" t="s">
        <v>2362</v>
      </c>
    </row>
    <row r="66" spans="1:18" s="1943" customFormat="1" ht="24.75" thickBot="1">
      <c r="A66" s="787" t="s">
        <v>1767</v>
      </c>
      <c r="B66" s="2725" t="s">
        <v>2801</v>
      </c>
      <c r="C66" s="789">
        <f ca="1">C47-C57</f>
        <v>0</v>
      </c>
      <c r="D66" s="3277" t="s">
        <v>694</v>
      </c>
      <c r="E66" s="3280"/>
      <c r="F66" s="809"/>
      <c r="K66" s="1969"/>
      <c r="O66" s="2254" t="s">
        <v>2363</v>
      </c>
      <c r="P66" s="2255" t="s">
        <v>2389</v>
      </c>
      <c r="Q66" s="2256" t="e">
        <f ca="1">C40+J29</f>
        <v>#DIV/0!</v>
      </c>
      <c r="R66" s="2255" t="s">
        <v>2364</v>
      </c>
    </row>
    <row r="67" spans="1:18" s="1943" customFormat="1" ht="20.25" thickBot="1">
      <c r="A67" s="771" t="s">
        <v>1771</v>
      </c>
      <c r="B67" s="2113" t="s">
        <v>2288</v>
      </c>
      <c r="C67" s="773" t="e">
        <f ca="1">ROUND(C66*(1-((1+F69)/(1+F67))^F68)/(F67-F69),0)</f>
        <v>#DIV/0!</v>
      </c>
      <c r="D67" s="803" t="s">
        <v>698</v>
      </c>
      <c r="E67" s="774" t="s">
        <v>699</v>
      </c>
      <c r="F67" s="784">
        <f ca="1">F40</f>
        <v>0</v>
      </c>
      <c r="K67" s="1969"/>
      <c r="O67" s="2254" t="s">
        <v>2365</v>
      </c>
      <c r="P67" s="2255" t="s">
        <v>2396</v>
      </c>
      <c r="Q67" s="2256">
        <f ca="1">L60</f>
        <v>0</v>
      </c>
      <c r="R67" s="2259" t="s">
        <v>2398</v>
      </c>
    </row>
    <row r="68" spans="1:18" ht="21.75" thickBot="1">
      <c r="A68" s="776"/>
      <c r="B68" s="777"/>
      <c r="C68" s="778"/>
      <c r="D68" s="810" t="s">
        <v>1799</v>
      </c>
      <c r="E68" s="774" t="s">
        <v>702</v>
      </c>
      <c r="F68" s="811">
        <f ca="1">F41</f>
        <v>0</v>
      </c>
      <c r="O68" s="2257" t="s">
        <v>2367</v>
      </c>
      <c r="P68" s="2255" t="s">
        <v>2397</v>
      </c>
      <c r="Q68" s="2261">
        <f ca="1">L51</f>
        <v>0</v>
      </c>
      <c r="R68" s="2262" t="s">
        <v>2400</v>
      </c>
    </row>
    <row r="69" spans="1:18" ht="20.25" thickBot="1">
      <c r="A69" s="780"/>
      <c r="B69" s="781"/>
      <c r="C69" s="782"/>
      <c r="D69" s="805"/>
      <c r="E69" s="774" t="s">
        <v>704</v>
      </c>
      <c r="F69" s="2227"/>
      <c r="O69" s="2257" t="s">
        <v>2368</v>
      </c>
      <c r="P69" s="2263" t="s">
        <v>2382</v>
      </c>
      <c r="Q69" s="2256">
        <f ca="1">ROUND(Q70-Q71*Q72,0)</f>
        <v>0</v>
      </c>
      <c r="R69" s="2259"/>
    </row>
    <row r="70" spans="1:18" ht="15.75" thickBot="1">
      <c r="A70" s="812" t="s">
        <v>1778</v>
      </c>
      <c r="B70" s="813" t="s">
        <v>1801</v>
      </c>
      <c r="C70" s="814" t="e">
        <f ca="1">ROUND(C67*10000/F70,0)</f>
        <v>#DIV/0!</v>
      </c>
      <c r="D70" s="815" t="s">
        <v>1802</v>
      </c>
      <c r="E70" s="816" t="s">
        <v>1803</v>
      </c>
      <c r="F70" s="817">
        <f ca="1">F43</f>
        <v>0</v>
      </c>
      <c r="O70" s="2257" t="s">
        <v>2383</v>
      </c>
      <c r="P70" s="2263" t="s">
        <v>2384</v>
      </c>
      <c r="Q70" s="2256">
        <f ca="1">C39</f>
        <v>0</v>
      </c>
      <c r="R70" s="2255" t="s">
        <v>2364</v>
      </c>
    </row>
    <row r="71" spans="1:18" ht="15.75" thickBot="1">
      <c r="O71" s="2257" t="s">
        <v>2385</v>
      </c>
      <c r="P71" s="2263" t="s">
        <v>2386</v>
      </c>
      <c r="Q71" s="2256">
        <f ca="1">C13</f>
        <v>0</v>
      </c>
      <c r="R71" s="2255" t="s">
        <v>2364</v>
      </c>
    </row>
    <row r="72" spans="1:18" ht="15.75" thickBot="1">
      <c r="O72" s="2257" t="s">
        <v>2387</v>
      </c>
      <c r="P72" s="2263" t="s">
        <v>2388</v>
      </c>
      <c r="Q72" s="2258">
        <f ca="1">J36</f>
        <v>0</v>
      </c>
      <c r="R72" s="2259"/>
    </row>
    <row r="73" spans="1:18" ht="15.75" thickBot="1">
      <c r="O73" s="2257" t="s">
        <v>2370</v>
      </c>
      <c r="P73" s="2255" t="s">
        <v>2377</v>
      </c>
      <c r="Q73" s="2258">
        <f>L52</f>
        <v>0</v>
      </c>
      <c r="R73" s="2259"/>
    </row>
    <row r="74" spans="1:18" ht="20.25" thickBot="1">
      <c r="O74" s="2257" t="s">
        <v>2372</v>
      </c>
      <c r="P74" s="2255" t="s">
        <v>2378</v>
      </c>
      <c r="Q74" s="2256" t="e">
        <f ca="1">L58</f>
        <v>#DIV/0!</v>
      </c>
      <c r="R74" s="2259" t="s">
        <v>2379</v>
      </c>
    </row>
    <row r="75" spans="1:18" ht="15.75" thickBot="1">
      <c r="O75" s="2257" t="s">
        <v>2401</v>
      </c>
      <c r="P75" s="2255" t="str">
        <f>K59</f>
        <v>建设期及建筑物耐用年限下的土地年期修正系数Kn</v>
      </c>
      <c r="Q75" s="2256" t="e">
        <f ca="1">L59</f>
        <v>#DIV/0!</v>
      </c>
      <c r="R75" s="2259" t="s">
        <v>2381</v>
      </c>
    </row>
    <row r="76" spans="1:18" ht="15.75" thickBot="1">
      <c r="O76" s="2254" t="s">
        <v>2375</v>
      </c>
      <c r="P76" s="2255" t="s">
        <v>2392</v>
      </c>
      <c r="Q76" s="2256" t="e">
        <f ca="1">Q66+Q67</f>
        <v>#DIV/0!</v>
      </c>
      <c r="R76" s="2259"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97" priority="6">
      <formula>$L$48&gt;$J$51</formula>
    </cfRule>
  </conditionalFormatting>
  <conditionalFormatting sqref="I55">
    <cfRule type="expression" dxfId="96" priority="7">
      <formula>$J$51&gt;$L$48</formula>
    </cfRule>
  </conditionalFormatting>
  <conditionalFormatting sqref="I60">
    <cfRule type="expression" dxfId="95" priority="5">
      <formula>$J$51&gt;$L$48</formula>
    </cfRule>
  </conditionalFormatting>
  <conditionalFormatting sqref="K60">
    <cfRule type="expression" dxfId="94" priority="4">
      <formula>$L$48&gt;$J$51</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3">
    <cfRule type="expression" dxfId="91" priority="1">
      <formula>$F$52="自定义"</formula>
    </cfRule>
  </conditionalFormatting>
  <dataValidations count="8">
    <dataValidation type="list" allowBlank="1" showInputMessage="1" showErrorMessage="1" sqref="D1" xr:uid="{FEEF810D-6C7F-4D73-9A56-097278BF390D}">
      <formula1>"土地（套用方法）,——"</formula1>
    </dataValidation>
    <dataValidation type="list" allowBlank="1" showInputMessage="1" showErrorMessage="1" sqref="F10 M10 F52" xr:uid="{EC0E0DD2-AC08-41DD-9A2A-2CD010AAA989}">
      <formula1>"押一,押二,押三,自定义"</formula1>
    </dataValidation>
    <dataValidation type="list" allowBlank="1" showInputMessage="1" showErrorMessage="1" sqref="J48" xr:uid="{DF7FA366-7569-4956-90AA-706AF1D15B1A}">
      <formula1>"非生产用房,生产用房,受腐蚀的生产用房"</formula1>
    </dataValidation>
    <dataValidation type="list" allowBlank="1" showInputMessage="1" showErrorMessage="1" sqref="J47" xr:uid="{40F8862A-89EB-47F4-AA4D-422F6FFC42A3}">
      <formula1>"钢,钢混,砖混"</formula1>
    </dataValidation>
    <dataValidation type="list" allowBlank="1" showInputMessage="1" showErrorMessage="1" sqref="J56" xr:uid="{02A4795E-9665-4287-A995-22400C8B8ECF}">
      <formula1>判定</formula1>
    </dataValidation>
    <dataValidation type="list" allowBlank="1" showInputMessage="1" showErrorMessage="1" sqref="D33" xr:uid="{24BF08B2-BE3E-482C-BC39-E93763194BEE}">
      <formula1>"按租金收入计税,按房产原值计税,按票据"</formula1>
    </dataValidation>
    <dataValidation type="list" allowBlank="1" showInputMessage="1" showErrorMessage="1" sqref="K19" xr:uid="{0A84ACAE-BEED-49C2-B9CD-272B59997A3C}">
      <formula1>"按租金收入计税,按房产原值计税"</formula1>
    </dataValidation>
    <dataValidation type="list" allowBlank="1" showInputMessage="1" showErrorMessage="1" sqref="C1:C3" xr:uid="{5AED9F1D-24DC-4B15-97F8-11D852C1E284}">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view="pageBreakPreview" zoomScale="60" zoomScaleNormal="60" workbookViewId="0">
      <selection activeCell="M32" sqref="M3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79" t="s">
        <v>516</v>
      </c>
      <c r="D4" s="3480"/>
      <c r="E4" s="3513" t="s">
        <v>517</v>
      </c>
      <c r="F4" s="3514"/>
      <c r="G4" s="3479" t="s">
        <v>518</v>
      </c>
      <c r="H4" s="3480"/>
      <c r="I4" s="3479" t="s">
        <v>519</v>
      </c>
      <c r="J4" s="3480"/>
      <c r="K4" s="508" t="s">
        <v>520</v>
      </c>
      <c r="L4" s="2016"/>
      <c r="M4" s="2017"/>
      <c r="N4" s="2017"/>
      <c r="O4" s="2017"/>
      <c r="P4" s="3481" t="s">
        <v>521</v>
      </c>
      <c r="Q4" s="3482"/>
      <c r="R4" s="3487" t="s">
        <v>517</v>
      </c>
      <c r="S4" s="3488"/>
      <c r="T4" s="3487" t="s">
        <v>518</v>
      </c>
      <c r="U4" s="3488"/>
      <c r="V4" s="3474" t="s">
        <v>519</v>
      </c>
      <c r="W4" s="3474"/>
      <c r="X4" s="1502"/>
      <c r="Y4" s="3487" t="s">
        <v>521</v>
      </c>
      <c r="Z4" s="3488"/>
      <c r="AA4" s="3476" t="s">
        <v>517</v>
      </c>
      <c r="AB4" s="3474" t="s">
        <v>518</v>
      </c>
      <c r="AC4" s="3476" t="s">
        <v>519</v>
      </c>
    </row>
    <row r="5" spans="1:29" ht="15">
      <c r="A5" s="509"/>
      <c r="B5" s="510"/>
      <c r="C5" s="3495" t="s">
        <v>2884</v>
      </c>
      <c r="D5" s="3496"/>
      <c r="E5" s="3515" t="s">
        <v>2885</v>
      </c>
      <c r="F5" s="3516"/>
      <c r="G5" s="3495" t="s">
        <v>2886</v>
      </c>
      <c r="H5" s="3496"/>
      <c r="I5" s="3495" t="s">
        <v>2887</v>
      </c>
      <c r="J5" s="3496"/>
      <c r="K5" s="508"/>
      <c r="L5" s="2016"/>
      <c r="M5" s="2017"/>
      <c r="N5" s="2017"/>
      <c r="O5" s="2017"/>
      <c r="P5" s="3483"/>
      <c r="Q5" s="3484"/>
      <c r="R5" s="3489"/>
      <c r="S5" s="3490"/>
      <c r="T5" s="3489"/>
      <c r="U5" s="3490"/>
      <c r="V5" s="3474"/>
      <c r="W5" s="3474"/>
      <c r="X5" s="1502"/>
      <c r="Y5" s="3489"/>
      <c r="Z5" s="3490"/>
      <c r="AA5" s="3477"/>
      <c r="AB5" s="3474"/>
      <c r="AC5" s="3477"/>
    </row>
    <row r="6" spans="1:29" ht="15.75" thickBot="1">
      <c r="A6" s="511"/>
      <c r="B6" s="512"/>
      <c r="C6" s="3493" t="s">
        <v>2888</v>
      </c>
      <c r="D6" s="3494"/>
      <c r="E6" s="3511" t="s">
        <v>2888</v>
      </c>
      <c r="F6" s="3512"/>
      <c r="G6" s="3493" t="s">
        <v>2888</v>
      </c>
      <c r="H6" s="3494"/>
      <c r="I6" s="3493" t="s">
        <v>2888</v>
      </c>
      <c r="J6" s="3494"/>
      <c r="K6" s="508" t="s">
        <v>522</v>
      </c>
      <c r="L6" s="2016"/>
      <c r="M6" s="2017"/>
      <c r="N6" s="2017"/>
      <c r="O6" s="2017"/>
      <c r="P6" s="3485"/>
      <c r="Q6" s="3486"/>
      <c r="R6" s="3489"/>
      <c r="S6" s="3490"/>
      <c r="T6" s="3491"/>
      <c r="U6" s="3492"/>
      <c r="V6" s="3474"/>
      <c r="W6" s="3474"/>
      <c r="X6" s="1502"/>
      <c r="Y6" s="3491"/>
      <c r="Z6" s="3492"/>
      <c r="AA6" s="3478"/>
      <c r="AB6" s="3474"/>
      <c r="AC6" s="3478"/>
    </row>
    <row r="7" spans="1:29" s="1203" customFormat="1" ht="15.75" thickBot="1">
      <c r="A7" s="2630"/>
      <c r="B7" s="2637" t="s">
        <v>523</v>
      </c>
      <c r="C7" s="513">
        <f>'数据-取费表'!B2</f>
        <v>44070</v>
      </c>
      <c r="D7" s="514">
        <v>100</v>
      </c>
      <c r="E7" s="515"/>
      <c r="F7" s="516">
        <f>SUMIF(58:58,YEAR(E7)&amp;"-"&amp;MONTH(E7),59:59)</f>
        <v>0</v>
      </c>
      <c r="G7" s="515"/>
      <c r="H7" s="514">
        <f>SUMIF(58:58,YEAR(G7)&amp;"-"&amp;MONTH(G7),59:59)</f>
        <v>0</v>
      </c>
      <c r="I7" s="515"/>
      <c r="J7" s="514">
        <f>SUMIF(58:58,YEAR(I7)&amp;"-"&amp;MONTH(I7),59:59)</f>
        <v>0</v>
      </c>
      <c r="K7" s="518"/>
      <c r="L7" s="2018"/>
      <c r="M7" s="2019"/>
      <c r="N7" s="2019"/>
      <c r="O7" s="2019"/>
      <c r="P7" s="3504" t="s">
        <v>524</v>
      </c>
      <c r="Q7" s="3506"/>
      <c r="R7" s="1503" t="s">
        <v>8</v>
      </c>
      <c r="S7" s="1504">
        <f t="shared" ref="S7:S15" si="0">F7</f>
        <v>0</v>
      </c>
      <c r="T7" s="1503" t="s">
        <v>8</v>
      </c>
      <c r="U7" s="1504">
        <f t="shared" ref="U7:U15" si="1">H7</f>
        <v>0</v>
      </c>
      <c r="V7" s="1503" t="s">
        <v>8</v>
      </c>
      <c r="W7" s="1504">
        <f t="shared" ref="W7:W15" si="2">J7</f>
        <v>0</v>
      </c>
      <c r="X7" s="1505"/>
      <c r="Y7" s="3504" t="s">
        <v>524</v>
      </c>
      <c r="Z7" s="3505"/>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504" t="s">
        <v>527</v>
      </c>
      <c r="Q8" s="3505"/>
      <c r="R8" s="1503" t="s">
        <v>8</v>
      </c>
      <c r="S8" s="1504">
        <f t="shared" si="0"/>
        <v>0</v>
      </c>
      <c r="T8" s="1503" t="s">
        <v>8</v>
      </c>
      <c r="U8" s="1504">
        <f t="shared" si="1"/>
        <v>0</v>
      </c>
      <c r="V8" s="1503" t="s">
        <v>8</v>
      </c>
      <c r="W8" s="1504">
        <f t="shared" si="2"/>
        <v>0</v>
      </c>
      <c r="X8" s="1505"/>
      <c r="Y8" s="3504" t="s">
        <v>527</v>
      </c>
      <c r="Z8" s="3505"/>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73" t="s">
        <v>529</v>
      </c>
      <c r="Q9" s="1134" t="str">
        <f t="shared" ref="Q9:Q15" si="6">B9</f>
        <v>用途</v>
      </c>
      <c r="R9" s="1503" t="s">
        <v>8</v>
      </c>
      <c r="S9" s="1504">
        <f t="shared" si="0"/>
        <v>100</v>
      </c>
      <c r="T9" s="1503" t="s">
        <v>8</v>
      </c>
      <c r="U9" s="1504">
        <f t="shared" si="1"/>
        <v>100</v>
      </c>
      <c r="V9" s="1503" t="s">
        <v>8</v>
      </c>
      <c r="W9" s="1504">
        <f t="shared" si="2"/>
        <v>100</v>
      </c>
      <c r="X9" s="1505"/>
      <c r="Y9" s="341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73"/>
      <c r="Q10" s="1134" t="str">
        <f t="shared" si="6"/>
        <v>土地使用年限（年）</v>
      </c>
      <c r="R10" s="1503" t="s">
        <v>8</v>
      </c>
      <c r="S10" s="1504">
        <f t="shared" si="0"/>
        <v>100</v>
      </c>
      <c r="T10" s="1503" t="s">
        <v>8</v>
      </c>
      <c r="U10" s="1504">
        <f t="shared" si="1"/>
        <v>100</v>
      </c>
      <c r="V10" s="1503" t="s">
        <v>8</v>
      </c>
      <c r="W10" s="1504">
        <f t="shared" si="2"/>
        <v>100</v>
      </c>
      <c r="X10" s="1505"/>
      <c r="Y10" s="3419"/>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73"/>
      <c r="Q11" s="1134" t="str">
        <f t="shared" si="6"/>
        <v>容积率</v>
      </c>
      <c r="R11" s="1503" t="s">
        <v>8</v>
      </c>
      <c r="S11" s="1504" t="e">
        <f t="shared" si="0"/>
        <v>#N/A</v>
      </c>
      <c r="T11" s="1503" t="s">
        <v>8</v>
      </c>
      <c r="U11" s="1504" t="e">
        <f t="shared" si="1"/>
        <v>#N/A</v>
      </c>
      <c r="V11" s="1503" t="s">
        <v>8</v>
      </c>
      <c r="W11" s="1504" t="e">
        <f t="shared" si="2"/>
        <v>#N/A</v>
      </c>
      <c r="X11" s="1505"/>
      <c r="Y11" s="341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73"/>
      <c r="Q12" s="1134">
        <f t="shared" si="6"/>
        <v>111</v>
      </c>
      <c r="R12" s="1503" t="s">
        <v>8</v>
      </c>
      <c r="S12" s="1504">
        <f t="shared" si="0"/>
        <v>100</v>
      </c>
      <c r="T12" s="1503" t="s">
        <v>8</v>
      </c>
      <c r="U12" s="1504">
        <f t="shared" si="1"/>
        <v>100</v>
      </c>
      <c r="V12" s="1503" t="s">
        <v>8</v>
      </c>
      <c r="W12" s="1504">
        <f t="shared" si="2"/>
        <v>100</v>
      </c>
      <c r="X12" s="1505"/>
      <c r="Y12" s="3419"/>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73"/>
      <c r="Q13" s="1134">
        <f t="shared" si="6"/>
        <v>111</v>
      </c>
      <c r="R13" s="1503" t="s">
        <v>8</v>
      </c>
      <c r="S13" s="1504">
        <f t="shared" si="0"/>
        <v>100</v>
      </c>
      <c r="T13" s="1503" t="s">
        <v>8</v>
      </c>
      <c r="U13" s="1504">
        <f t="shared" si="1"/>
        <v>100</v>
      </c>
      <c r="V13" s="1503" t="s">
        <v>8</v>
      </c>
      <c r="W13" s="1504">
        <f t="shared" si="2"/>
        <v>100</v>
      </c>
      <c r="X13" s="1505"/>
      <c r="Y13" s="3419"/>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73"/>
      <c r="Q14" s="1134">
        <f t="shared" si="6"/>
        <v>111</v>
      </c>
      <c r="R14" s="1503" t="s">
        <v>8</v>
      </c>
      <c r="S14" s="1504">
        <f t="shared" si="0"/>
        <v>100</v>
      </c>
      <c r="T14" s="1503" t="s">
        <v>8</v>
      </c>
      <c r="U14" s="1504">
        <f t="shared" si="1"/>
        <v>100</v>
      </c>
      <c r="V14" s="1503" t="s">
        <v>8</v>
      </c>
      <c r="W14" s="1504">
        <f t="shared" si="2"/>
        <v>100</v>
      </c>
      <c r="X14" s="1505"/>
      <c r="Y14" s="3419"/>
      <c r="Z14" s="1133">
        <f t="shared" si="7"/>
        <v>111</v>
      </c>
      <c r="AA14" s="1506">
        <f t="shared" si="3"/>
        <v>1</v>
      </c>
      <c r="AB14" s="1506">
        <f t="shared" si="4"/>
        <v>1</v>
      </c>
      <c r="AC14" s="1506">
        <f t="shared" si="5"/>
        <v>1</v>
      </c>
    </row>
    <row r="15" spans="1:29" ht="15">
      <c r="A15" s="2628" t="s">
        <v>2734</v>
      </c>
      <c r="B15" s="164" t="s">
        <v>535</v>
      </c>
      <c r="C15" s="856" t="str">
        <f>估价对象房地状况!C4</f>
        <v>较好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507" t="s">
        <v>534</v>
      </c>
      <c r="Q15" s="1507" t="str">
        <f t="shared" si="6"/>
        <v>商业繁华度</v>
      </c>
      <c r="R15" s="1508" t="s">
        <v>8</v>
      </c>
      <c r="S15" s="1509">
        <f t="shared" si="0"/>
        <v>100</v>
      </c>
      <c r="T15" s="1508" t="s">
        <v>8</v>
      </c>
      <c r="U15" s="1509">
        <f t="shared" si="1"/>
        <v>100</v>
      </c>
      <c r="V15" s="1508" t="s">
        <v>8</v>
      </c>
      <c r="W15" s="1509">
        <f t="shared" si="2"/>
        <v>100</v>
      </c>
      <c r="X15" s="1502"/>
      <c r="Y15" s="3507"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08"/>
      <c r="Q16" s="1507"/>
      <c r="R16" s="1508"/>
      <c r="S16" s="1509"/>
      <c r="T16" s="1508"/>
      <c r="U16" s="1509"/>
      <c r="V16" s="1508"/>
      <c r="W16" s="1509"/>
      <c r="X16" s="1502"/>
      <c r="Y16" s="3508"/>
      <c r="Z16" s="1510"/>
      <c r="AA16" s="1511">
        <v>1</v>
      </c>
      <c r="AB16" s="1511">
        <v>1</v>
      </c>
      <c r="AC16" s="1511">
        <v>1</v>
      </c>
    </row>
    <row r="17" spans="1:29" ht="15">
      <c r="A17" s="526"/>
      <c r="B17" s="860" t="s">
        <v>296</v>
      </c>
      <c r="C17" s="861" t="str">
        <f>估价对象房地状况!C6</f>
        <v>一般</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08"/>
      <c r="Q17" s="1507" t="str">
        <f>B17</f>
        <v>交通便捷度</v>
      </c>
      <c r="R17" s="1508" t="s">
        <v>8</v>
      </c>
      <c r="S17" s="1509">
        <f>F17</f>
        <v>100</v>
      </c>
      <c r="T17" s="1508" t="s">
        <v>8</v>
      </c>
      <c r="U17" s="1509">
        <f>H17</f>
        <v>100</v>
      </c>
      <c r="V17" s="1508" t="s">
        <v>8</v>
      </c>
      <c r="W17" s="1509">
        <f>J17</f>
        <v>100</v>
      </c>
      <c r="X17" s="1502"/>
      <c r="Y17" s="3508"/>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08"/>
      <c r="Q18" s="1507"/>
      <c r="R18" s="1508"/>
      <c r="S18" s="1509"/>
      <c r="T18" s="1508"/>
      <c r="U18" s="1509"/>
      <c r="V18" s="1508"/>
      <c r="W18" s="1509"/>
      <c r="X18" s="1502"/>
      <c r="Y18" s="3508"/>
      <c r="Z18" s="1510"/>
      <c r="AA18" s="1511">
        <v>1</v>
      </c>
      <c r="AB18" s="1511">
        <v>1</v>
      </c>
      <c r="AC18" s="1511">
        <v>1</v>
      </c>
    </row>
    <row r="19" spans="1:29" ht="15">
      <c r="A19" s="526"/>
      <c r="B19" s="2445" t="s">
        <v>2527</v>
      </c>
      <c r="C19" s="861" t="str">
        <f>估价对象房地状况!C7</f>
        <v>一般</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08"/>
      <c r="Q19" s="1507" t="str">
        <f>B19</f>
        <v>公共配套设施</v>
      </c>
      <c r="R19" s="1508" t="s">
        <v>8</v>
      </c>
      <c r="S19" s="1509">
        <f>F19</f>
        <v>100</v>
      </c>
      <c r="T19" s="1508" t="s">
        <v>8</v>
      </c>
      <c r="U19" s="1509">
        <f>H19</f>
        <v>100</v>
      </c>
      <c r="V19" s="1508" t="s">
        <v>8</v>
      </c>
      <c r="W19" s="1509">
        <f>J19</f>
        <v>100</v>
      </c>
      <c r="X19" s="1502"/>
      <c r="Y19" s="3508"/>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08"/>
      <c r="Q20" s="1507"/>
      <c r="R20" s="1508"/>
      <c r="S20" s="1509"/>
      <c r="T20" s="1508"/>
      <c r="U20" s="1509"/>
      <c r="V20" s="1508"/>
      <c r="W20" s="1509"/>
      <c r="X20" s="1502"/>
      <c r="Y20" s="3508"/>
      <c r="Z20" s="1510"/>
      <c r="AA20" s="1511">
        <v>1</v>
      </c>
      <c r="AB20" s="1511">
        <v>1</v>
      </c>
      <c r="AC20" s="1511">
        <v>1</v>
      </c>
    </row>
    <row r="21" spans="1:29" ht="15">
      <c r="A21" s="526"/>
      <c r="B21" s="2438" t="s">
        <v>2539</v>
      </c>
      <c r="C21" s="861" t="str">
        <f>估价对象房地状况!C8</f>
        <v>七通</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08"/>
      <c r="Q21" s="2430" t="str">
        <f>B21</f>
        <v>基础设施水平</v>
      </c>
      <c r="R21" s="1508" t="s">
        <v>8</v>
      </c>
      <c r="S21" s="1509">
        <f>F21</f>
        <v>100</v>
      </c>
      <c r="T21" s="1508" t="s">
        <v>8</v>
      </c>
      <c r="U21" s="1509">
        <f>H21</f>
        <v>100</v>
      </c>
      <c r="V21" s="1508" t="s">
        <v>8</v>
      </c>
      <c r="W21" s="1509">
        <f>J21</f>
        <v>100</v>
      </c>
      <c r="X21" s="2432"/>
      <c r="Y21" s="3508"/>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508"/>
      <c r="Q22" s="2430"/>
      <c r="R22" s="1508"/>
      <c r="S22" s="1509"/>
      <c r="T22" s="1508"/>
      <c r="U22" s="1509"/>
      <c r="V22" s="1508"/>
      <c r="W22" s="1509"/>
      <c r="X22" s="2432"/>
      <c r="Y22" s="3508"/>
      <c r="Z22" s="2431"/>
      <c r="AA22" s="1511">
        <v>1</v>
      </c>
      <c r="AB22" s="1511">
        <v>1</v>
      </c>
      <c r="AC22" s="1511">
        <v>1</v>
      </c>
    </row>
    <row r="23" spans="1:29" ht="15">
      <c r="A23" s="526"/>
      <c r="B23" s="860" t="s">
        <v>297</v>
      </c>
      <c r="C23" s="889" t="str">
        <f>估价对象房地状况!C9</f>
        <v>较好</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08"/>
      <c r="Q23" s="1507" t="str">
        <f>B23</f>
        <v>自然及人文环境</v>
      </c>
      <c r="R23" s="1508" t="s">
        <v>8</v>
      </c>
      <c r="S23" s="1509">
        <f>F23</f>
        <v>100</v>
      </c>
      <c r="T23" s="1508" t="s">
        <v>8</v>
      </c>
      <c r="U23" s="1509">
        <f>H23</f>
        <v>100</v>
      </c>
      <c r="V23" s="1508" t="s">
        <v>8</v>
      </c>
      <c r="W23" s="1509">
        <f>J23</f>
        <v>100</v>
      </c>
      <c r="X23" s="1502"/>
      <c r="Y23" s="3508"/>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08"/>
      <c r="Q24" s="1507"/>
      <c r="R24" s="1508"/>
      <c r="S24" s="1509"/>
      <c r="T24" s="1508"/>
      <c r="U24" s="1509"/>
      <c r="V24" s="1508"/>
      <c r="W24" s="1509"/>
      <c r="X24" s="1502"/>
      <c r="Y24" s="3508"/>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08"/>
      <c r="Q25" s="1507" t="str">
        <f t="shared" ref="Q25:Q46" si="11">B25</f>
        <v>临街状况</v>
      </c>
      <c r="R25" s="1508" t="s">
        <v>8</v>
      </c>
      <c r="S25" s="1509">
        <f>F25</f>
        <v>100</v>
      </c>
      <c r="T25" s="1508" t="s">
        <v>8</v>
      </c>
      <c r="U25" s="1509">
        <f>H25</f>
        <v>100</v>
      </c>
      <c r="V25" s="1508" t="s">
        <v>8</v>
      </c>
      <c r="W25" s="1509">
        <f>J25</f>
        <v>100</v>
      </c>
      <c r="X25" s="1502"/>
      <c r="Y25" s="3508"/>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08"/>
      <c r="Q26" s="1507" t="str">
        <f t="shared" si="11"/>
        <v>平面位置/可视性</v>
      </c>
      <c r="R26" s="1508" t="s">
        <v>8</v>
      </c>
      <c r="S26" s="1509">
        <f>F26</f>
        <v>100</v>
      </c>
      <c r="T26" s="1508" t="s">
        <v>8</v>
      </c>
      <c r="U26" s="1509">
        <f>H26</f>
        <v>100</v>
      </c>
      <c r="V26" s="1508" t="s">
        <v>8</v>
      </c>
      <c r="W26" s="1509">
        <f>J26</f>
        <v>100</v>
      </c>
      <c r="X26" s="1502"/>
      <c r="Y26" s="3508"/>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08"/>
      <c r="Q27" s="1134" t="str">
        <f t="shared" si="11"/>
        <v>人流量</v>
      </c>
      <c r="R27" s="1503" t="s">
        <v>8</v>
      </c>
      <c r="S27" s="1504">
        <f>F27</f>
        <v>100</v>
      </c>
      <c r="T27" s="1503" t="s">
        <v>8</v>
      </c>
      <c r="U27" s="1504">
        <f>H27</f>
        <v>100</v>
      </c>
      <c r="V27" s="1503" t="s">
        <v>8</v>
      </c>
      <c r="W27" s="1504">
        <f>J27</f>
        <v>100</v>
      </c>
      <c r="X27" s="1505"/>
      <c r="Y27" s="3508"/>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08"/>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08"/>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08"/>
      <c r="Q29" s="1507">
        <f t="shared" si="11"/>
        <v>111</v>
      </c>
      <c r="R29" s="1508" t="s">
        <v>8</v>
      </c>
      <c r="S29" s="1509">
        <f t="shared" si="12"/>
        <v>100</v>
      </c>
      <c r="T29" s="1508" t="s">
        <v>8</v>
      </c>
      <c r="U29" s="1509">
        <f t="shared" si="13"/>
        <v>100</v>
      </c>
      <c r="V29" s="1508" t="s">
        <v>8</v>
      </c>
      <c r="W29" s="1509">
        <f t="shared" si="14"/>
        <v>100</v>
      </c>
      <c r="X29" s="1502"/>
      <c r="Y29" s="3508"/>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08"/>
      <c r="Q30" s="1507">
        <f t="shared" si="11"/>
        <v>111</v>
      </c>
      <c r="R30" s="1508" t="s">
        <v>8</v>
      </c>
      <c r="S30" s="1509">
        <f t="shared" si="12"/>
        <v>100</v>
      </c>
      <c r="T30" s="1508" t="s">
        <v>8</v>
      </c>
      <c r="U30" s="1509">
        <f t="shared" si="13"/>
        <v>100</v>
      </c>
      <c r="V30" s="1508" t="s">
        <v>8</v>
      </c>
      <c r="W30" s="1509">
        <f t="shared" si="14"/>
        <v>100</v>
      </c>
      <c r="X30" s="1502"/>
      <c r="Y30" s="3508"/>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08"/>
      <c r="Q31" s="1507">
        <f t="shared" si="11"/>
        <v>111</v>
      </c>
      <c r="R31" s="1508" t="s">
        <v>8</v>
      </c>
      <c r="S31" s="1509">
        <f t="shared" si="12"/>
        <v>100</v>
      </c>
      <c r="T31" s="1508" t="s">
        <v>8</v>
      </c>
      <c r="U31" s="1509">
        <f t="shared" si="13"/>
        <v>100</v>
      </c>
      <c r="V31" s="1508" t="s">
        <v>8</v>
      </c>
      <c r="W31" s="1509">
        <f t="shared" si="14"/>
        <v>100</v>
      </c>
      <c r="X31" s="1502"/>
      <c r="Y31" s="3508"/>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09" t="s">
        <v>544</v>
      </c>
      <c r="Q32" s="1507" t="str">
        <f t="shared" si="11"/>
        <v>商业类型</v>
      </c>
      <c r="R32" s="1508" t="s">
        <v>8</v>
      </c>
      <c r="S32" s="1509">
        <f t="shared" si="12"/>
        <v>100</v>
      </c>
      <c r="T32" s="1508" t="s">
        <v>8</v>
      </c>
      <c r="U32" s="1509">
        <f t="shared" si="13"/>
        <v>100</v>
      </c>
      <c r="V32" s="1508" t="s">
        <v>8</v>
      </c>
      <c r="W32" s="1509">
        <f t="shared" si="14"/>
        <v>100</v>
      </c>
      <c r="X32" s="1502"/>
      <c r="Y32" s="3510"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10"/>
      <c r="Q33" s="1536" t="str">
        <f t="shared" si="11"/>
        <v>项目建筑规模</v>
      </c>
      <c r="R33" s="1512" t="s">
        <v>8</v>
      </c>
      <c r="S33" s="1513" t="e">
        <f t="shared" si="12"/>
        <v>#N/A</v>
      </c>
      <c r="T33" s="1512" t="s">
        <v>8</v>
      </c>
      <c r="U33" s="1513" t="e">
        <f t="shared" si="13"/>
        <v>#N/A</v>
      </c>
      <c r="V33" s="1512" t="s">
        <v>8</v>
      </c>
      <c r="W33" s="1513" t="e">
        <f t="shared" si="14"/>
        <v>#N/A</v>
      </c>
      <c r="X33" s="1514"/>
      <c r="Y33" s="3510"/>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10"/>
      <c r="Q34" s="1507" t="str">
        <f t="shared" si="11"/>
        <v>建筑结构</v>
      </c>
      <c r="R34" s="1508" t="s">
        <v>8</v>
      </c>
      <c r="S34" s="1509">
        <f t="shared" si="12"/>
        <v>100</v>
      </c>
      <c r="T34" s="1508" t="s">
        <v>8</v>
      </c>
      <c r="U34" s="1509">
        <f t="shared" si="13"/>
        <v>100</v>
      </c>
      <c r="V34" s="1508" t="s">
        <v>8</v>
      </c>
      <c r="W34" s="1509">
        <f t="shared" si="14"/>
        <v>100</v>
      </c>
      <c r="X34" s="1502"/>
      <c r="Y34" s="3510"/>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10"/>
      <c r="Q35" s="1507" t="str">
        <f t="shared" si="11"/>
        <v>公共部分装修</v>
      </c>
      <c r="R35" s="1508" t="s">
        <v>8</v>
      </c>
      <c r="S35" s="1509">
        <f t="shared" si="12"/>
        <v>100</v>
      </c>
      <c r="T35" s="1508" t="s">
        <v>8</v>
      </c>
      <c r="U35" s="1509">
        <f t="shared" si="13"/>
        <v>100</v>
      </c>
      <c r="V35" s="1508" t="s">
        <v>8</v>
      </c>
      <c r="W35" s="1509">
        <f t="shared" si="14"/>
        <v>100</v>
      </c>
      <c r="X35" s="1502"/>
      <c r="Y35" s="3510"/>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10"/>
      <c r="Q36" s="1507" t="str">
        <f t="shared" si="11"/>
        <v>成新度</v>
      </c>
      <c r="R36" s="1508" t="s">
        <v>8</v>
      </c>
      <c r="S36" s="1509" t="e">
        <f t="shared" si="12"/>
        <v>#N/A</v>
      </c>
      <c r="T36" s="1508" t="s">
        <v>8</v>
      </c>
      <c r="U36" s="1509" t="e">
        <f t="shared" si="13"/>
        <v>#N/A</v>
      </c>
      <c r="V36" s="1508" t="s">
        <v>8</v>
      </c>
      <c r="W36" s="1509" t="e">
        <f t="shared" si="14"/>
        <v>#N/A</v>
      </c>
      <c r="X36" s="1502"/>
      <c r="Y36" s="3510"/>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10"/>
      <c r="Q37" s="1134" t="str">
        <f t="shared" si="11"/>
        <v>市政基础设施</v>
      </c>
      <c r="R37" s="1503" t="s">
        <v>8</v>
      </c>
      <c r="S37" s="1504">
        <f t="shared" si="12"/>
        <v>100</v>
      </c>
      <c r="T37" s="1503" t="s">
        <v>8</v>
      </c>
      <c r="U37" s="1504">
        <f t="shared" si="13"/>
        <v>100</v>
      </c>
      <c r="V37" s="1503" t="s">
        <v>8</v>
      </c>
      <c r="W37" s="1504">
        <f t="shared" si="14"/>
        <v>100</v>
      </c>
      <c r="X37" s="1505"/>
      <c r="Y37" s="3510"/>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10" t="s">
        <v>760</v>
      </c>
      <c r="Q38" s="1507" t="str">
        <f t="shared" si="11"/>
        <v>业态</v>
      </c>
      <c r="R38" s="1508" t="s">
        <v>8</v>
      </c>
      <c r="S38" s="1509">
        <f t="shared" si="12"/>
        <v>100</v>
      </c>
      <c r="T38" s="1508" t="s">
        <v>8</v>
      </c>
      <c r="U38" s="1509">
        <f t="shared" si="13"/>
        <v>100</v>
      </c>
      <c r="V38" s="1508" t="s">
        <v>8</v>
      </c>
      <c r="W38" s="1509">
        <f t="shared" si="14"/>
        <v>100</v>
      </c>
      <c r="X38" s="1502"/>
      <c r="Y38" s="3510"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10"/>
      <c r="Q39" s="1507" t="str">
        <f t="shared" si="11"/>
        <v>层高</v>
      </c>
      <c r="R39" s="1508" t="s">
        <v>8</v>
      </c>
      <c r="S39" s="1509">
        <f t="shared" si="12"/>
        <v>100</v>
      </c>
      <c r="T39" s="1508" t="s">
        <v>8</v>
      </c>
      <c r="U39" s="1509">
        <f t="shared" si="13"/>
        <v>100</v>
      </c>
      <c r="V39" s="1508" t="s">
        <v>8</v>
      </c>
      <c r="W39" s="1509">
        <f t="shared" si="14"/>
        <v>100</v>
      </c>
      <c r="X39" s="1502"/>
      <c r="Y39" s="3510"/>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10"/>
      <c r="Q40" s="1507" t="str">
        <f t="shared" si="11"/>
        <v>单套建筑面积</v>
      </c>
      <c r="R40" s="1508" t="s">
        <v>8</v>
      </c>
      <c r="S40" s="1509">
        <f t="shared" si="12"/>
        <v>100</v>
      </c>
      <c r="T40" s="1508" t="s">
        <v>8</v>
      </c>
      <c r="U40" s="1509">
        <f t="shared" si="13"/>
        <v>100</v>
      </c>
      <c r="V40" s="1508" t="s">
        <v>8</v>
      </c>
      <c r="W40" s="1509">
        <f t="shared" si="14"/>
        <v>100</v>
      </c>
      <c r="X40" s="1502"/>
      <c r="Y40" s="3510"/>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10"/>
      <c r="Q41" s="1536" t="str">
        <f t="shared" si="11"/>
        <v>进深比</v>
      </c>
      <c r="R41" s="1512" t="s">
        <v>8</v>
      </c>
      <c r="S41" s="1513">
        <f t="shared" si="12"/>
        <v>100</v>
      </c>
      <c r="T41" s="1512" t="s">
        <v>8</v>
      </c>
      <c r="U41" s="1513">
        <f t="shared" si="13"/>
        <v>100</v>
      </c>
      <c r="V41" s="1512" t="s">
        <v>8</v>
      </c>
      <c r="W41" s="1513">
        <f t="shared" si="14"/>
        <v>100</v>
      </c>
      <c r="X41" s="1514"/>
      <c r="Y41" s="3510"/>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10"/>
      <c r="Q42" s="1507" t="str">
        <f t="shared" si="11"/>
        <v>内部装修</v>
      </c>
      <c r="R42" s="1508" t="s">
        <v>8</v>
      </c>
      <c r="S42" s="1509">
        <f t="shared" si="12"/>
        <v>100</v>
      </c>
      <c r="T42" s="1508" t="s">
        <v>8</v>
      </c>
      <c r="U42" s="1509">
        <f t="shared" si="13"/>
        <v>100</v>
      </c>
      <c r="V42" s="1508" t="s">
        <v>8</v>
      </c>
      <c r="W42" s="1509">
        <f t="shared" si="14"/>
        <v>100</v>
      </c>
      <c r="X42" s="1502"/>
      <c r="Y42" s="3510"/>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10"/>
      <c r="Q43" s="1507" t="str">
        <f t="shared" si="11"/>
        <v>内部装修维护情况</v>
      </c>
      <c r="R43" s="1508" t="s">
        <v>8</v>
      </c>
      <c r="S43" s="1509">
        <f t="shared" si="12"/>
        <v>100</v>
      </c>
      <c r="T43" s="1508" t="s">
        <v>8</v>
      </c>
      <c r="U43" s="1509">
        <f t="shared" si="13"/>
        <v>100</v>
      </c>
      <c r="V43" s="1508" t="s">
        <v>8</v>
      </c>
      <c r="W43" s="1509">
        <f t="shared" si="14"/>
        <v>100</v>
      </c>
      <c r="X43" s="1502"/>
      <c r="Y43" s="3510"/>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10"/>
      <c r="Q44" s="1134">
        <f t="shared" si="11"/>
        <v>111</v>
      </c>
      <c r="R44" s="1503" t="s">
        <v>8</v>
      </c>
      <c r="S44" s="1504">
        <f t="shared" si="12"/>
        <v>100</v>
      </c>
      <c r="T44" s="1503" t="s">
        <v>8</v>
      </c>
      <c r="U44" s="1504">
        <f t="shared" si="13"/>
        <v>100</v>
      </c>
      <c r="V44" s="1503" t="s">
        <v>8</v>
      </c>
      <c r="W44" s="1504">
        <f t="shared" si="14"/>
        <v>100</v>
      </c>
      <c r="X44" s="1505"/>
      <c r="Y44" s="3510"/>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10"/>
      <c r="Q45" s="1507">
        <f t="shared" si="11"/>
        <v>111</v>
      </c>
      <c r="R45" s="1508" t="s">
        <v>8</v>
      </c>
      <c r="S45" s="1509">
        <f t="shared" si="12"/>
        <v>100</v>
      </c>
      <c r="T45" s="1508" t="s">
        <v>8</v>
      </c>
      <c r="U45" s="1509">
        <f t="shared" si="13"/>
        <v>100</v>
      </c>
      <c r="V45" s="1508" t="s">
        <v>8</v>
      </c>
      <c r="W45" s="1509">
        <f t="shared" si="14"/>
        <v>100</v>
      </c>
      <c r="X45" s="1502"/>
      <c r="Y45" s="3510"/>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69"/>
      <c r="Q46" s="1507">
        <f t="shared" si="11"/>
        <v>111</v>
      </c>
      <c r="R46" s="1508" t="s">
        <v>8</v>
      </c>
      <c r="S46" s="1509">
        <f t="shared" si="12"/>
        <v>100</v>
      </c>
      <c r="T46" s="1508" t="s">
        <v>8</v>
      </c>
      <c r="U46" s="1509">
        <f t="shared" si="13"/>
        <v>100</v>
      </c>
      <c r="V46" s="1508" t="s">
        <v>8</v>
      </c>
      <c r="W46" s="1509">
        <f t="shared" si="14"/>
        <v>100</v>
      </c>
      <c r="X46" s="1502"/>
      <c r="Y46" s="3569"/>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73" t="str">
        <f>A47</f>
        <v>成交单价（元/平方米）</v>
      </c>
      <c r="Q47" s="3473"/>
      <c r="R47" s="3568">
        <f>E47</f>
        <v>0</v>
      </c>
      <c r="S47" s="3568"/>
      <c r="T47" s="3568">
        <f>G47</f>
        <v>0</v>
      </c>
      <c r="U47" s="3568"/>
      <c r="V47" s="3568">
        <f>I47</f>
        <v>0</v>
      </c>
      <c r="W47" s="3568"/>
      <c r="X47" s="1497"/>
      <c r="Y47" s="1516"/>
      <c r="Z47" s="1497"/>
      <c r="AA47" s="1497"/>
      <c r="AB47" s="1497"/>
      <c r="AC47" s="1497"/>
    </row>
    <row r="48" spans="1:29" ht="15.75" thickBot="1">
      <c r="A48" s="609" t="s">
        <v>2740</v>
      </c>
      <c r="B48" s="877"/>
      <c r="C48" s="2477" t="e">
        <f>R49</f>
        <v>#DIV/0!</v>
      </c>
      <c r="D48" s="3015" t="s">
        <v>2959</v>
      </c>
      <c r="E48" s="2478" t="e">
        <f>R48</f>
        <v>#DIV/0!</v>
      </c>
      <c r="F48" s="3016"/>
      <c r="G48" s="2477" t="e">
        <f>T48</f>
        <v>#DIV/0!</v>
      </c>
      <c r="H48" s="3016"/>
      <c r="I48" s="2478" t="e">
        <f>V48</f>
        <v>#DIV/0!</v>
      </c>
      <c r="J48" s="3016"/>
      <c r="K48" s="3024">
        <f>F48+H48+J48</f>
        <v>0</v>
      </c>
      <c r="L48" s="2027"/>
      <c r="M48" s="2028"/>
      <c r="N48" s="2017"/>
      <c r="O48" s="2028"/>
      <c r="P48" s="3473" t="str">
        <f>A48</f>
        <v>比较价格（元/平方米）</v>
      </c>
      <c r="Q48" s="3473"/>
      <c r="R48" s="3568" t="e">
        <f>IF(F1="售价",ROUND(PRODUCT(R47,AA7:AA46),0),ROUND(PRODUCT(R47,AA7:AA46),1))</f>
        <v>#DIV/0!</v>
      </c>
      <c r="S48" s="3568"/>
      <c r="T48" s="3568" t="e">
        <f>IF(F1="售价",ROUND(PRODUCT(T47,AB7:AB46),0),ROUND(PRODUCT(T47,AB7:AB46),1))</f>
        <v>#DIV/0!</v>
      </c>
      <c r="U48" s="3568"/>
      <c r="V48" s="3568" t="e">
        <f>IF(F1="售价",ROUND(PRODUCT(V47,AC7:AC46),0),ROUND(PRODUCT(V47,AC7:AC46),1))</f>
        <v>#DIV/0!</v>
      </c>
      <c r="W48" s="3568"/>
      <c r="X48" s="1497"/>
      <c r="Y48" s="1497"/>
      <c r="Z48" s="1497"/>
      <c r="AA48" s="1497"/>
      <c r="AB48" s="1497"/>
      <c r="AC48" s="1497"/>
    </row>
    <row r="49" spans="1:29" ht="15.75" thickBot="1">
      <c r="A49" s="613" t="s">
        <v>2890</v>
      </c>
      <c r="B49" s="614"/>
      <c r="C49" s="2479" t="e">
        <f>R49</f>
        <v>#DIV/0!</v>
      </c>
      <c r="D49" s="2479"/>
      <c r="E49" s="2479"/>
      <c r="F49" s="2479"/>
      <c r="G49" s="2479"/>
      <c r="H49" s="2479"/>
      <c r="I49" s="2479"/>
      <c r="J49" s="2479"/>
      <c r="K49" s="1542"/>
      <c r="L49" s="2027"/>
      <c r="M49" s="2028"/>
      <c r="N49" s="2017"/>
      <c r="O49" s="2028"/>
      <c r="P49" s="3470" t="str">
        <f>A49</f>
        <v>估价对象XX用房的比较价格（楼面单价，元/平方米）</v>
      </c>
      <c r="Q49" s="3471"/>
      <c r="R49" s="3567" t="e">
        <f>IF(F1="售价",ROUND(IF(D48="简单平均",AVERAGE(R48:V48),R48*F48+T48*H48+V48*J48),0),ROUND(IF(D48="简单平均",AVERAGE(R48:V48),R48*F48+T48*H48+V48*J48),1))</f>
        <v>#DIV/0!</v>
      </c>
      <c r="S49" s="3567"/>
      <c r="T49" s="3567"/>
      <c r="U49" s="3567"/>
      <c r="V49" s="3567"/>
      <c r="W49" s="3567"/>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2020-8</v>
      </c>
      <c r="D58" s="2522">
        <f>EDATE(C58,-1)</f>
        <v>44013</v>
      </c>
      <c r="E58" s="2522">
        <f t="shared" ref="E58:O58" si="16">EDATE(D58,-1)</f>
        <v>43983</v>
      </c>
      <c r="F58" s="2522">
        <f t="shared" si="16"/>
        <v>43952</v>
      </c>
      <c r="G58" s="2522">
        <f t="shared" si="16"/>
        <v>43922</v>
      </c>
      <c r="H58" s="2522">
        <f t="shared" si="16"/>
        <v>43891</v>
      </c>
      <c r="I58" s="2522">
        <f t="shared" si="16"/>
        <v>43862</v>
      </c>
      <c r="J58" s="2522">
        <f t="shared" si="16"/>
        <v>43831</v>
      </c>
      <c r="K58" s="2522">
        <f t="shared" si="16"/>
        <v>43800</v>
      </c>
      <c r="L58" s="2522">
        <f t="shared" si="16"/>
        <v>43770</v>
      </c>
      <c r="M58" s="2522">
        <f t="shared" si="16"/>
        <v>43739</v>
      </c>
      <c r="N58" s="2522">
        <f t="shared" si="16"/>
        <v>43709</v>
      </c>
      <c r="O58" s="2522">
        <f t="shared" si="16"/>
        <v>43678</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0" priority="20" stopIfTrue="1" operator="containsText" text="超过">
      <formula>NOT(ISERROR(SEARCH("超过",F52)))</formula>
    </cfRule>
  </conditionalFormatting>
  <conditionalFormatting sqref="H54">
    <cfRule type="containsText" dxfId="89" priority="18" stopIfTrue="1" operator="containsText" text="超过">
      <formula>NOT(ISERROR(SEARCH("超过",H54)))</formula>
    </cfRule>
  </conditionalFormatting>
  <conditionalFormatting sqref="F54">
    <cfRule type="containsText" dxfId="88" priority="17" stopIfTrue="1" operator="containsText" text="超过">
      <formula>NOT(ISERROR(SEARCH("超过",F54)))</formula>
    </cfRule>
  </conditionalFormatting>
  <conditionalFormatting sqref="F53 H53">
    <cfRule type="containsText" dxfId="87" priority="16" stopIfTrue="1" operator="containsText" text="超过">
      <formula>NOT(ISERROR(SEARCH("超过",F53)))</formula>
    </cfRule>
  </conditionalFormatting>
  <conditionalFormatting sqref="E52">
    <cfRule type="expression" dxfId="86" priority="15" stopIfTrue="1">
      <formula>$F$52="超过30%"</formula>
    </cfRule>
  </conditionalFormatting>
  <conditionalFormatting sqref="E53">
    <cfRule type="expression" dxfId="85" priority="14" stopIfTrue="1">
      <formula>$F$53="超过20%"</formula>
    </cfRule>
  </conditionalFormatting>
  <conditionalFormatting sqref="E54">
    <cfRule type="expression" dxfId="84" priority="13" stopIfTrue="1">
      <formula>$F$54="超过30%"</formula>
    </cfRule>
  </conditionalFormatting>
  <conditionalFormatting sqref="G54">
    <cfRule type="expression" dxfId="83" priority="12" stopIfTrue="1">
      <formula>$H$54="超过30%"</formula>
    </cfRule>
  </conditionalFormatting>
  <conditionalFormatting sqref="G52">
    <cfRule type="expression" dxfId="82" priority="11" stopIfTrue="1">
      <formula>$H$52="超过30%"</formula>
    </cfRule>
  </conditionalFormatting>
  <conditionalFormatting sqref="G53">
    <cfRule type="expression" dxfId="81" priority="10" stopIfTrue="1">
      <formula>$H$53="超过20%"</formula>
    </cfRule>
  </conditionalFormatting>
  <conditionalFormatting sqref="J52">
    <cfRule type="containsText" dxfId="80" priority="9" stopIfTrue="1" operator="containsText" text="超过">
      <formula>NOT(ISERROR(SEARCH("超过",J52)))</formula>
    </cfRule>
  </conditionalFormatting>
  <conditionalFormatting sqref="J54">
    <cfRule type="containsText" dxfId="79" priority="8" stopIfTrue="1" operator="containsText" text="超过">
      <formula>NOT(ISERROR(SEARCH("超过",J54)))</formula>
    </cfRule>
  </conditionalFormatting>
  <conditionalFormatting sqref="J53">
    <cfRule type="containsText" dxfId="78" priority="7" stopIfTrue="1" operator="containsText" text="超过">
      <formula>NOT(ISERROR(SEARCH("超过",J53)))</formula>
    </cfRule>
  </conditionalFormatting>
  <conditionalFormatting sqref="I52">
    <cfRule type="expression" dxfId="77" priority="6" stopIfTrue="1">
      <formula>$J$52="超过30%"</formula>
    </cfRule>
  </conditionalFormatting>
  <conditionalFormatting sqref="I53">
    <cfRule type="expression" dxfId="76" priority="5" stopIfTrue="1">
      <formula>$J$53="超过20%"</formula>
    </cfRule>
  </conditionalFormatting>
  <conditionalFormatting sqref="I54">
    <cfRule type="expression" dxfId="75" priority="4" stopIfTrue="1">
      <formula>$J$54="超过30%"</formula>
    </cfRule>
  </conditionalFormatting>
  <conditionalFormatting sqref="F48">
    <cfRule type="expression" dxfId="74" priority="3">
      <formula>$D$48="简单平均"</formula>
    </cfRule>
  </conditionalFormatting>
  <conditionalFormatting sqref="H48">
    <cfRule type="expression" dxfId="73" priority="2">
      <formula>$D$48="简单平均"</formula>
    </cfRule>
  </conditionalFormatting>
  <conditionalFormatting sqref="J48">
    <cfRule type="expression" dxfId="72" priority="1">
      <formula>$D$48="简单平均"</formula>
    </cfRule>
  </conditionalFormatting>
  <dataValidations count="24">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 type="list" allowBlank="1" showInputMessage="1" showErrorMessage="1" sqref="D48" xr:uid="{00000000-0002-0000-21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view="pageBreakPreview" zoomScale="60" zoomScaleNormal="60" workbookViewId="0">
      <selection activeCell="M32" sqref="M3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0"/>
      <c r="M1" s="3211"/>
      <c r="N1" s="3211"/>
      <c r="O1" s="3211"/>
      <c r="P1" s="3274"/>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4"/>
      <c r="Q2" s="2015"/>
      <c r="R2" s="2015"/>
      <c r="S2" s="2015"/>
      <c r="T2" s="2015"/>
      <c r="U2" s="2015"/>
      <c r="V2" s="2015"/>
      <c r="W2" s="2015"/>
      <c r="X2" s="2015"/>
      <c r="Y2" s="2015"/>
      <c r="Z2" s="2015"/>
      <c r="AA2" s="2015"/>
      <c r="AB2" s="2015"/>
      <c r="AC2" s="3212"/>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4"/>
      <c r="Q3" s="2015"/>
      <c r="R3" s="2015"/>
      <c r="S3" s="2015"/>
      <c r="T3" s="2015"/>
      <c r="U3" s="2015"/>
      <c r="V3" s="2015"/>
      <c r="W3" s="2015"/>
      <c r="X3" s="2015"/>
      <c r="Y3" s="2015"/>
      <c r="Z3" s="2015"/>
      <c r="AA3" s="2015"/>
      <c r="AB3" s="2015"/>
      <c r="AC3" s="3212"/>
    </row>
    <row r="4" spans="1:29" ht="15">
      <c r="A4" s="506" t="s">
        <v>515</v>
      </c>
      <c r="B4" s="507"/>
      <c r="C4" s="3479" t="s">
        <v>516</v>
      </c>
      <c r="D4" s="3480"/>
      <c r="E4" s="3513" t="s">
        <v>517</v>
      </c>
      <c r="F4" s="3514"/>
      <c r="G4" s="3479" t="s">
        <v>518</v>
      </c>
      <c r="H4" s="3480"/>
      <c r="I4" s="3479" t="s">
        <v>519</v>
      </c>
      <c r="J4" s="3480"/>
      <c r="K4" s="508" t="s">
        <v>520</v>
      </c>
      <c r="L4" s="2016"/>
      <c r="M4" s="2017"/>
      <c r="N4" s="2017"/>
      <c r="O4" s="2017"/>
      <c r="P4" s="3596" t="s">
        <v>521</v>
      </c>
      <c r="Q4" s="3482"/>
      <c r="R4" s="3487" t="s">
        <v>517</v>
      </c>
      <c r="S4" s="3488"/>
      <c r="T4" s="3487" t="s">
        <v>518</v>
      </c>
      <c r="U4" s="3488"/>
      <c r="V4" s="3474" t="s">
        <v>519</v>
      </c>
      <c r="W4" s="3474"/>
      <c r="X4" s="1502"/>
      <c r="Y4" s="3487" t="s">
        <v>521</v>
      </c>
      <c r="Z4" s="3488"/>
      <c r="AA4" s="3476" t="s">
        <v>517</v>
      </c>
      <c r="AB4" s="3476" t="s">
        <v>518</v>
      </c>
      <c r="AC4" s="3476" t="s">
        <v>519</v>
      </c>
    </row>
    <row r="5" spans="1:29" ht="15">
      <c r="A5" s="509"/>
      <c r="B5" s="510"/>
      <c r="C5" s="3495" t="s">
        <v>2884</v>
      </c>
      <c r="D5" s="3496"/>
      <c r="E5" s="3515" t="s">
        <v>2885</v>
      </c>
      <c r="F5" s="3516"/>
      <c r="G5" s="3495" t="s">
        <v>2886</v>
      </c>
      <c r="H5" s="3496"/>
      <c r="I5" s="3495" t="s">
        <v>2887</v>
      </c>
      <c r="J5" s="3496"/>
      <c r="K5" s="508"/>
      <c r="L5" s="2016"/>
      <c r="M5" s="2017"/>
      <c r="N5" s="2017"/>
      <c r="O5" s="2017"/>
      <c r="P5" s="3597"/>
      <c r="Q5" s="3484"/>
      <c r="R5" s="3489"/>
      <c r="S5" s="3490"/>
      <c r="T5" s="3489"/>
      <c r="U5" s="3490"/>
      <c r="V5" s="3474"/>
      <c r="W5" s="3474"/>
      <c r="X5" s="1502"/>
      <c r="Y5" s="3489"/>
      <c r="Z5" s="3490"/>
      <c r="AA5" s="3477"/>
      <c r="AB5" s="3477"/>
      <c r="AC5" s="3477"/>
    </row>
    <row r="6" spans="1:29" ht="15.75" thickBot="1">
      <c r="A6" s="511"/>
      <c r="B6" s="512"/>
      <c r="C6" s="3493" t="s">
        <v>2888</v>
      </c>
      <c r="D6" s="3494"/>
      <c r="E6" s="3511" t="s">
        <v>2888</v>
      </c>
      <c r="F6" s="3512"/>
      <c r="G6" s="3493" t="s">
        <v>2888</v>
      </c>
      <c r="H6" s="3494"/>
      <c r="I6" s="3493" t="s">
        <v>2888</v>
      </c>
      <c r="J6" s="3494"/>
      <c r="K6" s="508" t="s">
        <v>522</v>
      </c>
      <c r="L6" s="2016"/>
      <c r="M6" s="2017"/>
      <c r="N6" s="2017"/>
      <c r="O6" s="2017"/>
      <c r="P6" s="3598"/>
      <c r="Q6" s="3486"/>
      <c r="R6" s="3489"/>
      <c r="S6" s="3490"/>
      <c r="T6" s="3491"/>
      <c r="U6" s="3492"/>
      <c r="V6" s="3474"/>
      <c r="W6" s="3474"/>
      <c r="X6" s="1502"/>
      <c r="Y6" s="3491"/>
      <c r="Z6" s="3492"/>
      <c r="AA6" s="3478"/>
      <c r="AB6" s="3478"/>
      <c r="AC6" s="3478"/>
    </row>
    <row r="7" spans="1:29" s="1203" customFormat="1" ht="15.75" thickBot="1">
      <c r="A7" s="2630"/>
      <c r="B7" s="2637" t="s">
        <v>523</v>
      </c>
      <c r="C7" s="513">
        <f>'数据-取费表'!B2</f>
        <v>44070</v>
      </c>
      <c r="D7" s="514">
        <v>100</v>
      </c>
      <c r="E7" s="515"/>
      <c r="F7" s="516">
        <f>SUMIF(59:59,YEAR(E7)&amp;"-"&amp;MONTH(E7),60:60)</f>
        <v>0</v>
      </c>
      <c r="G7" s="515"/>
      <c r="H7" s="514">
        <f>SUMIF(59:59,YEAR(G7)&amp;"-"&amp;MONTH(G7),60:60)</f>
        <v>0</v>
      </c>
      <c r="I7" s="515"/>
      <c r="J7" s="514">
        <f>SUMIF(59:59,YEAR(I7)&amp;"-"&amp;MONTH(I7),60:60)</f>
        <v>0</v>
      </c>
      <c r="K7" s="518"/>
      <c r="L7" s="2018"/>
      <c r="M7" s="2019"/>
      <c r="N7" s="2019"/>
      <c r="O7" s="2019"/>
      <c r="P7" s="3506" t="s">
        <v>524</v>
      </c>
      <c r="Q7" s="3506"/>
      <c r="R7" s="1503" t="s">
        <v>8</v>
      </c>
      <c r="S7" s="1504">
        <f t="shared" ref="S7:S15" si="0">F7</f>
        <v>0</v>
      </c>
      <c r="T7" s="1503" t="s">
        <v>8</v>
      </c>
      <c r="U7" s="1504">
        <f t="shared" ref="U7:U15" si="1">H7</f>
        <v>0</v>
      </c>
      <c r="V7" s="1503" t="s">
        <v>8</v>
      </c>
      <c r="W7" s="1504">
        <f t="shared" ref="W7:W15" si="2">J7</f>
        <v>0</v>
      </c>
      <c r="X7" s="1505"/>
      <c r="Y7" s="3504" t="s">
        <v>524</v>
      </c>
      <c r="Z7" s="3505"/>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506" t="s">
        <v>527</v>
      </c>
      <c r="Q8" s="3505"/>
      <c r="R8" s="1503" t="s">
        <v>8</v>
      </c>
      <c r="S8" s="1504">
        <f t="shared" si="0"/>
        <v>0</v>
      </c>
      <c r="T8" s="1503" t="s">
        <v>8</v>
      </c>
      <c r="U8" s="1504">
        <f t="shared" si="1"/>
        <v>0</v>
      </c>
      <c r="V8" s="1503" t="s">
        <v>8</v>
      </c>
      <c r="W8" s="1504">
        <f t="shared" si="2"/>
        <v>0</v>
      </c>
      <c r="X8" s="1505"/>
      <c r="Y8" s="3504" t="s">
        <v>527</v>
      </c>
      <c r="Z8" s="3505"/>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73" t="s">
        <v>529</v>
      </c>
      <c r="Q9" s="1134" t="str">
        <f t="shared" ref="Q9:Q15" si="6">B9</f>
        <v>用途</v>
      </c>
      <c r="R9" s="1503" t="s">
        <v>8</v>
      </c>
      <c r="S9" s="1504">
        <f t="shared" si="0"/>
        <v>100</v>
      </c>
      <c r="T9" s="1503" t="s">
        <v>8</v>
      </c>
      <c r="U9" s="1504">
        <f t="shared" si="1"/>
        <v>100</v>
      </c>
      <c r="V9" s="1503" t="s">
        <v>8</v>
      </c>
      <c r="W9" s="1504">
        <f t="shared" si="2"/>
        <v>100</v>
      </c>
      <c r="X9" s="1505"/>
      <c r="Y9" s="341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73"/>
      <c r="Q10" s="1134" t="str">
        <f t="shared" si="6"/>
        <v>土地使用年限（年）</v>
      </c>
      <c r="R10" s="1503" t="s">
        <v>8</v>
      </c>
      <c r="S10" s="1504">
        <f t="shared" si="0"/>
        <v>100</v>
      </c>
      <c r="T10" s="1503" t="s">
        <v>8</v>
      </c>
      <c r="U10" s="1504">
        <f t="shared" si="1"/>
        <v>100</v>
      </c>
      <c r="V10" s="1503" t="s">
        <v>8</v>
      </c>
      <c r="W10" s="1504">
        <f t="shared" si="2"/>
        <v>100</v>
      </c>
      <c r="X10" s="1505"/>
      <c r="Y10" s="3419"/>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73"/>
      <c r="Q11" s="1134" t="str">
        <f t="shared" si="6"/>
        <v>容积率</v>
      </c>
      <c r="R11" s="1503" t="s">
        <v>8</v>
      </c>
      <c r="S11" s="1504" t="e">
        <f t="shared" si="0"/>
        <v>#N/A</v>
      </c>
      <c r="T11" s="1503" t="s">
        <v>8</v>
      </c>
      <c r="U11" s="1504" t="e">
        <f t="shared" si="1"/>
        <v>#N/A</v>
      </c>
      <c r="V11" s="1503" t="s">
        <v>8</v>
      </c>
      <c r="W11" s="1504" t="e">
        <f t="shared" si="2"/>
        <v>#N/A</v>
      </c>
      <c r="X11" s="1505"/>
      <c r="Y11" s="341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73"/>
      <c r="Q12" s="1134">
        <f t="shared" si="6"/>
        <v>111</v>
      </c>
      <c r="R12" s="1503" t="s">
        <v>8</v>
      </c>
      <c r="S12" s="1504">
        <f t="shared" si="0"/>
        <v>100</v>
      </c>
      <c r="T12" s="1503" t="s">
        <v>8</v>
      </c>
      <c r="U12" s="1504">
        <f t="shared" si="1"/>
        <v>100</v>
      </c>
      <c r="V12" s="1503" t="s">
        <v>8</v>
      </c>
      <c r="W12" s="1504">
        <f t="shared" si="2"/>
        <v>100</v>
      </c>
      <c r="X12" s="1505"/>
      <c r="Y12" s="3419"/>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73"/>
      <c r="Q13" s="1134">
        <f t="shared" si="6"/>
        <v>111</v>
      </c>
      <c r="R13" s="1503" t="s">
        <v>8</v>
      </c>
      <c r="S13" s="1504">
        <f t="shared" si="0"/>
        <v>100</v>
      </c>
      <c r="T13" s="1503" t="s">
        <v>8</v>
      </c>
      <c r="U13" s="1504">
        <f t="shared" si="1"/>
        <v>100</v>
      </c>
      <c r="V13" s="1503" t="s">
        <v>8</v>
      </c>
      <c r="W13" s="1504">
        <f t="shared" si="2"/>
        <v>100</v>
      </c>
      <c r="X13" s="1505"/>
      <c r="Y13" s="3419"/>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73"/>
      <c r="Q14" s="1134">
        <f t="shared" si="6"/>
        <v>111</v>
      </c>
      <c r="R14" s="1503" t="s">
        <v>8</v>
      </c>
      <c r="S14" s="1504">
        <f t="shared" si="0"/>
        <v>100</v>
      </c>
      <c r="T14" s="1503" t="s">
        <v>8</v>
      </c>
      <c r="U14" s="1504">
        <f t="shared" si="1"/>
        <v>100</v>
      </c>
      <c r="V14" s="1503" t="s">
        <v>8</v>
      </c>
      <c r="W14" s="1504">
        <f t="shared" si="2"/>
        <v>100</v>
      </c>
      <c r="X14" s="1505"/>
      <c r="Y14" s="3419"/>
      <c r="Z14" s="1133">
        <f t="shared" si="7"/>
        <v>111</v>
      </c>
      <c r="AA14" s="1506">
        <f t="shared" si="3"/>
        <v>1</v>
      </c>
      <c r="AB14" s="1506">
        <f t="shared" si="4"/>
        <v>1</v>
      </c>
      <c r="AC14" s="1506">
        <f t="shared" si="5"/>
        <v>1</v>
      </c>
    </row>
    <row r="15" spans="1:29" ht="15">
      <c r="A15" s="2628" t="s">
        <v>2734</v>
      </c>
      <c r="B15" s="541" t="s">
        <v>536</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507" t="s">
        <v>534</v>
      </c>
      <c r="Q15" s="1507" t="str">
        <f t="shared" si="6"/>
        <v>办公集聚程度</v>
      </c>
      <c r="R15" s="1508" t="s">
        <v>8</v>
      </c>
      <c r="S15" s="1509">
        <f t="shared" si="0"/>
        <v>100</v>
      </c>
      <c r="T15" s="1508" t="s">
        <v>8</v>
      </c>
      <c r="U15" s="1509">
        <f t="shared" si="1"/>
        <v>100</v>
      </c>
      <c r="V15" s="1508" t="s">
        <v>8</v>
      </c>
      <c r="W15" s="1509">
        <f t="shared" si="2"/>
        <v>100</v>
      </c>
      <c r="X15" s="1502"/>
      <c r="Y15" s="3507"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08"/>
      <c r="Q16" s="1507"/>
      <c r="R16" s="1508"/>
      <c r="S16" s="1509"/>
      <c r="T16" s="1508"/>
      <c r="U16" s="1509"/>
      <c r="V16" s="1508"/>
      <c r="W16" s="1509"/>
      <c r="X16" s="1502"/>
      <c r="Y16" s="3508"/>
      <c r="Z16" s="1510"/>
      <c r="AA16" s="1511">
        <v>1</v>
      </c>
      <c r="AB16" s="1511">
        <v>1</v>
      </c>
      <c r="AC16" s="1511">
        <v>1</v>
      </c>
    </row>
    <row r="17" spans="1:29" ht="15">
      <c r="A17" s="526"/>
      <c r="B17" s="554" t="s">
        <v>296</v>
      </c>
      <c r="C17" s="567" t="str">
        <f>估价对象房地状况!C6</f>
        <v>一般</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08"/>
      <c r="Q17" s="1507" t="str">
        <f>B17</f>
        <v>交通便捷度</v>
      </c>
      <c r="R17" s="1508" t="s">
        <v>8</v>
      </c>
      <c r="S17" s="1509">
        <f>F17</f>
        <v>100</v>
      </c>
      <c r="T17" s="1508" t="s">
        <v>8</v>
      </c>
      <c r="U17" s="1509">
        <f>H17</f>
        <v>100</v>
      </c>
      <c r="V17" s="1508" t="s">
        <v>8</v>
      </c>
      <c r="W17" s="1509">
        <f>J17</f>
        <v>100</v>
      </c>
      <c r="X17" s="1502"/>
      <c r="Y17" s="3508"/>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08"/>
      <c r="Q18" s="1507"/>
      <c r="R18" s="1508"/>
      <c r="S18" s="1509"/>
      <c r="T18" s="1508"/>
      <c r="U18" s="1509"/>
      <c r="V18" s="1508"/>
      <c r="W18" s="1509"/>
      <c r="X18" s="1502"/>
      <c r="Y18" s="3508"/>
      <c r="Z18" s="1510"/>
      <c r="AA18" s="1511">
        <v>1</v>
      </c>
      <c r="AB18" s="1511">
        <v>1</v>
      </c>
      <c r="AC18" s="1511">
        <v>1</v>
      </c>
    </row>
    <row r="19" spans="1:29" ht="15">
      <c r="A19" s="526"/>
      <c r="B19" s="2448" t="s">
        <v>2527</v>
      </c>
      <c r="C19" s="567" t="str">
        <f>估价对象房地状况!C7</f>
        <v>一般</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08"/>
      <c r="Q19" s="1507" t="str">
        <f>B19</f>
        <v>公共配套设施</v>
      </c>
      <c r="R19" s="1508" t="s">
        <v>8</v>
      </c>
      <c r="S19" s="1509">
        <f>F19</f>
        <v>100</v>
      </c>
      <c r="T19" s="1508" t="s">
        <v>8</v>
      </c>
      <c r="U19" s="1509">
        <f>H19</f>
        <v>100</v>
      </c>
      <c r="V19" s="1508" t="s">
        <v>8</v>
      </c>
      <c r="W19" s="1509">
        <f>J19</f>
        <v>100</v>
      </c>
      <c r="X19" s="1502"/>
      <c r="Y19" s="3508"/>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08"/>
      <c r="Q20" s="1507"/>
      <c r="R20" s="1508"/>
      <c r="S20" s="1509"/>
      <c r="T20" s="1508"/>
      <c r="U20" s="1509"/>
      <c r="V20" s="1508"/>
      <c r="W20" s="1509"/>
      <c r="X20" s="1502"/>
      <c r="Y20" s="3508"/>
      <c r="Z20" s="1510"/>
      <c r="AA20" s="1511">
        <v>1</v>
      </c>
      <c r="AB20" s="1511">
        <v>1</v>
      </c>
      <c r="AC20" s="1511">
        <v>1</v>
      </c>
    </row>
    <row r="21" spans="1:29" ht="15">
      <c r="A21" s="526"/>
      <c r="B21" s="2436" t="s">
        <v>2539</v>
      </c>
      <c r="C21" s="567" t="str">
        <f>估价对象房地状况!C8</f>
        <v>七通</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08"/>
      <c r="Q21" s="2430" t="str">
        <f>B21</f>
        <v>基础设施水平</v>
      </c>
      <c r="R21" s="1508" t="s">
        <v>8</v>
      </c>
      <c r="S21" s="1509">
        <f>F21</f>
        <v>100</v>
      </c>
      <c r="T21" s="1508" t="s">
        <v>8</v>
      </c>
      <c r="U21" s="1509">
        <f>H21</f>
        <v>100</v>
      </c>
      <c r="V21" s="1508" t="s">
        <v>8</v>
      </c>
      <c r="W21" s="1509">
        <f>J21</f>
        <v>100</v>
      </c>
      <c r="X21" s="2432"/>
      <c r="Y21" s="3508"/>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508"/>
      <c r="Q22" s="2430"/>
      <c r="R22" s="1508"/>
      <c r="S22" s="1509"/>
      <c r="T22" s="1508"/>
      <c r="U22" s="1509"/>
      <c r="V22" s="1508"/>
      <c r="W22" s="1509"/>
      <c r="X22" s="2432"/>
      <c r="Y22" s="3508"/>
      <c r="Z22" s="2431"/>
      <c r="AA22" s="1511">
        <v>1</v>
      </c>
      <c r="AB22" s="1511">
        <v>1</v>
      </c>
      <c r="AC22" s="1511">
        <v>1</v>
      </c>
    </row>
    <row r="23" spans="1:29" ht="15">
      <c r="A23" s="526"/>
      <c r="B23" s="554" t="s">
        <v>772</v>
      </c>
      <c r="C23" s="567" t="str">
        <f>估价对象房地状况!C9</f>
        <v>较好</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08"/>
      <c r="Q23" s="1507" t="str">
        <f>B23</f>
        <v>环境质量</v>
      </c>
      <c r="R23" s="1508" t="s">
        <v>8</v>
      </c>
      <c r="S23" s="1509">
        <f>F23</f>
        <v>100</v>
      </c>
      <c r="T23" s="1508" t="s">
        <v>8</v>
      </c>
      <c r="U23" s="1509">
        <f>H23</f>
        <v>100</v>
      </c>
      <c r="V23" s="1508" t="s">
        <v>8</v>
      </c>
      <c r="W23" s="1509">
        <f>J23</f>
        <v>100</v>
      </c>
      <c r="X23" s="1502"/>
      <c r="Y23" s="3508"/>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08"/>
      <c r="Q24" s="1507"/>
      <c r="R24" s="1508"/>
      <c r="S24" s="1509"/>
      <c r="T24" s="1508"/>
      <c r="U24" s="1509"/>
      <c r="V24" s="1508"/>
      <c r="W24" s="1509"/>
      <c r="X24" s="1502"/>
      <c r="Y24" s="3508"/>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08"/>
      <c r="Q25" s="1507" t="str">
        <f>B25</f>
        <v>毗邻道路的类型与等级</v>
      </c>
      <c r="R25" s="1508" t="s">
        <v>8</v>
      </c>
      <c r="S25" s="1509">
        <f>F25</f>
        <v>100</v>
      </c>
      <c r="T25" s="1508" t="s">
        <v>8</v>
      </c>
      <c r="U25" s="1509">
        <f>H25</f>
        <v>100</v>
      </c>
      <c r="V25" s="1508" t="s">
        <v>8</v>
      </c>
      <c r="W25" s="1509">
        <f>J25</f>
        <v>100</v>
      </c>
      <c r="X25" s="1502"/>
      <c r="Y25" s="3508"/>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08"/>
      <c r="Q26" s="1507"/>
      <c r="R26" s="1508"/>
      <c r="S26" s="1509"/>
      <c r="T26" s="1508"/>
      <c r="U26" s="1509"/>
      <c r="V26" s="1508"/>
      <c r="W26" s="1509"/>
      <c r="X26" s="1502"/>
      <c r="Y26" s="3508"/>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08"/>
      <c r="Q27" s="1507" t="str">
        <f t="shared" ref="Q27:Q47" si="11">B27</f>
        <v>楼层</v>
      </c>
      <c r="R27" s="1508" t="s">
        <v>8</v>
      </c>
      <c r="S27" s="1509">
        <f>F27</f>
        <v>100</v>
      </c>
      <c r="T27" s="1508" t="s">
        <v>8</v>
      </c>
      <c r="U27" s="1509">
        <f>H27</f>
        <v>100</v>
      </c>
      <c r="V27" s="1508" t="s">
        <v>8</v>
      </c>
      <c r="W27" s="1509">
        <f>J27</f>
        <v>100</v>
      </c>
      <c r="X27" s="1502"/>
      <c r="Y27" s="3508"/>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08"/>
      <c r="Q28" s="1134" t="str">
        <f t="shared" si="11"/>
        <v>朝向</v>
      </c>
      <c r="R28" s="1503" t="s">
        <v>8</v>
      </c>
      <c r="S28" s="1504">
        <f>F28</f>
        <v>100</v>
      </c>
      <c r="T28" s="1503" t="s">
        <v>8</v>
      </c>
      <c r="U28" s="1504">
        <f>H28</f>
        <v>100</v>
      </c>
      <c r="V28" s="1503" t="s">
        <v>8</v>
      </c>
      <c r="W28" s="1504">
        <f>J28</f>
        <v>100</v>
      </c>
      <c r="X28" s="1505"/>
      <c r="Y28" s="3508"/>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08"/>
      <c r="Q29" s="1507">
        <f t="shared" si="11"/>
        <v>111</v>
      </c>
      <c r="R29" s="1508" t="s">
        <v>8</v>
      </c>
      <c r="S29" s="1509">
        <f t="shared" ref="S29:S47" si="12">F29</f>
        <v>100</v>
      </c>
      <c r="T29" s="1508" t="s">
        <v>8</v>
      </c>
      <c r="U29" s="1509">
        <f t="shared" ref="U29:U47" si="13">H29</f>
        <v>100</v>
      </c>
      <c r="V29" s="1508" t="s">
        <v>8</v>
      </c>
      <c r="W29" s="1509">
        <f t="shared" ref="W29:W47" si="14">J29</f>
        <v>100</v>
      </c>
      <c r="X29" s="1502"/>
      <c r="Y29" s="3508"/>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08"/>
      <c r="Q30" s="1507">
        <f t="shared" si="11"/>
        <v>111</v>
      </c>
      <c r="R30" s="1508" t="s">
        <v>8</v>
      </c>
      <c r="S30" s="1509">
        <f t="shared" si="12"/>
        <v>100</v>
      </c>
      <c r="T30" s="1508" t="s">
        <v>8</v>
      </c>
      <c r="U30" s="1509">
        <f t="shared" si="13"/>
        <v>100</v>
      </c>
      <c r="V30" s="1508" t="s">
        <v>8</v>
      </c>
      <c r="W30" s="1509">
        <f t="shared" si="14"/>
        <v>100</v>
      </c>
      <c r="X30" s="1502"/>
      <c r="Y30" s="3508"/>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08"/>
      <c r="Q31" s="1507">
        <f t="shared" si="11"/>
        <v>111</v>
      </c>
      <c r="R31" s="1508" t="s">
        <v>8</v>
      </c>
      <c r="S31" s="1509">
        <f t="shared" si="12"/>
        <v>100</v>
      </c>
      <c r="T31" s="1508" t="s">
        <v>8</v>
      </c>
      <c r="U31" s="1509">
        <f t="shared" si="13"/>
        <v>100</v>
      </c>
      <c r="V31" s="1508" t="s">
        <v>8</v>
      </c>
      <c r="W31" s="1509">
        <f t="shared" si="14"/>
        <v>100</v>
      </c>
      <c r="X31" s="1502"/>
      <c r="Y31" s="3508"/>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08"/>
      <c r="Q32" s="1507">
        <f t="shared" si="11"/>
        <v>111</v>
      </c>
      <c r="R32" s="1508" t="s">
        <v>8</v>
      </c>
      <c r="S32" s="1509">
        <f t="shared" si="12"/>
        <v>100</v>
      </c>
      <c r="T32" s="1508" t="s">
        <v>8</v>
      </c>
      <c r="U32" s="1509">
        <f t="shared" si="13"/>
        <v>100</v>
      </c>
      <c r="V32" s="1508" t="s">
        <v>8</v>
      </c>
      <c r="W32" s="1509">
        <f t="shared" si="14"/>
        <v>100</v>
      </c>
      <c r="X32" s="1502"/>
      <c r="Y32" s="3508"/>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09" t="s">
        <v>544</v>
      </c>
      <c r="Q33" s="1507" t="str">
        <f t="shared" si="11"/>
        <v>建筑类型</v>
      </c>
      <c r="R33" s="1508" t="s">
        <v>8</v>
      </c>
      <c r="S33" s="1509">
        <f t="shared" si="12"/>
        <v>100</v>
      </c>
      <c r="T33" s="1508" t="s">
        <v>8</v>
      </c>
      <c r="U33" s="1509">
        <f t="shared" si="13"/>
        <v>100</v>
      </c>
      <c r="V33" s="1508" t="s">
        <v>8</v>
      </c>
      <c r="W33" s="1509">
        <f t="shared" si="14"/>
        <v>100</v>
      </c>
      <c r="X33" s="1502"/>
      <c r="Y33" s="3510"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10"/>
      <c r="Q34" s="1536" t="str">
        <f t="shared" si="11"/>
        <v>项目建筑规模</v>
      </c>
      <c r="R34" s="1512" t="s">
        <v>8</v>
      </c>
      <c r="S34" s="1513" t="e">
        <f t="shared" si="12"/>
        <v>#N/A</v>
      </c>
      <c r="T34" s="1512" t="s">
        <v>8</v>
      </c>
      <c r="U34" s="1513" t="e">
        <f t="shared" si="13"/>
        <v>#N/A</v>
      </c>
      <c r="V34" s="1512" t="s">
        <v>8</v>
      </c>
      <c r="W34" s="1513" t="e">
        <f t="shared" si="14"/>
        <v>#N/A</v>
      </c>
      <c r="X34" s="1514"/>
      <c r="Y34" s="3510"/>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10"/>
      <c r="Q35" s="1507" t="str">
        <f t="shared" si="11"/>
        <v>建筑结构</v>
      </c>
      <c r="R35" s="1508" t="s">
        <v>8</v>
      </c>
      <c r="S35" s="1509">
        <f t="shared" si="12"/>
        <v>100</v>
      </c>
      <c r="T35" s="1508" t="s">
        <v>8</v>
      </c>
      <c r="U35" s="1509">
        <f t="shared" si="13"/>
        <v>100</v>
      </c>
      <c r="V35" s="1508" t="s">
        <v>8</v>
      </c>
      <c r="W35" s="1509">
        <f t="shared" si="14"/>
        <v>100</v>
      </c>
      <c r="X35" s="1502"/>
      <c r="Y35" s="3510"/>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10"/>
      <c r="Q36" s="1507" t="str">
        <f t="shared" si="11"/>
        <v>公共部分装修</v>
      </c>
      <c r="R36" s="1508" t="s">
        <v>8</v>
      </c>
      <c r="S36" s="1509">
        <f t="shared" si="12"/>
        <v>100</v>
      </c>
      <c r="T36" s="1508" t="s">
        <v>8</v>
      </c>
      <c r="U36" s="1509">
        <f t="shared" si="13"/>
        <v>100</v>
      </c>
      <c r="V36" s="1508" t="s">
        <v>8</v>
      </c>
      <c r="W36" s="1509">
        <f t="shared" si="14"/>
        <v>100</v>
      </c>
      <c r="X36" s="1502"/>
      <c r="Y36" s="3510"/>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10"/>
      <c r="Q37" s="1507" t="str">
        <f t="shared" si="11"/>
        <v>成新度</v>
      </c>
      <c r="R37" s="1508" t="s">
        <v>8</v>
      </c>
      <c r="S37" s="1509" t="e">
        <f t="shared" si="12"/>
        <v>#N/A</v>
      </c>
      <c r="T37" s="1508" t="s">
        <v>8</v>
      </c>
      <c r="U37" s="1509" t="e">
        <f t="shared" si="13"/>
        <v>#N/A</v>
      </c>
      <c r="V37" s="1508" t="s">
        <v>8</v>
      </c>
      <c r="W37" s="1509" t="e">
        <f t="shared" si="14"/>
        <v>#N/A</v>
      </c>
      <c r="X37" s="1502"/>
      <c r="Y37" s="3510"/>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10"/>
      <c r="Q38" s="1134" t="str">
        <f t="shared" si="11"/>
        <v>写字楼等级</v>
      </c>
      <c r="R38" s="1503" t="s">
        <v>8</v>
      </c>
      <c r="S38" s="1504">
        <f t="shared" si="12"/>
        <v>100</v>
      </c>
      <c r="T38" s="1503" t="s">
        <v>8</v>
      </c>
      <c r="U38" s="1504">
        <f t="shared" si="13"/>
        <v>100</v>
      </c>
      <c r="V38" s="1503" t="s">
        <v>8</v>
      </c>
      <c r="W38" s="1504">
        <f t="shared" si="14"/>
        <v>100</v>
      </c>
      <c r="X38" s="1505"/>
      <c r="Y38" s="3510"/>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10" t="s">
        <v>544</v>
      </c>
      <c r="Q39" s="1507" t="str">
        <f t="shared" si="11"/>
        <v>物业管理</v>
      </c>
      <c r="R39" s="1508" t="s">
        <v>8</v>
      </c>
      <c r="S39" s="1509">
        <f t="shared" si="12"/>
        <v>100</v>
      </c>
      <c r="T39" s="1508" t="s">
        <v>8</v>
      </c>
      <c r="U39" s="1509">
        <f t="shared" si="13"/>
        <v>100</v>
      </c>
      <c r="V39" s="1508" t="s">
        <v>8</v>
      </c>
      <c r="W39" s="1509">
        <f t="shared" si="14"/>
        <v>100</v>
      </c>
      <c r="X39" s="1502"/>
      <c r="Y39" s="3510"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10"/>
      <c r="Q40" s="1507" t="str">
        <f t="shared" si="11"/>
        <v>市政基础设施</v>
      </c>
      <c r="R40" s="1508" t="s">
        <v>8</v>
      </c>
      <c r="S40" s="1509">
        <f t="shared" si="12"/>
        <v>100</v>
      </c>
      <c r="T40" s="1508" t="s">
        <v>8</v>
      </c>
      <c r="U40" s="1509">
        <f t="shared" si="13"/>
        <v>100</v>
      </c>
      <c r="V40" s="1508" t="s">
        <v>8</v>
      </c>
      <c r="W40" s="1509">
        <f t="shared" si="14"/>
        <v>100</v>
      </c>
      <c r="X40" s="1502"/>
      <c r="Y40" s="3510"/>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10"/>
      <c r="Q41" s="1507" t="str">
        <f t="shared" si="11"/>
        <v>层高</v>
      </c>
      <c r="R41" s="1508" t="s">
        <v>8</v>
      </c>
      <c r="S41" s="1509">
        <f t="shared" si="12"/>
        <v>100</v>
      </c>
      <c r="T41" s="1508" t="s">
        <v>8</v>
      </c>
      <c r="U41" s="1509">
        <f t="shared" si="13"/>
        <v>100</v>
      </c>
      <c r="V41" s="1508" t="s">
        <v>8</v>
      </c>
      <c r="W41" s="1509">
        <f t="shared" si="14"/>
        <v>100</v>
      </c>
      <c r="X41" s="1502"/>
      <c r="Y41" s="3510"/>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10"/>
      <c r="Q42" s="1536" t="str">
        <f t="shared" si="11"/>
        <v>单套建筑面积</v>
      </c>
      <c r="R42" s="1512" t="s">
        <v>8</v>
      </c>
      <c r="S42" s="1513">
        <f t="shared" si="12"/>
        <v>100</v>
      </c>
      <c r="T42" s="1512" t="s">
        <v>8</v>
      </c>
      <c r="U42" s="1513">
        <f t="shared" si="13"/>
        <v>100</v>
      </c>
      <c r="V42" s="1512" t="s">
        <v>8</v>
      </c>
      <c r="W42" s="1513">
        <f t="shared" si="14"/>
        <v>100</v>
      </c>
      <c r="X42" s="1514"/>
      <c r="Y42" s="3510"/>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10"/>
      <c r="Q43" s="1507" t="str">
        <f t="shared" si="11"/>
        <v>内部装修</v>
      </c>
      <c r="R43" s="1508" t="s">
        <v>8</v>
      </c>
      <c r="S43" s="1509">
        <f t="shared" si="12"/>
        <v>100</v>
      </c>
      <c r="T43" s="1508" t="s">
        <v>8</v>
      </c>
      <c r="U43" s="1509">
        <f t="shared" si="13"/>
        <v>100</v>
      </c>
      <c r="V43" s="1508" t="s">
        <v>8</v>
      </c>
      <c r="W43" s="1509">
        <f t="shared" si="14"/>
        <v>100</v>
      </c>
      <c r="X43" s="1502"/>
      <c r="Y43" s="3510"/>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10"/>
      <c r="Q44" s="1507" t="str">
        <f t="shared" si="11"/>
        <v>内部装修维护情况</v>
      </c>
      <c r="R44" s="1508" t="s">
        <v>8</v>
      </c>
      <c r="S44" s="1509">
        <f t="shared" si="12"/>
        <v>100</v>
      </c>
      <c r="T44" s="1508" t="s">
        <v>8</v>
      </c>
      <c r="U44" s="1509">
        <f t="shared" si="13"/>
        <v>100</v>
      </c>
      <c r="V44" s="1508" t="s">
        <v>8</v>
      </c>
      <c r="W44" s="1509">
        <f t="shared" si="14"/>
        <v>100</v>
      </c>
      <c r="X44" s="1502"/>
      <c r="Y44" s="3510"/>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10"/>
      <c r="Q45" s="1134">
        <f t="shared" si="11"/>
        <v>111</v>
      </c>
      <c r="R45" s="1503" t="s">
        <v>8</v>
      </c>
      <c r="S45" s="1504">
        <f t="shared" si="12"/>
        <v>100</v>
      </c>
      <c r="T45" s="1503" t="s">
        <v>8</v>
      </c>
      <c r="U45" s="1504">
        <f t="shared" si="13"/>
        <v>100</v>
      </c>
      <c r="V45" s="1503" t="s">
        <v>8</v>
      </c>
      <c r="W45" s="1504">
        <f t="shared" si="14"/>
        <v>100</v>
      </c>
      <c r="X45" s="1505"/>
      <c r="Y45" s="3510"/>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10"/>
      <c r="Q46" s="1507">
        <f t="shared" si="11"/>
        <v>111</v>
      </c>
      <c r="R46" s="1508" t="s">
        <v>8</v>
      </c>
      <c r="S46" s="1509">
        <f t="shared" si="12"/>
        <v>100</v>
      </c>
      <c r="T46" s="1508" t="s">
        <v>8</v>
      </c>
      <c r="U46" s="1509">
        <f t="shared" si="13"/>
        <v>100</v>
      </c>
      <c r="V46" s="1508" t="s">
        <v>8</v>
      </c>
      <c r="W46" s="1509">
        <f t="shared" si="14"/>
        <v>100</v>
      </c>
      <c r="X46" s="1502"/>
      <c r="Y46" s="3510"/>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69"/>
      <c r="Q47" s="1507">
        <f t="shared" si="11"/>
        <v>111</v>
      </c>
      <c r="R47" s="1508" t="s">
        <v>8</v>
      </c>
      <c r="S47" s="1509">
        <f t="shared" si="12"/>
        <v>100</v>
      </c>
      <c r="T47" s="1508" t="s">
        <v>8</v>
      </c>
      <c r="U47" s="1509">
        <f t="shared" si="13"/>
        <v>100</v>
      </c>
      <c r="V47" s="1508" t="s">
        <v>8</v>
      </c>
      <c r="W47" s="1509">
        <f t="shared" si="14"/>
        <v>100</v>
      </c>
      <c r="X47" s="1502"/>
      <c r="Y47" s="3569"/>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71" t="str">
        <f>A48</f>
        <v>成交单价（元/平方米）</v>
      </c>
      <c r="Q48" s="3473"/>
      <c r="R48" s="3568">
        <f>E48</f>
        <v>0</v>
      </c>
      <c r="S48" s="3568"/>
      <c r="T48" s="3568">
        <f>G48</f>
        <v>0</v>
      </c>
      <c r="U48" s="3568"/>
      <c r="V48" s="3568">
        <f>I48</f>
        <v>0</v>
      </c>
      <c r="W48" s="3568"/>
      <c r="X48" s="1497"/>
      <c r="Y48" s="1516"/>
      <c r="Z48" s="1497"/>
      <c r="AA48" s="1497"/>
      <c r="AB48" s="1497"/>
      <c r="AC48" s="1497"/>
    </row>
    <row r="49" spans="1:29" ht="15.75" thickBot="1">
      <c r="A49" s="609" t="s">
        <v>2740</v>
      </c>
      <c r="B49" s="877"/>
      <c r="C49" s="2477" t="e">
        <f>R50</f>
        <v>#DIV/0!</v>
      </c>
      <c r="D49" s="3015" t="s">
        <v>2959</v>
      </c>
      <c r="E49" s="2478" t="e">
        <f>R49</f>
        <v>#DIV/0!</v>
      </c>
      <c r="F49" s="3016"/>
      <c r="G49" s="2477" t="e">
        <f>T49</f>
        <v>#DIV/0!</v>
      </c>
      <c r="H49" s="3016"/>
      <c r="I49" s="2478" t="e">
        <f>V49</f>
        <v>#DIV/0!</v>
      </c>
      <c r="J49" s="3016"/>
      <c r="K49" s="3024">
        <f>F49+H49+J49</f>
        <v>0</v>
      </c>
      <c r="L49" s="2027"/>
      <c r="M49" s="2017"/>
      <c r="N49" s="2017"/>
      <c r="O49" s="2017"/>
      <c r="P49" s="3471" t="str">
        <f>A49</f>
        <v>比较价格（元/平方米）</v>
      </c>
      <c r="Q49" s="3473"/>
      <c r="R49" s="3568" t="e">
        <f>IF(F1="售价",ROUND(PRODUCT(R48,AA7:AA47),0),ROUND(PRODUCT(R48,AA7:AA47),1))</f>
        <v>#DIV/0!</v>
      </c>
      <c r="S49" s="3568"/>
      <c r="T49" s="3568" t="e">
        <f>IF(F1="售价",ROUND(PRODUCT(T48,AB7:AB47),0),ROUND(PRODUCT(T48,AB7:AB47),1))</f>
        <v>#DIV/0!</v>
      </c>
      <c r="U49" s="3568"/>
      <c r="V49" s="3568" t="e">
        <f>IF(F1="售价",ROUND(PRODUCT(V48,AC7:AC47),0),ROUND(PRODUCT(V48,AC7:AC47),1))</f>
        <v>#DIV/0!</v>
      </c>
      <c r="W49" s="3568"/>
      <c r="X49" s="1497"/>
      <c r="Y49" s="1497"/>
      <c r="Z49" s="1497"/>
      <c r="AA49" s="1497"/>
      <c r="AB49" s="1497"/>
      <c r="AC49" s="1497"/>
    </row>
    <row r="50" spans="1:29" ht="15.75" thickBot="1">
      <c r="A50" s="613" t="s">
        <v>2890</v>
      </c>
      <c r="B50" s="614"/>
      <c r="C50" s="2479" t="e">
        <f>R50</f>
        <v>#DIV/0!</v>
      </c>
      <c r="D50" s="2479"/>
      <c r="E50" s="2479"/>
      <c r="F50" s="2479"/>
      <c r="G50" s="2479"/>
      <c r="H50" s="2479"/>
      <c r="I50" s="2479"/>
      <c r="J50" s="2479"/>
      <c r="K50" s="1542"/>
      <c r="L50" s="2027"/>
      <c r="M50" s="2017"/>
      <c r="N50" s="2017"/>
      <c r="O50" s="2017"/>
      <c r="P50" s="3595" t="str">
        <f>A50</f>
        <v>估价对象XX用房的比较价格（楼面单价，元/平方米）</v>
      </c>
      <c r="Q50" s="3471"/>
      <c r="R50" s="3567" t="e">
        <f>IF(F1="售价",ROUND(IF(D49="简单平均",AVERAGE(R49:V49),R49*F49+T49*H49+V49*J49),0),ROUND(IF(D49="简单平均",AVERAGE(R49:V49),R49*F49+T49*H49+V49*J49),1))</f>
        <v>#DIV/0!</v>
      </c>
      <c r="S50" s="3567"/>
      <c r="T50" s="3567"/>
      <c r="U50" s="3567"/>
      <c r="V50" s="3567"/>
      <c r="W50" s="3567"/>
      <c r="X50" s="1497"/>
      <c r="Y50" s="1497"/>
      <c r="Z50" s="1497"/>
      <c r="AA50" s="1497"/>
      <c r="AB50" s="1497"/>
      <c r="AC50" s="1497"/>
    </row>
    <row r="51" spans="1:29">
      <c r="A51" s="3214"/>
      <c r="B51" s="3214"/>
      <c r="C51" s="3214"/>
      <c r="D51" s="3214"/>
      <c r="E51" s="3214"/>
      <c r="F51" s="3214"/>
      <c r="G51" s="3216"/>
      <c r="H51" s="3214"/>
      <c r="I51" s="3214"/>
      <c r="J51" s="3214"/>
      <c r="K51" s="3217"/>
      <c r="L51" s="2032"/>
      <c r="M51" s="2028"/>
      <c r="N51" s="2028"/>
      <c r="O51" s="2028"/>
      <c r="P51" s="2089"/>
      <c r="Q51" s="2028"/>
      <c r="R51" s="2028"/>
      <c r="S51" s="2028"/>
      <c r="T51" s="2028"/>
      <c r="U51" s="2028"/>
      <c r="V51" s="2028"/>
      <c r="W51" s="2028"/>
      <c r="X51" s="2028"/>
      <c r="Y51" s="2028"/>
      <c r="Z51" s="2028"/>
      <c r="AA51" s="2028"/>
      <c r="AB51" s="2028"/>
      <c r="AC51" s="2028"/>
    </row>
    <row r="52" spans="1:29">
      <c r="A52" s="3214"/>
      <c r="B52" s="3214"/>
      <c r="C52" s="3214"/>
      <c r="D52" s="3214"/>
      <c r="E52" s="3214"/>
      <c r="F52" s="3214"/>
      <c r="G52" s="3214"/>
      <c r="H52" s="3214"/>
      <c r="I52" s="3214"/>
      <c r="J52" s="3214"/>
      <c r="K52" s="3217"/>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2020-8</v>
      </c>
      <c r="D59" s="2522">
        <f>EDATE(C59,-1)</f>
        <v>44013</v>
      </c>
      <c r="E59" s="2522">
        <f t="shared" ref="E59:O59" si="16">EDATE(D59,-1)</f>
        <v>43983</v>
      </c>
      <c r="F59" s="2522">
        <f t="shared" si="16"/>
        <v>43952</v>
      </c>
      <c r="G59" s="2522">
        <f t="shared" si="16"/>
        <v>43922</v>
      </c>
      <c r="H59" s="2522">
        <f t="shared" si="16"/>
        <v>43891</v>
      </c>
      <c r="I59" s="2522">
        <f t="shared" si="16"/>
        <v>43862</v>
      </c>
      <c r="J59" s="2522">
        <f t="shared" si="16"/>
        <v>43831</v>
      </c>
      <c r="K59" s="2522">
        <f t="shared" si="16"/>
        <v>43800</v>
      </c>
      <c r="L59" s="2522">
        <f t="shared" si="16"/>
        <v>43770</v>
      </c>
      <c r="M59" s="2522">
        <f t="shared" si="16"/>
        <v>43739</v>
      </c>
      <c r="N59" s="2522">
        <f t="shared" si="16"/>
        <v>43709</v>
      </c>
      <c r="O59" s="2522">
        <f t="shared" si="16"/>
        <v>43678</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1" priority="19" stopIfTrue="1" operator="containsText" text="超过">
      <formula>NOT(ISERROR(SEARCH("超过",F53)))</formula>
    </cfRule>
  </conditionalFormatting>
  <conditionalFormatting sqref="H55">
    <cfRule type="containsText" dxfId="70" priority="18" stopIfTrue="1" operator="containsText" text="超过">
      <formula>NOT(ISERROR(SEARCH("超过",H55)))</formula>
    </cfRule>
  </conditionalFormatting>
  <conditionalFormatting sqref="F55">
    <cfRule type="containsText" dxfId="69" priority="17" stopIfTrue="1" operator="containsText" text="超过">
      <formula>NOT(ISERROR(SEARCH("超过",F55)))</formula>
    </cfRule>
  </conditionalFormatting>
  <conditionalFormatting sqref="F54 H54">
    <cfRule type="containsText" dxfId="68" priority="16" stopIfTrue="1" operator="containsText" text="超过">
      <formula>NOT(ISERROR(SEARCH("超过",F54)))</formula>
    </cfRule>
  </conditionalFormatting>
  <conditionalFormatting sqref="E53">
    <cfRule type="expression" dxfId="67" priority="15" stopIfTrue="1">
      <formula>$F$53="超过30%"</formula>
    </cfRule>
  </conditionalFormatting>
  <conditionalFormatting sqref="E54">
    <cfRule type="expression" dxfId="66" priority="14" stopIfTrue="1">
      <formula>$F$54="超过20%"</formula>
    </cfRule>
  </conditionalFormatting>
  <conditionalFormatting sqref="E55">
    <cfRule type="expression" dxfId="65" priority="13" stopIfTrue="1">
      <formula>$F$55="超过30%"</formula>
    </cfRule>
  </conditionalFormatting>
  <conditionalFormatting sqref="G55">
    <cfRule type="expression" dxfId="64" priority="12" stopIfTrue="1">
      <formula>$H$55="超过30%"</formula>
    </cfRule>
  </conditionalFormatting>
  <conditionalFormatting sqref="G53">
    <cfRule type="expression" dxfId="63" priority="11" stopIfTrue="1">
      <formula>$H$53="超过30%"</formula>
    </cfRule>
  </conditionalFormatting>
  <conditionalFormatting sqref="G54">
    <cfRule type="expression" dxfId="62" priority="10" stopIfTrue="1">
      <formula>$H$54="超过20%"</formula>
    </cfRule>
  </conditionalFormatting>
  <conditionalFormatting sqref="J53">
    <cfRule type="containsText" dxfId="61" priority="9" stopIfTrue="1" operator="containsText" text="超过">
      <formula>NOT(ISERROR(SEARCH("超过",J53)))</formula>
    </cfRule>
  </conditionalFormatting>
  <conditionalFormatting sqref="J55">
    <cfRule type="containsText" dxfId="60" priority="8" stopIfTrue="1" operator="containsText" text="超过">
      <formula>NOT(ISERROR(SEARCH("超过",J55)))</formula>
    </cfRule>
  </conditionalFormatting>
  <conditionalFormatting sqref="J54">
    <cfRule type="containsText" dxfId="59" priority="7" stopIfTrue="1" operator="containsText" text="超过">
      <formula>NOT(ISERROR(SEARCH("超过",J54)))</formula>
    </cfRule>
  </conditionalFormatting>
  <conditionalFormatting sqref="I53">
    <cfRule type="expression" dxfId="58" priority="6" stopIfTrue="1">
      <formula>$J$53="超过30%"</formula>
    </cfRule>
  </conditionalFormatting>
  <conditionalFormatting sqref="I54">
    <cfRule type="expression" dxfId="57" priority="5" stopIfTrue="1">
      <formula>$J$53+$J$54="超过20%"</formula>
    </cfRule>
  </conditionalFormatting>
  <conditionalFormatting sqref="I55">
    <cfRule type="expression" dxfId="56" priority="4" stopIfTrue="1">
      <formula>$J$55="超过30%"</formula>
    </cfRule>
  </conditionalFormatting>
  <conditionalFormatting sqref="F49">
    <cfRule type="expression" dxfId="55" priority="3">
      <formula>$D$49="简单平均"</formula>
    </cfRule>
  </conditionalFormatting>
  <conditionalFormatting sqref="H49">
    <cfRule type="expression" dxfId="54" priority="2">
      <formula>$D$49="简单平均"</formula>
    </cfRule>
  </conditionalFormatting>
  <conditionalFormatting sqref="J49">
    <cfRule type="expression" dxfId="53" priority="1">
      <formula>$D$49="简单平均"</formula>
    </cfRule>
  </conditionalFormatting>
  <dataValidations count="23">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D49" xr:uid="{00000000-0002-0000-22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56.2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估价对象为使用的、位于出让国有建设用地使用权。根据，估价对象（分摊）出让国有建设用地使用权面积为74233.12平方米。根据，估价对象规划建筑面积为74233.12平方米。</v>
      </c>
    </row>
    <row r="7" spans="1:4" ht="93.75">
      <c r="A7" s="2591" t="s">
        <v>2728</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2014</v>
      </c>
    </row>
    <row r="11" spans="1:4" ht="18.75">
      <c r="A11" s="1696" t="str">
        <f>TEXT(项目基本情况!D3,"yyyy年m月d日;;")&amp;IF(项目基本情况!B3=项目基本情况!D3,"（评估专业人员勘察现场之日）","")</f>
        <v>2020年8月27日（评估专业人员勘察现场之日）</v>
      </c>
    </row>
    <row r="12" spans="1:4" ht="18.75">
      <c r="A12" s="1713" t="s">
        <v>2013</v>
      </c>
    </row>
    <row r="13" spans="1:4" ht="18.75">
      <c r="A13" s="1707" t="s">
        <v>2059</v>
      </c>
    </row>
    <row r="14" spans="1:4" ht="18.75">
      <c r="A14" s="1707" t="str">
        <f>"根据"&amp;项目基本情况!F12&amp;"，本次评估估价对象证载（地类）用途为"&amp;项目基本情况!B12&amp;"。"</f>
        <v>根据，本次评估估价对象证载（地类）用途为。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2060</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2061</v>
      </c>
    </row>
    <row r="20" spans="1:1" ht="37.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根据，估价对象（分摊）出让国有建设用地使用权面积为74233.12平方米。根据，估价对象规划建筑面积为74233.12平方米。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2062</v>
      </c>
    </row>
    <row r="23" spans="1:1" ht="18.75">
      <c r="A23" s="2593" t="s">
        <v>2729</v>
      </c>
    </row>
    <row r="24" spans="1:1" ht="18.75">
      <c r="A24" s="1707" t="s">
        <v>2063</v>
      </c>
    </row>
    <row r="25" spans="1:1" ht="75">
      <c r="A25" s="1707" t="str">
        <f>定义!C53</f>
        <v>本次估价的“出让国有建设用地使用权价格”是指在估价对象土地所有权为国家所有，使用权性质为出让，在公开市场条件下、于估价期日2020年8月27日，在规划利用条件下、设定土地开发程度为红线外“七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2015</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view="pageBreakPreview" zoomScale="60" zoomScaleNormal="60" workbookViewId="0">
      <selection activeCell="M32" sqref="M3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515</v>
      </c>
      <c r="B4" s="507"/>
      <c r="C4" s="3479" t="s">
        <v>516</v>
      </c>
      <c r="D4" s="3480"/>
      <c r="E4" s="3513" t="s">
        <v>517</v>
      </c>
      <c r="F4" s="3514"/>
      <c r="G4" s="3479" t="s">
        <v>518</v>
      </c>
      <c r="H4" s="3480"/>
      <c r="I4" s="3479" t="s">
        <v>519</v>
      </c>
      <c r="J4" s="3480"/>
      <c r="K4" s="508" t="s">
        <v>520</v>
      </c>
      <c r="L4" s="2016"/>
      <c r="M4" s="2017"/>
      <c r="N4" s="2017"/>
      <c r="O4" s="2017"/>
      <c r="P4" s="3481" t="s">
        <v>521</v>
      </c>
      <c r="Q4" s="3482"/>
      <c r="R4" s="3487" t="s">
        <v>517</v>
      </c>
      <c r="S4" s="3488"/>
      <c r="T4" s="3487" t="s">
        <v>518</v>
      </c>
      <c r="U4" s="3488"/>
      <c r="V4" s="3474" t="s">
        <v>519</v>
      </c>
      <c r="W4" s="3474"/>
      <c r="X4" s="1502"/>
      <c r="Y4" s="3487" t="s">
        <v>521</v>
      </c>
      <c r="Z4" s="3488"/>
      <c r="AA4" s="3476" t="s">
        <v>517</v>
      </c>
      <c r="AB4" s="3477" t="s">
        <v>518</v>
      </c>
      <c r="AC4" s="3476" t="s">
        <v>519</v>
      </c>
    </row>
    <row r="5" spans="1:29" ht="15">
      <c r="A5" s="509"/>
      <c r="B5" s="510"/>
      <c r="C5" s="3495" t="s">
        <v>2884</v>
      </c>
      <c r="D5" s="3496"/>
      <c r="E5" s="3515" t="s">
        <v>2885</v>
      </c>
      <c r="F5" s="3516"/>
      <c r="G5" s="3495" t="s">
        <v>2886</v>
      </c>
      <c r="H5" s="3496"/>
      <c r="I5" s="3495" t="s">
        <v>2887</v>
      </c>
      <c r="J5" s="3496"/>
      <c r="K5" s="508"/>
      <c r="L5" s="2016"/>
      <c r="M5" s="2017"/>
      <c r="N5" s="2017"/>
      <c r="O5" s="2017"/>
      <c r="P5" s="3483"/>
      <c r="Q5" s="3484"/>
      <c r="R5" s="3489"/>
      <c r="S5" s="3490"/>
      <c r="T5" s="3489"/>
      <c r="U5" s="3490"/>
      <c r="V5" s="3474"/>
      <c r="W5" s="3474"/>
      <c r="X5" s="1502"/>
      <c r="Y5" s="3489"/>
      <c r="Z5" s="3490"/>
      <c r="AA5" s="3477"/>
      <c r="AB5" s="3477"/>
      <c r="AC5" s="3477"/>
    </row>
    <row r="6" spans="1:29" ht="15.75" thickBot="1">
      <c r="A6" s="511"/>
      <c r="B6" s="512"/>
      <c r="C6" s="3493" t="s">
        <v>2888</v>
      </c>
      <c r="D6" s="3494"/>
      <c r="E6" s="3511" t="s">
        <v>2888</v>
      </c>
      <c r="F6" s="3512"/>
      <c r="G6" s="3493" t="s">
        <v>2888</v>
      </c>
      <c r="H6" s="3494"/>
      <c r="I6" s="3493" t="s">
        <v>2888</v>
      </c>
      <c r="J6" s="3494"/>
      <c r="K6" s="508" t="s">
        <v>522</v>
      </c>
      <c r="L6" s="2016"/>
      <c r="M6" s="2017"/>
      <c r="N6" s="2017"/>
      <c r="O6" s="2017"/>
      <c r="P6" s="3485"/>
      <c r="Q6" s="3486"/>
      <c r="R6" s="3489"/>
      <c r="S6" s="3490"/>
      <c r="T6" s="3491"/>
      <c r="U6" s="3492"/>
      <c r="V6" s="3474"/>
      <c r="W6" s="3474"/>
      <c r="X6" s="1502"/>
      <c r="Y6" s="3491"/>
      <c r="Z6" s="3492"/>
      <c r="AA6" s="3478"/>
      <c r="AB6" s="3478"/>
      <c r="AC6" s="3478"/>
    </row>
    <row r="7" spans="1:29" s="1203" customFormat="1" ht="15.75" thickBot="1">
      <c r="A7" s="2630"/>
      <c r="B7" s="2637" t="s">
        <v>523</v>
      </c>
      <c r="C7" s="513">
        <f>'数据-取费表'!B2</f>
        <v>44070</v>
      </c>
      <c r="D7" s="514">
        <v>100</v>
      </c>
      <c r="E7" s="515"/>
      <c r="F7" s="516">
        <f>SUMIF(52:52,YEAR(E7)&amp;"-"&amp;MONTH(E7),53:53)</f>
        <v>0</v>
      </c>
      <c r="G7" s="515"/>
      <c r="H7" s="514">
        <f>SUMIF(52:52,YEAR(G7)&amp;"-"&amp;MONTH(G7),53:53)</f>
        <v>0</v>
      </c>
      <c r="I7" s="515"/>
      <c r="J7" s="514">
        <f>SUMIF(52:52,YEAR(I7)&amp;"-"&amp;MONTH(I7),53:53)</f>
        <v>0</v>
      </c>
      <c r="K7" s="518"/>
      <c r="L7" s="2018"/>
      <c r="M7" s="2019"/>
      <c r="N7" s="2019"/>
      <c r="O7" s="2019"/>
      <c r="P7" s="3504" t="s">
        <v>524</v>
      </c>
      <c r="Q7" s="3506"/>
      <c r="R7" s="1503" t="s">
        <v>8</v>
      </c>
      <c r="S7" s="1504">
        <f t="shared" ref="S7:S15" si="0">F7</f>
        <v>0</v>
      </c>
      <c r="T7" s="1503" t="s">
        <v>8</v>
      </c>
      <c r="U7" s="1504">
        <f t="shared" ref="U7:U15" si="1">H7</f>
        <v>0</v>
      </c>
      <c r="V7" s="1503" t="s">
        <v>8</v>
      </c>
      <c r="W7" s="1504">
        <f t="shared" ref="W7:W15" si="2">J7</f>
        <v>0</v>
      </c>
      <c r="X7" s="1505"/>
      <c r="Y7" s="3504" t="s">
        <v>524</v>
      </c>
      <c r="Z7" s="3505"/>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504" t="s">
        <v>527</v>
      </c>
      <c r="Q8" s="3505"/>
      <c r="R8" s="1503" t="s">
        <v>8</v>
      </c>
      <c r="S8" s="1504">
        <f t="shared" si="0"/>
        <v>0</v>
      </c>
      <c r="T8" s="1503" t="s">
        <v>8</v>
      </c>
      <c r="U8" s="1504">
        <f t="shared" si="1"/>
        <v>0</v>
      </c>
      <c r="V8" s="1503" t="s">
        <v>8</v>
      </c>
      <c r="W8" s="1504">
        <f t="shared" si="2"/>
        <v>0</v>
      </c>
      <c r="X8" s="1505"/>
      <c r="Y8" s="3504" t="s">
        <v>527</v>
      </c>
      <c r="Z8" s="3505"/>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73" t="s">
        <v>529</v>
      </c>
      <c r="Q9" s="1134" t="str">
        <f t="shared" ref="Q9:Q15" si="6">B9</f>
        <v>用途</v>
      </c>
      <c r="R9" s="1503" t="s">
        <v>8</v>
      </c>
      <c r="S9" s="1504">
        <f t="shared" si="0"/>
        <v>100</v>
      </c>
      <c r="T9" s="1503" t="s">
        <v>8</v>
      </c>
      <c r="U9" s="1504">
        <f t="shared" si="1"/>
        <v>100</v>
      </c>
      <c r="V9" s="1503" t="s">
        <v>8</v>
      </c>
      <c r="W9" s="1504">
        <f t="shared" si="2"/>
        <v>100</v>
      </c>
      <c r="X9" s="1505"/>
      <c r="Y9" s="341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73"/>
      <c r="Q10" s="1134" t="str">
        <f t="shared" si="6"/>
        <v>土地使用年限（年）</v>
      </c>
      <c r="R10" s="1503" t="s">
        <v>8</v>
      </c>
      <c r="S10" s="1504">
        <f t="shared" si="0"/>
        <v>100</v>
      </c>
      <c r="T10" s="1503" t="s">
        <v>8</v>
      </c>
      <c r="U10" s="1504">
        <f t="shared" si="1"/>
        <v>100</v>
      </c>
      <c r="V10" s="1503" t="s">
        <v>8</v>
      </c>
      <c r="W10" s="1504">
        <f t="shared" si="2"/>
        <v>100</v>
      </c>
      <c r="X10" s="1505"/>
      <c r="Y10" s="3419"/>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73"/>
      <c r="Q11" s="1134" t="str">
        <f t="shared" si="6"/>
        <v>容积率</v>
      </c>
      <c r="R11" s="1503" t="s">
        <v>8</v>
      </c>
      <c r="S11" s="1504" t="e">
        <f t="shared" si="0"/>
        <v>#N/A</v>
      </c>
      <c r="T11" s="1503" t="s">
        <v>8</v>
      </c>
      <c r="U11" s="1504" t="e">
        <f t="shared" si="1"/>
        <v>#N/A</v>
      </c>
      <c r="V11" s="1503" t="s">
        <v>8</v>
      </c>
      <c r="W11" s="1504" t="e">
        <f t="shared" si="2"/>
        <v>#N/A</v>
      </c>
      <c r="X11" s="1505"/>
      <c r="Y11" s="341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73"/>
      <c r="Q12" s="1134">
        <f t="shared" si="6"/>
        <v>111</v>
      </c>
      <c r="R12" s="1503" t="s">
        <v>8</v>
      </c>
      <c r="S12" s="1504">
        <f t="shared" si="0"/>
        <v>100</v>
      </c>
      <c r="T12" s="1503" t="s">
        <v>8</v>
      </c>
      <c r="U12" s="1504">
        <f t="shared" si="1"/>
        <v>100</v>
      </c>
      <c r="V12" s="1503" t="s">
        <v>8</v>
      </c>
      <c r="W12" s="1504">
        <f t="shared" si="2"/>
        <v>100</v>
      </c>
      <c r="X12" s="1505"/>
      <c r="Y12" s="3419"/>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73"/>
      <c r="Q13" s="1134">
        <f t="shared" si="6"/>
        <v>111</v>
      </c>
      <c r="R13" s="1503" t="s">
        <v>8</v>
      </c>
      <c r="S13" s="1504">
        <f t="shared" si="0"/>
        <v>100</v>
      </c>
      <c r="T13" s="1503" t="s">
        <v>8</v>
      </c>
      <c r="U13" s="1504">
        <f t="shared" si="1"/>
        <v>100</v>
      </c>
      <c r="V13" s="1503" t="s">
        <v>8</v>
      </c>
      <c r="W13" s="1504">
        <f t="shared" si="2"/>
        <v>100</v>
      </c>
      <c r="X13" s="1505"/>
      <c r="Y13" s="3419"/>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73"/>
      <c r="Q14" s="1134">
        <f t="shared" si="6"/>
        <v>111</v>
      </c>
      <c r="R14" s="1503" t="s">
        <v>8</v>
      </c>
      <c r="S14" s="1504">
        <f t="shared" si="0"/>
        <v>100</v>
      </c>
      <c r="T14" s="1503" t="s">
        <v>8</v>
      </c>
      <c r="U14" s="1504">
        <f t="shared" si="1"/>
        <v>100</v>
      </c>
      <c r="V14" s="1503" t="s">
        <v>8</v>
      </c>
      <c r="W14" s="1504">
        <f t="shared" si="2"/>
        <v>100</v>
      </c>
      <c r="X14" s="1505"/>
      <c r="Y14" s="3419"/>
      <c r="Z14" s="1133">
        <f t="shared" si="7"/>
        <v>111</v>
      </c>
      <c r="AA14" s="1506">
        <f t="shared" si="3"/>
        <v>1</v>
      </c>
      <c r="AB14" s="1506">
        <f t="shared" si="4"/>
        <v>1</v>
      </c>
      <c r="AC14" s="1506">
        <f t="shared" si="5"/>
        <v>1</v>
      </c>
    </row>
    <row r="15" spans="1:29" ht="15">
      <c r="A15" s="2628" t="s">
        <v>2734</v>
      </c>
      <c r="B15" s="164" t="s">
        <v>783</v>
      </c>
      <c r="C15" s="910">
        <f>估价对象房地状况!G3</f>
        <v>0</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507" t="s">
        <v>534</v>
      </c>
      <c r="Q15" s="1507" t="str">
        <f t="shared" si="6"/>
        <v>产业集聚程度</v>
      </c>
      <c r="R15" s="1508" t="s">
        <v>8</v>
      </c>
      <c r="S15" s="1509">
        <f t="shared" si="0"/>
        <v>100</v>
      </c>
      <c r="T15" s="1508" t="s">
        <v>8</v>
      </c>
      <c r="U15" s="1509">
        <f t="shared" si="1"/>
        <v>100</v>
      </c>
      <c r="V15" s="1508" t="s">
        <v>8</v>
      </c>
      <c r="W15" s="1509">
        <f t="shared" si="2"/>
        <v>100</v>
      </c>
      <c r="X15" s="1502"/>
      <c r="Y15" s="3507"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08"/>
      <c r="Q16" s="1507"/>
      <c r="R16" s="1508"/>
      <c r="S16" s="1509"/>
      <c r="T16" s="1508"/>
      <c r="U16" s="1509"/>
      <c r="V16" s="1508"/>
      <c r="W16" s="1509"/>
      <c r="X16" s="1502"/>
      <c r="Y16" s="3508"/>
      <c r="Z16" s="1510"/>
      <c r="AA16" s="1511">
        <v>1</v>
      </c>
      <c r="AB16" s="1511">
        <v>1</v>
      </c>
      <c r="AC16" s="1511">
        <v>1</v>
      </c>
    </row>
    <row r="17" spans="1:29" ht="15">
      <c r="A17" s="526"/>
      <c r="B17" s="860" t="s">
        <v>296</v>
      </c>
      <c r="C17" s="861">
        <f>估价对象房地状况!G4</f>
        <v>0</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08"/>
      <c r="Q17" s="1507" t="str">
        <f>B17</f>
        <v>交通便捷度</v>
      </c>
      <c r="R17" s="1508" t="s">
        <v>8</v>
      </c>
      <c r="S17" s="1509">
        <f>F17</f>
        <v>100</v>
      </c>
      <c r="T17" s="1508" t="s">
        <v>8</v>
      </c>
      <c r="U17" s="1509">
        <f>H17</f>
        <v>100</v>
      </c>
      <c r="V17" s="1508" t="s">
        <v>8</v>
      </c>
      <c r="W17" s="1509">
        <f>J17</f>
        <v>100</v>
      </c>
      <c r="X17" s="1502"/>
      <c r="Y17" s="3508"/>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08"/>
      <c r="Q18" s="1507"/>
      <c r="R18" s="1508"/>
      <c r="S18" s="1509"/>
      <c r="T18" s="1508"/>
      <c r="U18" s="1509"/>
      <c r="V18" s="1508"/>
      <c r="W18" s="1509"/>
      <c r="X18" s="1502"/>
      <c r="Y18" s="3508"/>
      <c r="Z18" s="1510"/>
      <c r="AA18" s="1511">
        <v>1</v>
      </c>
      <c r="AB18" s="1511">
        <v>1</v>
      </c>
      <c r="AC18" s="1511">
        <v>1</v>
      </c>
    </row>
    <row r="19" spans="1:29" ht="15">
      <c r="A19" s="526"/>
      <c r="B19" s="2448" t="s">
        <v>2527</v>
      </c>
      <c r="C19" s="861">
        <f>估价对象房地状况!G5</f>
        <v>0</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08"/>
      <c r="Q19" s="1507" t="str">
        <f>B19</f>
        <v>公共配套设施</v>
      </c>
      <c r="R19" s="1508" t="s">
        <v>8</v>
      </c>
      <c r="S19" s="1509">
        <f>F19</f>
        <v>100</v>
      </c>
      <c r="T19" s="1508" t="s">
        <v>8</v>
      </c>
      <c r="U19" s="1509">
        <f>H19</f>
        <v>100</v>
      </c>
      <c r="V19" s="1508" t="s">
        <v>8</v>
      </c>
      <c r="W19" s="1509">
        <f>J19</f>
        <v>100</v>
      </c>
      <c r="X19" s="1502"/>
      <c r="Y19" s="3508"/>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08"/>
      <c r="Q20" s="1507"/>
      <c r="R20" s="1508"/>
      <c r="S20" s="1509"/>
      <c r="T20" s="1508"/>
      <c r="U20" s="1509"/>
      <c r="V20" s="1508"/>
      <c r="W20" s="1509"/>
      <c r="X20" s="1502"/>
      <c r="Y20" s="3508"/>
      <c r="Z20" s="1510"/>
      <c r="AA20" s="1511">
        <v>1</v>
      </c>
      <c r="AB20" s="1511">
        <v>1</v>
      </c>
      <c r="AC20" s="1511">
        <v>1</v>
      </c>
    </row>
    <row r="21" spans="1:29" ht="15">
      <c r="A21" s="526"/>
      <c r="B21" s="2436" t="s">
        <v>2539</v>
      </c>
      <c r="C21" s="861">
        <f>估价对象房地状况!G6</f>
        <v>0</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08"/>
      <c r="Q21" s="2430" t="str">
        <f>B21</f>
        <v>基础设施水平</v>
      </c>
      <c r="R21" s="1508" t="s">
        <v>8</v>
      </c>
      <c r="S21" s="1509">
        <f>F21</f>
        <v>100</v>
      </c>
      <c r="T21" s="1508" t="s">
        <v>8</v>
      </c>
      <c r="U21" s="1509">
        <f>H21</f>
        <v>100</v>
      </c>
      <c r="V21" s="1508" t="s">
        <v>8</v>
      </c>
      <c r="W21" s="1509">
        <f>J21</f>
        <v>100</v>
      </c>
      <c r="X21" s="2432"/>
      <c r="Y21" s="3508"/>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508"/>
      <c r="Q22" s="2430"/>
      <c r="R22" s="1508"/>
      <c r="S22" s="1509"/>
      <c r="T22" s="1508"/>
      <c r="U22" s="1509"/>
      <c r="V22" s="1508"/>
      <c r="W22" s="1509"/>
      <c r="X22" s="2432"/>
      <c r="Y22" s="3508"/>
      <c r="Z22" s="2431"/>
      <c r="AA22" s="1511">
        <v>1</v>
      </c>
      <c r="AB22" s="1511">
        <v>1</v>
      </c>
      <c r="AC22" s="1511">
        <v>1</v>
      </c>
    </row>
    <row r="23" spans="1:29" ht="15">
      <c r="A23" s="526"/>
      <c r="B23" s="860" t="s">
        <v>772</v>
      </c>
      <c r="C23" s="861">
        <f>估价对象房地状况!G7</f>
        <v>0</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08"/>
      <c r="Q23" s="1507" t="str">
        <f>B23</f>
        <v>环境质量</v>
      </c>
      <c r="R23" s="1508" t="s">
        <v>8</v>
      </c>
      <c r="S23" s="1509">
        <f>F23</f>
        <v>100</v>
      </c>
      <c r="T23" s="1508" t="s">
        <v>8</v>
      </c>
      <c r="U23" s="1509">
        <f>H23</f>
        <v>100</v>
      </c>
      <c r="V23" s="1508" t="s">
        <v>8</v>
      </c>
      <c r="W23" s="1509">
        <f>J23</f>
        <v>100</v>
      </c>
      <c r="X23" s="1502"/>
      <c r="Y23" s="3508"/>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08"/>
      <c r="Q24" s="1507"/>
      <c r="R24" s="1508"/>
      <c r="S24" s="1509"/>
      <c r="T24" s="1508"/>
      <c r="U24" s="1509"/>
      <c r="V24" s="1508"/>
      <c r="W24" s="1509"/>
      <c r="X24" s="1502"/>
      <c r="Y24" s="3508"/>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08"/>
      <c r="Q25" s="1507">
        <f>B25</f>
        <v>111</v>
      </c>
      <c r="R25" s="1508" t="s">
        <v>8</v>
      </c>
      <c r="S25" s="1509">
        <f>F25</f>
        <v>100</v>
      </c>
      <c r="T25" s="1508" t="s">
        <v>8</v>
      </c>
      <c r="U25" s="1509">
        <f>H25</f>
        <v>100</v>
      </c>
      <c r="V25" s="1508" t="s">
        <v>8</v>
      </c>
      <c r="W25" s="1509">
        <f>J25</f>
        <v>100</v>
      </c>
      <c r="X25" s="1502"/>
      <c r="Y25" s="3508"/>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08"/>
      <c r="Q26" s="1507">
        <f t="shared" ref="Q26:Q40" si="11">B26</f>
        <v>111</v>
      </c>
      <c r="R26" s="1508" t="s">
        <v>8</v>
      </c>
      <c r="S26" s="1509">
        <f>F26</f>
        <v>100</v>
      </c>
      <c r="T26" s="1508" t="s">
        <v>8</v>
      </c>
      <c r="U26" s="1509">
        <f>H26</f>
        <v>100</v>
      </c>
      <c r="V26" s="1508" t="s">
        <v>8</v>
      </c>
      <c r="W26" s="1509">
        <f>J26</f>
        <v>100</v>
      </c>
      <c r="X26" s="1502"/>
      <c r="Y26" s="3508"/>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08"/>
      <c r="Q27" s="1134">
        <f t="shared" si="11"/>
        <v>111</v>
      </c>
      <c r="R27" s="1503" t="s">
        <v>8</v>
      </c>
      <c r="S27" s="1504">
        <f>F27</f>
        <v>100</v>
      </c>
      <c r="T27" s="1503" t="s">
        <v>8</v>
      </c>
      <c r="U27" s="1504">
        <f>H27</f>
        <v>100</v>
      </c>
      <c r="V27" s="1503" t="s">
        <v>8</v>
      </c>
      <c r="W27" s="1504">
        <f>J27</f>
        <v>100</v>
      </c>
      <c r="X27" s="1505"/>
      <c r="Y27" s="3508"/>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08"/>
      <c r="Q28" s="1507">
        <f t="shared" si="11"/>
        <v>111</v>
      </c>
      <c r="R28" s="1508" t="s">
        <v>8</v>
      </c>
      <c r="S28" s="1509">
        <f t="shared" ref="S28:S40" si="12">F28</f>
        <v>100</v>
      </c>
      <c r="T28" s="1508" t="s">
        <v>8</v>
      </c>
      <c r="U28" s="1509">
        <f t="shared" ref="U28:U40" si="13">H28</f>
        <v>100</v>
      </c>
      <c r="V28" s="1508" t="s">
        <v>8</v>
      </c>
      <c r="W28" s="1509">
        <f t="shared" ref="W28:W40" si="14">J28</f>
        <v>100</v>
      </c>
      <c r="X28" s="1502"/>
      <c r="Y28" s="3508"/>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09" t="s">
        <v>544</v>
      </c>
      <c r="Q29" s="1507" t="str">
        <f t="shared" si="11"/>
        <v>建筑类型</v>
      </c>
      <c r="R29" s="1508" t="s">
        <v>8</v>
      </c>
      <c r="S29" s="1509">
        <f t="shared" si="12"/>
        <v>100</v>
      </c>
      <c r="T29" s="1508" t="s">
        <v>8</v>
      </c>
      <c r="U29" s="1509">
        <f t="shared" si="13"/>
        <v>100</v>
      </c>
      <c r="V29" s="1508" t="s">
        <v>8</v>
      </c>
      <c r="W29" s="1509">
        <f t="shared" si="14"/>
        <v>100</v>
      </c>
      <c r="X29" s="1502"/>
      <c r="Y29" s="3510"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10"/>
      <c r="Q30" s="1536" t="str">
        <f t="shared" si="11"/>
        <v>项目建筑规模</v>
      </c>
      <c r="R30" s="1512" t="s">
        <v>8</v>
      </c>
      <c r="S30" s="1513" t="e">
        <f t="shared" si="12"/>
        <v>#N/A</v>
      </c>
      <c r="T30" s="1512" t="s">
        <v>8</v>
      </c>
      <c r="U30" s="1513" t="e">
        <f t="shared" si="13"/>
        <v>#N/A</v>
      </c>
      <c r="V30" s="1512" t="s">
        <v>8</v>
      </c>
      <c r="W30" s="1513" t="e">
        <f t="shared" si="14"/>
        <v>#N/A</v>
      </c>
      <c r="X30" s="1514"/>
      <c r="Y30" s="3510"/>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10"/>
      <c r="Q31" s="1507" t="str">
        <f t="shared" si="11"/>
        <v>建筑结构</v>
      </c>
      <c r="R31" s="1508" t="s">
        <v>8</v>
      </c>
      <c r="S31" s="1509">
        <f t="shared" si="12"/>
        <v>100</v>
      </c>
      <c r="T31" s="1508" t="s">
        <v>8</v>
      </c>
      <c r="U31" s="1509">
        <f t="shared" si="13"/>
        <v>100</v>
      </c>
      <c r="V31" s="1508" t="s">
        <v>8</v>
      </c>
      <c r="W31" s="1509">
        <f t="shared" si="14"/>
        <v>100</v>
      </c>
      <c r="X31" s="1502"/>
      <c r="Y31" s="3510"/>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10"/>
      <c r="Q32" s="1507" t="str">
        <f t="shared" si="11"/>
        <v>公共部分装修</v>
      </c>
      <c r="R32" s="1508" t="s">
        <v>8</v>
      </c>
      <c r="S32" s="1509">
        <f t="shared" si="12"/>
        <v>100</v>
      </c>
      <c r="T32" s="1508" t="s">
        <v>8</v>
      </c>
      <c r="U32" s="1509">
        <f t="shared" si="13"/>
        <v>100</v>
      </c>
      <c r="V32" s="1508" t="s">
        <v>8</v>
      </c>
      <c r="W32" s="1509">
        <f t="shared" si="14"/>
        <v>100</v>
      </c>
      <c r="X32" s="1502"/>
      <c r="Y32" s="3510"/>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10"/>
      <c r="Q33" s="1507" t="str">
        <f t="shared" si="11"/>
        <v>成新度</v>
      </c>
      <c r="R33" s="1508" t="s">
        <v>8</v>
      </c>
      <c r="S33" s="1509" t="e">
        <f t="shared" si="12"/>
        <v>#N/A</v>
      </c>
      <c r="T33" s="1508" t="s">
        <v>8</v>
      </c>
      <c r="U33" s="1509" t="e">
        <f t="shared" si="13"/>
        <v>#N/A</v>
      </c>
      <c r="V33" s="1508" t="s">
        <v>8</v>
      </c>
      <c r="W33" s="1509" t="e">
        <f t="shared" si="14"/>
        <v>#N/A</v>
      </c>
      <c r="X33" s="1502"/>
      <c r="Y33" s="3510"/>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10"/>
      <c r="Q34" s="1134" t="str">
        <f t="shared" si="11"/>
        <v>物业管理</v>
      </c>
      <c r="R34" s="1503" t="s">
        <v>8</v>
      </c>
      <c r="S34" s="1504">
        <f t="shared" si="12"/>
        <v>100</v>
      </c>
      <c r="T34" s="1503" t="s">
        <v>8</v>
      </c>
      <c r="U34" s="1504">
        <f t="shared" si="13"/>
        <v>100</v>
      </c>
      <c r="V34" s="1503" t="s">
        <v>8</v>
      </c>
      <c r="W34" s="1504">
        <f t="shared" si="14"/>
        <v>100</v>
      </c>
      <c r="X34" s="1505"/>
      <c r="Y34" s="3510"/>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10" t="s">
        <v>544</v>
      </c>
      <c r="Q35" s="1507" t="str">
        <f t="shared" si="11"/>
        <v>市政基础设施</v>
      </c>
      <c r="R35" s="1508" t="s">
        <v>8</v>
      </c>
      <c r="S35" s="1509">
        <f t="shared" si="12"/>
        <v>100</v>
      </c>
      <c r="T35" s="1508" t="s">
        <v>8</v>
      </c>
      <c r="U35" s="1509">
        <f t="shared" si="13"/>
        <v>100</v>
      </c>
      <c r="V35" s="1508" t="s">
        <v>8</v>
      </c>
      <c r="W35" s="1509">
        <f t="shared" si="14"/>
        <v>100</v>
      </c>
      <c r="X35" s="1502"/>
      <c r="Y35" s="3510"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10"/>
      <c r="Q36" s="1507" t="str">
        <f t="shared" si="11"/>
        <v>内部装修</v>
      </c>
      <c r="R36" s="1508" t="s">
        <v>8</v>
      </c>
      <c r="S36" s="1509">
        <f t="shared" si="12"/>
        <v>100</v>
      </c>
      <c r="T36" s="1508" t="s">
        <v>8</v>
      </c>
      <c r="U36" s="1509">
        <f t="shared" si="13"/>
        <v>100</v>
      </c>
      <c r="V36" s="1508" t="s">
        <v>8</v>
      </c>
      <c r="W36" s="1509">
        <f t="shared" si="14"/>
        <v>100</v>
      </c>
      <c r="X36" s="1502"/>
      <c r="Y36" s="3510"/>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10"/>
      <c r="Q37" s="1507" t="str">
        <f t="shared" si="11"/>
        <v>内部装修状况</v>
      </c>
      <c r="R37" s="1508" t="s">
        <v>8</v>
      </c>
      <c r="S37" s="1509">
        <f t="shared" si="12"/>
        <v>100</v>
      </c>
      <c r="T37" s="1508" t="s">
        <v>8</v>
      </c>
      <c r="U37" s="1509">
        <f t="shared" si="13"/>
        <v>100</v>
      </c>
      <c r="V37" s="1508" t="s">
        <v>8</v>
      </c>
      <c r="W37" s="1509">
        <f t="shared" si="14"/>
        <v>100</v>
      </c>
      <c r="X37" s="1502"/>
      <c r="Y37" s="3510"/>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10"/>
      <c r="Q38" s="1536">
        <f t="shared" si="11"/>
        <v>111</v>
      </c>
      <c r="R38" s="1512" t="s">
        <v>8</v>
      </c>
      <c r="S38" s="1513">
        <f t="shared" si="12"/>
        <v>100</v>
      </c>
      <c r="T38" s="1512" t="s">
        <v>8</v>
      </c>
      <c r="U38" s="1513">
        <f t="shared" si="13"/>
        <v>100</v>
      </c>
      <c r="V38" s="1512" t="s">
        <v>8</v>
      </c>
      <c r="W38" s="1513">
        <f t="shared" si="14"/>
        <v>100</v>
      </c>
      <c r="X38" s="1514"/>
      <c r="Y38" s="3510"/>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10"/>
      <c r="Q39" s="1507">
        <f t="shared" si="11"/>
        <v>111</v>
      </c>
      <c r="R39" s="1508" t="s">
        <v>8</v>
      </c>
      <c r="S39" s="1509">
        <f t="shared" si="12"/>
        <v>100</v>
      </c>
      <c r="T39" s="1508" t="s">
        <v>8</v>
      </c>
      <c r="U39" s="1509">
        <f t="shared" si="13"/>
        <v>100</v>
      </c>
      <c r="V39" s="1508" t="s">
        <v>8</v>
      </c>
      <c r="W39" s="1509">
        <f t="shared" si="14"/>
        <v>100</v>
      </c>
      <c r="X39" s="1502"/>
      <c r="Y39" s="3510"/>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69"/>
      <c r="Q40" s="1507">
        <f t="shared" si="11"/>
        <v>111</v>
      </c>
      <c r="R40" s="1508" t="s">
        <v>8</v>
      </c>
      <c r="S40" s="1509">
        <f t="shared" si="12"/>
        <v>100</v>
      </c>
      <c r="T40" s="1508" t="s">
        <v>8</v>
      </c>
      <c r="U40" s="1509">
        <f t="shared" si="13"/>
        <v>100</v>
      </c>
      <c r="V40" s="1508" t="s">
        <v>8</v>
      </c>
      <c r="W40" s="1509">
        <f t="shared" si="14"/>
        <v>100</v>
      </c>
      <c r="X40" s="1502"/>
      <c r="Y40" s="3569"/>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73" t="str">
        <f>A41</f>
        <v>成交单价（元/平方米）</v>
      </c>
      <c r="Q41" s="3473"/>
      <c r="R41" s="3568">
        <f>E41</f>
        <v>0</v>
      </c>
      <c r="S41" s="3568"/>
      <c r="T41" s="3568">
        <f>G41</f>
        <v>0</v>
      </c>
      <c r="U41" s="3568"/>
      <c r="V41" s="3568">
        <f>I41</f>
        <v>0</v>
      </c>
      <c r="W41" s="3568"/>
      <c r="X41" s="1497"/>
      <c r="Y41" s="1516"/>
      <c r="Z41" s="1497"/>
      <c r="AA41" s="1497"/>
      <c r="AB41" s="1497"/>
      <c r="AC41" s="1497"/>
    </row>
    <row r="42" spans="1:29" ht="15.75" thickBot="1">
      <c r="A42" s="609" t="s">
        <v>2740</v>
      </c>
      <c r="B42" s="877"/>
      <c r="C42" s="2477" t="e">
        <f>R43</f>
        <v>#DIV/0!</v>
      </c>
      <c r="D42" s="3015" t="s">
        <v>2959</v>
      </c>
      <c r="E42" s="2478" t="e">
        <f>R42</f>
        <v>#DIV/0!</v>
      </c>
      <c r="F42" s="3016"/>
      <c r="G42" s="2477" t="e">
        <f>T42</f>
        <v>#DIV/0!</v>
      </c>
      <c r="H42" s="3016"/>
      <c r="I42" s="2478" t="e">
        <f>V42</f>
        <v>#DIV/0!</v>
      </c>
      <c r="J42" s="3016"/>
      <c r="K42" s="3024">
        <f>F42+H42+J42</f>
        <v>0</v>
      </c>
      <c r="L42" s="2027"/>
      <c r="M42" s="2028"/>
      <c r="N42" s="2017"/>
      <c r="O42" s="2028"/>
      <c r="P42" s="3473" t="str">
        <f>A42</f>
        <v>比较价格（元/平方米）</v>
      </c>
      <c r="Q42" s="3473"/>
      <c r="R42" s="3568" t="e">
        <f>IF(F1="售价",ROUND(PRODUCT(R41,AA7:AA40),0),ROUND(PRODUCT(R41,AA7:AA40),1))</f>
        <v>#DIV/0!</v>
      </c>
      <c r="S42" s="3568"/>
      <c r="T42" s="3568" t="e">
        <f>IF(F1="售价",ROUND(PRODUCT(T41,AB7:AB40),0),ROUND(PRODUCT(T41,AB7:AB40),1))</f>
        <v>#DIV/0!</v>
      </c>
      <c r="U42" s="3568"/>
      <c r="V42" s="3568" t="e">
        <f>IF(F1="售价",ROUND(PRODUCT(V41,AC7:AC40),0),ROUND(PRODUCT(V41,AC7:AC40),1))</f>
        <v>#DIV/0!</v>
      </c>
      <c r="W42" s="3568"/>
      <c r="X42" s="1497"/>
      <c r="Y42" s="1497"/>
      <c r="Z42" s="1497"/>
      <c r="AA42" s="1497"/>
      <c r="AB42" s="1497"/>
      <c r="AC42" s="1497"/>
    </row>
    <row r="43" spans="1:29" ht="15.75" thickBot="1">
      <c r="A43" s="613" t="s">
        <v>2890</v>
      </c>
      <c r="B43" s="614"/>
      <c r="C43" s="2479" t="e">
        <f>R43</f>
        <v>#DIV/0!</v>
      </c>
      <c r="D43" s="2479"/>
      <c r="E43" s="2479"/>
      <c r="F43" s="2479"/>
      <c r="G43" s="2479"/>
      <c r="H43" s="2479"/>
      <c r="I43" s="2479"/>
      <c r="J43" s="2479"/>
      <c r="K43" s="1542"/>
      <c r="L43" s="2027"/>
      <c r="M43" s="2028"/>
      <c r="N43" s="2028"/>
      <c r="O43" s="2028"/>
      <c r="P43" s="3470" t="str">
        <f>A43</f>
        <v>估价对象XX用房的比较价格（楼面单价，元/平方米）</v>
      </c>
      <c r="Q43" s="3471"/>
      <c r="R43" s="3567" t="e">
        <f>IF(F1="售价",ROUND(IF(D42="简单平均",AVERAGE(R42:V42),R42*F42+T42*H42+V42*J42),0),ROUND(IF(D42="简单平均",AVERAGE(R42:V42),R42*F42+T42*H42+V42*J42),1))</f>
        <v>#DIV/0!</v>
      </c>
      <c r="S43" s="3567"/>
      <c r="T43" s="3567"/>
      <c r="U43" s="3567"/>
      <c r="V43" s="3567"/>
      <c r="W43" s="3567"/>
      <c r="X43" s="1497"/>
      <c r="Y43" s="1497"/>
      <c r="Z43" s="1497"/>
      <c r="AA43" s="1497"/>
      <c r="AB43" s="1497"/>
      <c r="AC43" s="1497"/>
    </row>
    <row r="44" spans="1:29">
      <c r="A44" s="3214"/>
      <c r="B44" s="3214"/>
      <c r="C44" s="3214"/>
      <c r="D44" s="3214"/>
      <c r="E44" s="3214"/>
      <c r="F44" s="3214"/>
      <c r="G44" s="3216"/>
      <c r="H44" s="3214"/>
      <c r="I44" s="3214"/>
      <c r="J44" s="3214"/>
      <c r="K44" s="3217"/>
      <c r="L44" s="2032"/>
      <c r="M44" s="2028"/>
      <c r="N44" s="2028"/>
      <c r="O44" s="2028"/>
      <c r="P44" s="2028"/>
      <c r="Q44" s="2028"/>
      <c r="R44" s="2028"/>
      <c r="S44" s="2028"/>
      <c r="T44" s="2028"/>
      <c r="U44" s="2028"/>
      <c r="V44" s="2028"/>
      <c r="W44" s="2028"/>
      <c r="X44" s="2028"/>
      <c r="Y44" s="2028"/>
      <c r="Z44" s="2028"/>
      <c r="AA44" s="2028"/>
      <c r="AB44" s="2028"/>
      <c r="AC44" s="2028"/>
    </row>
    <row r="45" spans="1:29">
      <c r="A45" s="3214"/>
      <c r="B45" s="3214"/>
      <c r="C45" s="3214"/>
      <c r="D45" s="3214"/>
      <c r="E45" s="3214"/>
      <c r="F45" s="3214"/>
      <c r="G45" s="3214"/>
      <c r="H45" s="3214"/>
      <c r="I45" s="3214"/>
      <c r="J45" s="3214"/>
      <c r="K45" s="3217"/>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2020-8</v>
      </c>
      <c r="D52" s="2522">
        <f>EDATE(C52,-1)</f>
        <v>44013</v>
      </c>
      <c r="E52" s="2522">
        <f t="shared" ref="E52:O52" si="16">EDATE(D52,-1)</f>
        <v>43983</v>
      </c>
      <c r="F52" s="2522">
        <f t="shared" si="16"/>
        <v>43952</v>
      </c>
      <c r="G52" s="2522">
        <f t="shared" si="16"/>
        <v>43922</v>
      </c>
      <c r="H52" s="2522">
        <f t="shared" si="16"/>
        <v>43891</v>
      </c>
      <c r="I52" s="2522">
        <f t="shared" si="16"/>
        <v>43862</v>
      </c>
      <c r="J52" s="2522">
        <f t="shared" si="16"/>
        <v>43831</v>
      </c>
      <c r="K52" s="2522">
        <f t="shared" si="16"/>
        <v>43800</v>
      </c>
      <c r="L52" s="2522">
        <f t="shared" si="16"/>
        <v>43770</v>
      </c>
      <c r="M52" s="2522">
        <f t="shared" si="16"/>
        <v>43739</v>
      </c>
      <c r="N52" s="2522">
        <f t="shared" si="16"/>
        <v>43709</v>
      </c>
      <c r="O52" s="2522">
        <f t="shared" si="16"/>
        <v>43678</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2" priority="19" stopIfTrue="1" operator="containsText" text="超过">
      <formula>NOT(ISERROR(SEARCH("超过",F46)))</formula>
    </cfRule>
  </conditionalFormatting>
  <conditionalFormatting sqref="H48">
    <cfRule type="containsText" dxfId="51" priority="18" stopIfTrue="1" operator="containsText" text="超过">
      <formula>NOT(ISERROR(SEARCH("超过",H48)))</formula>
    </cfRule>
  </conditionalFormatting>
  <conditionalFormatting sqref="F48">
    <cfRule type="containsText" dxfId="50" priority="17" stopIfTrue="1" operator="containsText" text="超过">
      <formula>NOT(ISERROR(SEARCH("超过",F48)))</formula>
    </cfRule>
  </conditionalFormatting>
  <conditionalFormatting sqref="F47 H47">
    <cfRule type="containsText" dxfId="49" priority="16" stopIfTrue="1" operator="containsText" text="超过">
      <formula>NOT(ISERROR(SEARCH("超过",F47)))</formula>
    </cfRule>
  </conditionalFormatting>
  <conditionalFormatting sqref="E46">
    <cfRule type="expression" dxfId="48" priority="15" stopIfTrue="1">
      <formula>$F$46="超过30%"</formula>
    </cfRule>
  </conditionalFormatting>
  <conditionalFormatting sqref="E47">
    <cfRule type="expression" dxfId="47" priority="14" stopIfTrue="1">
      <formula>$F$47="超过20%"</formula>
    </cfRule>
  </conditionalFormatting>
  <conditionalFormatting sqref="E48">
    <cfRule type="expression" dxfId="46" priority="13" stopIfTrue="1">
      <formula>$F$48="超过30%"</formula>
    </cfRule>
  </conditionalFormatting>
  <conditionalFormatting sqref="G48">
    <cfRule type="expression" dxfId="45" priority="12" stopIfTrue="1">
      <formula>$H$48="超过30%"</formula>
    </cfRule>
  </conditionalFormatting>
  <conditionalFormatting sqref="G46">
    <cfRule type="expression" dxfId="44" priority="11" stopIfTrue="1">
      <formula>$H$46="超过30%"</formula>
    </cfRule>
  </conditionalFormatting>
  <conditionalFormatting sqref="G47">
    <cfRule type="expression" dxfId="43" priority="10" stopIfTrue="1">
      <formula>$H$47="超过20%"</formula>
    </cfRule>
  </conditionalFormatting>
  <conditionalFormatting sqref="J46">
    <cfRule type="containsText" dxfId="42" priority="9" stopIfTrue="1" operator="containsText" text="超过">
      <formula>NOT(ISERROR(SEARCH("超过",J46)))</formula>
    </cfRule>
  </conditionalFormatting>
  <conditionalFormatting sqref="J48">
    <cfRule type="containsText" dxfId="41" priority="8" stopIfTrue="1" operator="containsText" text="超过">
      <formula>NOT(ISERROR(SEARCH("超过",J48)))</formula>
    </cfRule>
  </conditionalFormatting>
  <conditionalFormatting sqref="J47">
    <cfRule type="containsText" dxfId="40" priority="7" stopIfTrue="1" operator="containsText" text="超过">
      <formula>NOT(ISERROR(SEARCH("超过",J47)))</formula>
    </cfRule>
  </conditionalFormatting>
  <conditionalFormatting sqref="I46">
    <cfRule type="expression" dxfId="39" priority="6" stopIfTrue="1">
      <formula>$J$46="超过30%"</formula>
    </cfRule>
  </conditionalFormatting>
  <conditionalFormatting sqref="I47">
    <cfRule type="expression" dxfId="38" priority="5" stopIfTrue="1">
      <formula>$J$47="超过20%"</formula>
    </cfRule>
  </conditionalFormatting>
  <conditionalFormatting sqref="I48">
    <cfRule type="expression" dxfId="37" priority="4" stopIfTrue="1">
      <formula>$J$48="超过30%"</formula>
    </cfRule>
  </conditionalFormatting>
  <conditionalFormatting sqref="F42">
    <cfRule type="expression" dxfId="36" priority="3">
      <formula>$D$42="简单平均"</formula>
    </cfRule>
  </conditionalFormatting>
  <conditionalFormatting sqref="H42">
    <cfRule type="expression" dxfId="35" priority="2">
      <formula>$D$42="简单平均"</formula>
    </cfRule>
  </conditionalFormatting>
  <conditionalFormatting sqref="J42">
    <cfRule type="expression" dxfId="34" priority="1">
      <formula>$D$42="简单平均"</formula>
    </cfRule>
  </conditionalFormatting>
  <dataValidations count="18">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D42"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view="pageBreakPreview" zoomScale="60" zoomScaleNormal="60" workbookViewId="0">
      <selection activeCell="M32" sqref="M3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IF(B37="元/平方米",C39,ROUND(B2*10000/D3,0))</f>
        <v>#DIV/0!</v>
      </c>
      <c r="C3" s="841" t="s">
        <v>790</v>
      </c>
      <c r="D3" s="840">
        <f>SUMIF('数据-汇总表'!$C19:$C33,D1,'数据-汇总表'!$E19:$E33)</f>
        <v>0</v>
      </c>
      <c r="E3" s="1763" t="s">
        <v>2064</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79" t="s">
        <v>792</v>
      </c>
      <c r="D4" s="3480"/>
      <c r="E4" s="3479" t="s">
        <v>793</v>
      </c>
      <c r="F4" s="3480"/>
      <c r="G4" s="3479" t="s">
        <v>794</v>
      </c>
      <c r="H4" s="3480"/>
      <c r="I4" s="3479" t="s">
        <v>795</v>
      </c>
      <c r="J4" s="3480"/>
      <c r="K4" s="508" t="s">
        <v>796</v>
      </c>
      <c r="L4" s="2016"/>
      <c r="M4" s="2017"/>
      <c r="N4" s="2017"/>
      <c r="O4" s="2017"/>
      <c r="P4" s="3481" t="s">
        <v>797</v>
      </c>
      <c r="Q4" s="3482"/>
      <c r="R4" s="3487" t="s">
        <v>793</v>
      </c>
      <c r="S4" s="3488"/>
      <c r="T4" s="3487" t="s">
        <v>794</v>
      </c>
      <c r="U4" s="3488"/>
      <c r="V4" s="3474" t="s">
        <v>795</v>
      </c>
      <c r="W4" s="3474"/>
      <c r="X4" s="1502"/>
      <c r="Y4" s="3487" t="s">
        <v>797</v>
      </c>
      <c r="Z4" s="3488"/>
      <c r="AA4" s="3476" t="s">
        <v>793</v>
      </c>
      <c r="AB4" s="3477" t="s">
        <v>794</v>
      </c>
      <c r="AC4" s="3476" t="s">
        <v>795</v>
      </c>
    </row>
    <row r="5" spans="1:29" ht="15">
      <c r="A5" s="509"/>
      <c r="B5" s="510"/>
      <c r="C5" s="3495" t="s">
        <v>2884</v>
      </c>
      <c r="D5" s="3496"/>
      <c r="E5" s="3495" t="s">
        <v>2885</v>
      </c>
      <c r="F5" s="3496"/>
      <c r="G5" s="3495" t="s">
        <v>2886</v>
      </c>
      <c r="H5" s="3496"/>
      <c r="I5" s="3495" t="s">
        <v>2887</v>
      </c>
      <c r="J5" s="3496"/>
      <c r="K5" s="508"/>
      <c r="L5" s="2016"/>
      <c r="M5" s="2017"/>
      <c r="N5" s="2017"/>
      <c r="O5" s="2017"/>
      <c r="P5" s="3483"/>
      <c r="Q5" s="3484"/>
      <c r="R5" s="3489"/>
      <c r="S5" s="3490"/>
      <c r="T5" s="3489"/>
      <c r="U5" s="3490"/>
      <c r="V5" s="3474"/>
      <c r="W5" s="3474"/>
      <c r="X5" s="1502"/>
      <c r="Y5" s="3489"/>
      <c r="Z5" s="3490"/>
      <c r="AA5" s="3477"/>
      <c r="AB5" s="3477"/>
      <c r="AC5" s="3477"/>
    </row>
    <row r="6" spans="1:29" ht="15.75" thickBot="1">
      <c r="A6" s="511"/>
      <c r="B6" s="512"/>
      <c r="C6" s="3493" t="s">
        <v>2888</v>
      </c>
      <c r="D6" s="3494"/>
      <c r="E6" s="3497" t="s">
        <v>2888</v>
      </c>
      <c r="F6" s="3498"/>
      <c r="G6" s="3493" t="s">
        <v>2888</v>
      </c>
      <c r="H6" s="3494"/>
      <c r="I6" s="3493" t="s">
        <v>2888</v>
      </c>
      <c r="J6" s="3494"/>
      <c r="K6" s="508" t="s">
        <v>522</v>
      </c>
      <c r="L6" s="2016"/>
      <c r="M6" s="2017"/>
      <c r="N6" s="2017"/>
      <c r="O6" s="2017"/>
      <c r="P6" s="3485"/>
      <c r="Q6" s="3486"/>
      <c r="R6" s="3489"/>
      <c r="S6" s="3490"/>
      <c r="T6" s="3491"/>
      <c r="U6" s="3492"/>
      <c r="V6" s="3474"/>
      <c r="W6" s="3474"/>
      <c r="X6" s="1502"/>
      <c r="Y6" s="3491"/>
      <c r="Z6" s="3492"/>
      <c r="AA6" s="3478"/>
      <c r="AB6" s="3478"/>
      <c r="AC6" s="3478"/>
    </row>
    <row r="7" spans="1:29" s="1203" customFormat="1" ht="15.75" thickBot="1">
      <c r="A7" s="2630"/>
      <c r="B7" s="2637" t="s">
        <v>523</v>
      </c>
      <c r="C7" s="513">
        <f>'数据-取费表'!B2</f>
        <v>44070</v>
      </c>
      <c r="D7" s="514">
        <v>100</v>
      </c>
      <c r="E7" s="515"/>
      <c r="F7" s="516">
        <f>SUMIF(48:48,YEAR(E7)&amp;"-"&amp;MONTH(E7),49:49)</f>
        <v>0</v>
      </c>
      <c r="G7" s="517"/>
      <c r="H7" s="514">
        <f>SUMIF(48:48,YEAR(G7)&amp;"-"&amp;MONTH(G7),49:49)</f>
        <v>0</v>
      </c>
      <c r="I7" s="517"/>
      <c r="J7" s="514">
        <f>SUMIF(48:48,YEAR(I7)&amp;"-"&amp;MONTH(I7),49:49)</f>
        <v>0</v>
      </c>
      <c r="K7" s="518"/>
      <c r="L7" s="2018"/>
      <c r="M7" s="2019"/>
      <c r="N7" s="2019"/>
      <c r="O7" s="2019"/>
      <c r="P7" s="3504" t="s">
        <v>524</v>
      </c>
      <c r="Q7" s="3506"/>
      <c r="R7" s="1503" t="s">
        <v>8</v>
      </c>
      <c r="S7" s="1504">
        <f t="shared" ref="S7:S14" si="0">F7</f>
        <v>0</v>
      </c>
      <c r="T7" s="1503" t="s">
        <v>8</v>
      </c>
      <c r="U7" s="1504">
        <f t="shared" ref="U7:U14" si="1">H7</f>
        <v>0</v>
      </c>
      <c r="V7" s="1503" t="s">
        <v>8</v>
      </c>
      <c r="W7" s="1504">
        <f t="shared" ref="W7:W14" si="2">J7</f>
        <v>0</v>
      </c>
      <c r="X7" s="1505"/>
      <c r="Y7" s="3504" t="s">
        <v>524</v>
      </c>
      <c r="Z7" s="3505"/>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504" t="s">
        <v>527</v>
      </c>
      <c r="Q8" s="3505"/>
      <c r="R8" s="1503" t="s">
        <v>8</v>
      </c>
      <c r="S8" s="1504">
        <f t="shared" si="0"/>
        <v>0</v>
      </c>
      <c r="T8" s="1503" t="s">
        <v>8</v>
      </c>
      <c r="U8" s="1504">
        <f t="shared" si="1"/>
        <v>0</v>
      </c>
      <c r="V8" s="1503" t="s">
        <v>8</v>
      </c>
      <c r="W8" s="1504">
        <f t="shared" si="2"/>
        <v>0</v>
      </c>
      <c r="X8" s="1505"/>
      <c r="Y8" s="3504" t="s">
        <v>527</v>
      </c>
      <c r="Z8" s="3505"/>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73" t="s">
        <v>529</v>
      </c>
      <c r="Q9" s="1134" t="str">
        <f t="shared" ref="Q9:Q14" si="6">B9</f>
        <v>用途</v>
      </c>
      <c r="R9" s="1503" t="s">
        <v>8</v>
      </c>
      <c r="S9" s="1504">
        <f t="shared" si="0"/>
        <v>100</v>
      </c>
      <c r="T9" s="1503" t="s">
        <v>8</v>
      </c>
      <c r="U9" s="1504">
        <f t="shared" si="1"/>
        <v>100</v>
      </c>
      <c r="V9" s="1503" t="s">
        <v>8</v>
      </c>
      <c r="W9" s="1504">
        <f t="shared" si="2"/>
        <v>100</v>
      </c>
      <c r="X9" s="1505"/>
      <c r="Y9" s="3419"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73"/>
      <c r="Q10" s="1134" t="str">
        <f t="shared" si="6"/>
        <v>土地使用年限（年）</v>
      </c>
      <c r="R10" s="1503" t="s">
        <v>8</v>
      </c>
      <c r="S10" s="1504">
        <f t="shared" si="0"/>
        <v>100</v>
      </c>
      <c r="T10" s="1503" t="s">
        <v>8</v>
      </c>
      <c r="U10" s="1504">
        <f t="shared" si="1"/>
        <v>100</v>
      </c>
      <c r="V10" s="1503" t="s">
        <v>8</v>
      </c>
      <c r="W10" s="1504">
        <f t="shared" si="2"/>
        <v>100</v>
      </c>
      <c r="X10" s="1505"/>
      <c r="Y10" s="3419"/>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73"/>
      <c r="Q11" s="1134">
        <f t="shared" si="6"/>
        <v>111</v>
      </c>
      <c r="R11" s="1503" t="s">
        <v>8</v>
      </c>
      <c r="S11" s="1504">
        <f t="shared" si="0"/>
        <v>100</v>
      </c>
      <c r="T11" s="1503" t="s">
        <v>8</v>
      </c>
      <c r="U11" s="1504">
        <f t="shared" si="1"/>
        <v>100</v>
      </c>
      <c r="V11" s="1503" t="s">
        <v>8</v>
      </c>
      <c r="W11" s="1504">
        <f t="shared" si="2"/>
        <v>100</v>
      </c>
      <c r="X11" s="1505"/>
      <c r="Y11" s="3419"/>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73"/>
      <c r="Q12" s="1134">
        <f t="shared" si="6"/>
        <v>111</v>
      </c>
      <c r="R12" s="1503" t="s">
        <v>8</v>
      </c>
      <c r="S12" s="1504">
        <f t="shared" si="0"/>
        <v>100</v>
      </c>
      <c r="T12" s="1503" t="s">
        <v>8</v>
      </c>
      <c r="U12" s="1504">
        <f t="shared" si="1"/>
        <v>100</v>
      </c>
      <c r="V12" s="1503" t="s">
        <v>8</v>
      </c>
      <c r="W12" s="1504">
        <f t="shared" si="2"/>
        <v>100</v>
      </c>
      <c r="X12" s="1505"/>
      <c r="Y12" s="3419"/>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73"/>
      <c r="Q13" s="1134">
        <f t="shared" si="6"/>
        <v>111</v>
      </c>
      <c r="R13" s="1503" t="s">
        <v>8</v>
      </c>
      <c r="S13" s="1504">
        <f t="shared" si="0"/>
        <v>100</v>
      </c>
      <c r="T13" s="1503" t="s">
        <v>8</v>
      </c>
      <c r="U13" s="1504">
        <f t="shared" si="1"/>
        <v>100</v>
      </c>
      <c r="V13" s="1503" t="s">
        <v>8</v>
      </c>
      <c r="W13" s="1504">
        <f t="shared" si="2"/>
        <v>100</v>
      </c>
      <c r="X13" s="1505"/>
      <c r="Y13" s="3419"/>
      <c r="Z13" s="1133">
        <f t="shared" si="7"/>
        <v>111</v>
      </c>
      <c r="AA13" s="1506">
        <f t="shared" si="3"/>
        <v>1</v>
      </c>
      <c r="AB13" s="1506">
        <f t="shared" si="4"/>
        <v>1</v>
      </c>
      <c r="AC13" s="1506">
        <f t="shared" si="5"/>
        <v>1</v>
      </c>
    </row>
    <row r="14" spans="1:29" ht="15">
      <c r="A14" s="2628" t="s">
        <v>2734</v>
      </c>
      <c r="B14" s="541" t="s">
        <v>537</v>
      </c>
      <c r="C14" s="910" t="str">
        <f>IF(B1="工业",估价对象房地状况!G4,估价对象房地状况!C6)</f>
        <v>一般</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507" t="s">
        <v>534</v>
      </c>
      <c r="Q14" s="1507" t="str">
        <f t="shared" si="6"/>
        <v>交通便捷度</v>
      </c>
      <c r="R14" s="1508" t="s">
        <v>8</v>
      </c>
      <c r="S14" s="1509">
        <f t="shared" si="0"/>
        <v>100</v>
      </c>
      <c r="T14" s="1508" t="s">
        <v>8</v>
      </c>
      <c r="U14" s="1509">
        <f t="shared" si="1"/>
        <v>100</v>
      </c>
      <c r="V14" s="1508" t="s">
        <v>8</v>
      </c>
      <c r="W14" s="1509">
        <f t="shared" si="2"/>
        <v>100</v>
      </c>
      <c r="X14" s="1502"/>
      <c r="Y14" s="3507"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08"/>
      <c r="Q15" s="1507"/>
      <c r="R15" s="1508"/>
      <c r="S15" s="1509"/>
      <c r="T15" s="1508"/>
      <c r="U15" s="1509"/>
      <c r="V15" s="1508"/>
      <c r="W15" s="1509"/>
      <c r="X15" s="1502"/>
      <c r="Y15" s="3508"/>
      <c r="Z15" s="1510"/>
      <c r="AA15" s="1511">
        <v>1</v>
      </c>
      <c r="AB15" s="1511">
        <v>1</v>
      </c>
      <c r="AC15" s="1511">
        <v>1</v>
      </c>
    </row>
    <row r="16" spans="1:29" ht="15">
      <c r="A16" s="509"/>
      <c r="B16" s="2448" t="s">
        <v>2527</v>
      </c>
      <c r="C16" s="861" t="str">
        <f>IF(B1="工业",估价对象房地状况!G5,估价对象房地状况!C7)</f>
        <v>一般</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08"/>
      <c r="Q16" s="1507" t="str">
        <f>B16</f>
        <v>公共配套设施</v>
      </c>
      <c r="R16" s="1508" t="s">
        <v>8</v>
      </c>
      <c r="S16" s="1509">
        <f>F16</f>
        <v>100</v>
      </c>
      <c r="T16" s="1508" t="s">
        <v>8</v>
      </c>
      <c r="U16" s="1509">
        <f>H16</f>
        <v>100</v>
      </c>
      <c r="V16" s="1508" t="s">
        <v>8</v>
      </c>
      <c r="W16" s="1509">
        <f>J16</f>
        <v>100</v>
      </c>
      <c r="X16" s="1502"/>
      <c r="Y16" s="3508"/>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08"/>
      <c r="Q17" s="1507"/>
      <c r="R17" s="1508"/>
      <c r="S17" s="1509"/>
      <c r="T17" s="1508"/>
      <c r="U17" s="1509"/>
      <c r="V17" s="1508"/>
      <c r="W17" s="1509"/>
      <c r="X17" s="1502"/>
      <c r="Y17" s="3508"/>
      <c r="Z17" s="1510"/>
      <c r="AA17" s="1511">
        <v>1</v>
      </c>
      <c r="AB17" s="1511">
        <v>1</v>
      </c>
      <c r="AC17" s="1511">
        <v>1</v>
      </c>
    </row>
    <row r="18" spans="1:29" ht="15">
      <c r="A18" s="509"/>
      <c r="B18" s="2436" t="s">
        <v>2539</v>
      </c>
      <c r="C18" s="861" t="str">
        <f>IF(B1="工业",估价对象房地状况!G6,估价对象房地状况!C8)</f>
        <v>七通</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08"/>
      <c r="Q18" s="2430" t="str">
        <f>B18</f>
        <v>基础设施水平</v>
      </c>
      <c r="R18" s="1508" t="s">
        <v>8</v>
      </c>
      <c r="S18" s="1509">
        <f>F18</f>
        <v>100</v>
      </c>
      <c r="T18" s="1508" t="s">
        <v>8</v>
      </c>
      <c r="U18" s="1509">
        <f>H18</f>
        <v>100</v>
      </c>
      <c r="V18" s="1508" t="s">
        <v>8</v>
      </c>
      <c r="W18" s="1509">
        <f>J18</f>
        <v>100</v>
      </c>
      <c r="X18" s="2432"/>
      <c r="Y18" s="3508"/>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508"/>
      <c r="Q19" s="2430"/>
      <c r="R19" s="1508"/>
      <c r="S19" s="1509"/>
      <c r="T19" s="1508"/>
      <c r="U19" s="1509"/>
      <c r="V19" s="1508"/>
      <c r="W19" s="1509"/>
      <c r="X19" s="2432"/>
      <c r="Y19" s="3508"/>
      <c r="Z19" s="2431"/>
      <c r="AA19" s="1511">
        <v>1</v>
      </c>
      <c r="AB19" s="1511">
        <v>1</v>
      </c>
      <c r="AC19" s="1511">
        <v>1</v>
      </c>
    </row>
    <row r="20" spans="1:29" ht="15">
      <c r="A20" s="509"/>
      <c r="B20" s="554" t="s">
        <v>798</v>
      </c>
      <c r="C20" s="861" t="str">
        <f>IF(B1="工业",估价对象房地状况!G7,估价对象房地状况!C9)</f>
        <v>较好</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08"/>
      <c r="Q20" s="1507" t="str">
        <f>B20</f>
        <v>自然及人文环境</v>
      </c>
      <c r="R20" s="1508" t="s">
        <v>8</v>
      </c>
      <c r="S20" s="1509">
        <f>F20</f>
        <v>100</v>
      </c>
      <c r="T20" s="1508" t="s">
        <v>8</v>
      </c>
      <c r="U20" s="1509">
        <f>H20</f>
        <v>100</v>
      </c>
      <c r="V20" s="1508" t="s">
        <v>8</v>
      </c>
      <c r="W20" s="1509">
        <f>J20</f>
        <v>100</v>
      </c>
      <c r="X20" s="1502"/>
      <c r="Y20" s="3508"/>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08"/>
      <c r="Q21" s="1507"/>
      <c r="R21" s="1508"/>
      <c r="S21" s="1509"/>
      <c r="T21" s="1508"/>
      <c r="U21" s="1509"/>
      <c r="V21" s="1508"/>
      <c r="W21" s="1509"/>
      <c r="X21" s="1502"/>
      <c r="Y21" s="3508"/>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08"/>
      <c r="Q22" s="1507" t="str">
        <f>B22</f>
        <v>楼层</v>
      </c>
      <c r="R22" s="1508" t="s">
        <v>8</v>
      </c>
      <c r="S22" s="1509">
        <f>F22</f>
        <v>100</v>
      </c>
      <c r="T22" s="1508" t="s">
        <v>8</v>
      </c>
      <c r="U22" s="1509">
        <f>H22</f>
        <v>100</v>
      </c>
      <c r="V22" s="1508" t="s">
        <v>8</v>
      </c>
      <c r="W22" s="1509">
        <f>J22</f>
        <v>100</v>
      </c>
      <c r="X22" s="1502"/>
      <c r="Y22" s="3508"/>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08"/>
      <c r="Q23" s="1507">
        <f>B23</f>
        <v>111</v>
      </c>
      <c r="R23" s="1508" t="s">
        <v>8</v>
      </c>
      <c r="S23" s="1509">
        <f>F23</f>
        <v>100</v>
      </c>
      <c r="T23" s="1508" t="s">
        <v>8</v>
      </c>
      <c r="U23" s="1509">
        <f>H23</f>
        <v>100</v>
      </c>
      <c r="V23" s="1508" t="s">
        <v>8</v>
      </c>
      <c r="W23" s="1509">
        <f>J23</f>
        <v>100</v>
      </c>
      <c r="X23" s="1502"/>
      <c r="Y23" s="3508"/>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08"/>
      <c r="Q24" s="1507">
        <f t="shared" ref="Q24:Q36" si="11">B24</f>
        <v>111</v>
      </c>
      <c r="R24" s="1508" t="s">
        <v>8</v>
      </c>
      <c r="S24" s="1509">
        <f>F24</f>
        <v>100</v>
      </c>
      <c r="T24" s="1508" t="s">
        <v>8</v>
      </c>
      <c r="U24" s="1509">
        <f>H24</f>
        <v>100</v>
      </c>
      <c r="V24" s="1508" t="s">
        <v>8</v>
      </c>
      <c r="W24" s="1509">
        <f>J24</f>
        <v>100</v>
      </c>
      <c r="X24" s="1502"/>
      <c r="Y24" s="3508"/>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08"/>
      <c r="Q25" s="1134">
        <f t="shared" si="11"/>
        <v>111</v>
      </c>
      <c r="R25" s="1503" t="s">
        <v>8</v>
      </c>
      <c r="S25" s="1504">
        <f>F25</f>
        <v>100</v>
      </c>
      <c r="T25" s="1503" t="s">
        <v>8</v>
      </c>
      <c r="U25" s="1504">
        <f>H25</f>
        <v>100</v>
      </c>
      <c r="V25" s="1503" t="s">
        <v>8</v>
      </c>
      <c r="W25" s="1504">
        <f>J25</f>
        <v>100</v>
      </c>
      <c r="X25" s="1505"/>
      <c r="Y25" s="3508"/>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09"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10"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10"/>
      <c r="Q27" s="1536" t="str">
        <f t="shared" si="11"/>
        <v>项目停车位配比</v>
      </c>
      <c r="R27" s="1512" t="s">
        <v>8</v>
      </c>
      <c r="S27" s="1513">
        <f t="shared" si="12"/>
        <v>100</v>
      </c>
      <c r="T27" s="1512" t="s">
        <v>8</v>
      </c>
      <c r="U27" s="1513">
        <f t="shared" si="13"/>
        <v>100</v>
      </c>
      <c r="V27" s="1512" t="s">
        <v>8</v>
      </c>
      <c r="W27" s="1513">
        <f t="shared" si="14"/>
        <v>100</v>
      </c>
      <c r="X27" s="1514"/>
      <c r="Y27" s="3510"/>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10"/>
      <c r="Q28" s="1507" t="str">
        <f t="shared" si="11"/>
        <v>公共部分装修</v>
      </c>
      <c r="R28" s="1508" t="s">
        <v>8</v>
      </c>
      <c r="S28" s="1509">
        <f t="shared" si="12"/>
        <v>100</v>
      </c>
      <c r="T28" s="1508" t="s">
        <v>8</v>
      </c>
      <c r="U28" s="1509">
        <f t="shared" si="13"/>
        <v>100</v>
      </c>
      <c r="V28" s="1508" t="s">
        <v>8</v>
      </c>
      <c r="W28" s="1509">
        <f t="shared" si="14"/>
        <v>100</v>
      </c>
      <c r="X28" s="1502"/>
      <c r="Y28" s="3510"/>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10"/>
      <c r="Q29" s="1507" t="str">
        <f t="shared" si="11"/>
        <v>成新率</v>
      </c>
      <c r="R29" s="1508" t="s">
        <v>8</v>
      </c>
      <c r="S29" s="1509" t="e">
        <f t="shared" si="12"/>
        <v>#N/A</v>
      </c>
      <c r="T29" s="1508" t="s">
        <v>8</v>
      </c>
      <c r="U29" s="1509" t="e">
        <f t="shared" si="13"/>
        <v>#N/A</v>
      </c>
      <c r="V29" s="1508" t="s">
        <v>8</v>
      </c>
      <c r="W29" s="1509" t="e">
        <f t="shared" si="14"/>
        <v>#N/A</v>
      </c>
      <c r="X29" s="1502"/>
      <c r="Y29" s="3510"/>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10"/>
      <c r="Q30" s="1507" t="str">
        <f t="shared" si="11"/>
        <v>物业等级</v>
      </c>
      <c r="R30" s="1508" t="s">
        <v>8</v>
      </c>
      <c r="S30" s="1509">
        <f t="shared" si="12"/>
        <v>100</v>
      </c>
      <c r="T30" s="1508" t="s">
        <v>8</v>
      </c>
      <c r="U30" s="1509">
        <f t="shared" si="13"/>
        <v>100</v>
      </c>
      <c r="V30" s="1508" t="s">
        <v>8</v>
      </c>
      <c r="W30" s="1509">
        <f t="shared" si="14"/>
        <v>100</v>
      </c>
      <c r="X30" s="1502"/>
      <c r="Y30" s="3510"/>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10"/>
      <c r="Q31" s="1134" t="str">
        <f t="shared" si="11"/>
        <v>停车位面积</v>
      </c>
      <c r="R31" s="1503" t="s">
        <v>8</v>
      </c>
      <c r="S31" s="1504" t="e">
        <f t="shared" si="12"/>
        <v>#N/A</v>
      </c>
      <c r="T31" s="1503" t="s">
        <v>8</v>
      </c>
      <c r="U31" s="1504" t="e">
        <f t="shared" si="13"/>
        <v>#N/A</v>
      </c>
      <c r="V31" s="1503" t="s">
        <v>8</v>
      </c>
      <c r="W31" s="1504" t="e">
        <f t="shared" si="14"/>
        <v>#N/A</v>
      </c>
      <c r="X31" s="1505"/>
      <c r="Y31" s="3510"/>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10" t="s">
        <v>544</v>
      </c>
      <c r="Q32" s="1507" t="str">
        <f t="shared" si="11"/>
        <v>车位类型</v>
      </c>
      <c r="R32" s="1508" t="s">
        <v>8</v>
      </c>
      <c r="S32" s="1509">
        <f t="shared" si="12"/>
        <v>100</v>
      </c>
      <c r="T32" s="1508" t="s">
        <v>8</v>
      </c>
      <c r="U32" s="1509">
        <f t="shared" si="13"/>
        <v>100</v>
      </c>
      <c r="V32" s="1508" t="s">
        <v>8</v>
      </c>
      <c r="W32" s="1509">
        <f t="shared" si="14"/>
        <v>100</v>
      </c>
      <c r="X32" s="1502"/>
      <c r="Y32" s="3510"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10"/>
      <c r="Q33" s="1507" t="str">
        <f t="shared" si="11"/>
        <v>是否直接入户</v>
      </c>
      <c r="R33" s="1508" t="s">
        <v>8</v>
      </c>
      <c r="S33" s="1509">
        <f t="shared" si="12"/>
        <v>100</v>
      </c>
      <c r="T33" s="1508" t="s">
        <v>8</v>
      </c>
      <c r="U33" s="1509">
        <f t="shared" si="13"/>
        <v>100</v>
      </c>
      <c r="V33" s="1508" t="s">
        <v>8</v>
      </c>
      <c r="W33" s="1509">
        <f t="shared" si="14"/>
        <v>100</v>
      </c>
      <c r="X33" s="1502"/>
      <c r="Y33" s="3510"/>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10"/>
      <c r="Q34" s="1507">
        <f t="shared" si="11"/>
        <v>111</v>
      </c>
      <c r="R34" s="1508" t="s">
        <v>8</v>
      </c>
      <c r="S34" s="1509">
        <f t="shared" si="12"/>
        <v>100</v>
      </c>
      <c r="T34" s="1508" t="s">
        <v>8</v>
      </c>
      <c r="U34" s="1509">
        <f t="shared" si="13"/>
        <v>100</v>
      </c>
      <c r="V34" s="1508" t="s">
        <v>8</v>
      </c>
      <c r="W34" s="1509">
        <f t="shared" si="14"/>
        <v>100</v>
      </c>
      <c r="X34" s="1502"/>
      <c r="Y34" s="3510"/>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10"/>
      <c r="Q35" s="1536">
        <f t="shared" si="11"/>
        <v>111</v>
      </c>
      <c r="R35" s="1512" t="s">
        <v>8</v>
      </c>
      <c r="S35" s="1513">
        <f t="shared" si="12"/>
        <v>100</v>
      </c>
      <c r="T35" s="1512" t="s">
        <v>8</v>
      </c>
      <c r="U35" s="1513">
        <f t="shared" si="13"/>
        <v>100</v>
      </c>
      <c r="V35" s="1512" t="s">
        <v>8</v>
      </c>
      <c r="W35" s="1513">
        <f t="shared" si="14"/>
        <v>100</v>
      </c>
      <c r="X35" s="1514"/>
      <c r="Y35" s="3510"/>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10"/>
      <c r="Q36" s="1507">
        <f t="shared" si="11"/>
        <v>111</v>
      </c>
      <c r="R36" s="1508" t="s">
        <v>8</v>
      </c>
      <c r="S36" s="1509">
        <f t="shared" si="12"/>
        <v>100</v>
      </c>
      <c r="T36" s="1508" t="s">
        <v>8</v>
      </c>
      <c r="U36" s="1509">
        <f t="shared" si="13"/>
        <v>100</v>
      </c>
      <c r="V36" s="1508" t="s">
        <v>8</v>
      </c>
      <c r="W36" s="1509">
        <f t="shared" si="14"/>
        <v>100</v>
      </c>
      <c r="X36" s="1502"/>
      <c r="Y36" s="3510"/>
      <c r="Z36" s="1510">
        <f t="shared" si="15"/>
        <v>111</v>
      </c>
      <c r="AA36" s="1511">
        <f t="shared" si="3"/>
        <v>1</v>
      </c>
      <c r="AB36" s="1511">
        <f t="shared" si="4"/>
        <v>1</v>
      </c>
      <c r="AC36" s="1511">
        <f t="shared" si="5"/>
        <v>1</v>
      </c>
    </row>
    <row r="37" spans="1:29" ht="15">
      <c r="A37" s="1761" t="s">
        <v>2065</v>
      </c>
      <c r="B37" s="1762" t="s">
        <v>2066</v>
      </c>
      <c r="C37" s="2471" t="s">
        <v>1</v>
      </c>
      <c r="D37" s="2472"/>
      <c r="E37" s="2473"/>
      <c r="F37" s="2474"/>
      <c r="G37" s="2475"/>
      <c r="H37" s="2476"/>
      <c r="I37" s="2473"/>
      <c r="J37" s="2476"/>
      <c r="K37" s="1541"/>
      <c r="L37" s="2027"/>
      <c r="M37" s="2028"/>
      <c r="N37" s="2017"/>
      <c r="O37" s="2028"/>
      <c r="P37" s="3473" t="str">
        <f>A37</f>
        <v>成交单价</v>
      </c>
      <c r="Q37" s="3473"/>
      <c r="R37" s="3568">
        <f>E37</f>
        <v>0</v>
      </c>
      <c r="S37" s="3568"/>
      <c r="T37" s="3568">
        <f>G37</f>
        <v>0</v>
      </c>
      <c r="U37" s="3568"/>
      <c r="V37" s="3568">
        <f>I37</f>
        <v>0</v>
      </c>
      <c r="W37" s="3568"/>
      <c r="X37" s="1497"/>
      <c r="Y37" s="1516"/>
      <c r="Z37" s="1497"/>
      <c r="AA37" s="1497"/>
      <c r="AB37" s="1497"/>
      <c r="AC37" s="1497"/>
    </row>
    <row r="38" spans="1:29" ht="15.75" thickBot="1">
      <c r="A38" s="609" t="s">
        <v>2740</v>
      </c>
      <c r="B38" s="877"/>
      <c r="C38" s="2477" t="e">
        <f>R39</f>
        <v>#DIV/0!</v>
      </c>
      <c r="D38" s="3015" t="s">
        <v>2959</v>
      </c>
      <c r="E38" s="2478" t="e">
        <f>R38</f>
        <v>#DIV/0!</v>
      </c>
      <c r="F38" s="3016"/>
      <c r="G38" s="2477" t="e">
        <f>T38</f>
        <v>#DIV/0!</v>
      </c>
      <c r="H38" s="3016"/>
      <c r="I38" s="2478" t="e">
        <f>V38</f>
        <v>#DIV/0!</v>
      </c>
      <c r="J38" s="3016"/>
      <c r="K38" s="3024">
        <f>F38+H38+J38</f>
        <v>0</v>
      </c>
      <c r="L38" s="2027"/>
      <c r="M38" s="2028"/>
      <c r="N38" s="2028"/>
      <c r="O38" s="2028"/>
      <c r="P38" s="3473" t="str">
        <f>A38</f>
        <v>比较价格（元/平方米）</v>
      </c>
      <c r="Q38" s="3473"/>
      <c r="R38" s="3568" t="e">
        <f>IF(F1="售价",ROUND(PRODUCT(R37,AA7:AA36),0),ROUND(PRODUCT(R37,AA7:AA36),1))</f>
        <v>#DIV/0!</v>
      </c>
      <c r="S38" s="3568"/>
      <c r="T38" s="3568" t="e">
        <f>IF(F1="售价",ROUND(PRODUCT(T37,AB7:AB36),0),ROUND(PRODUCT(T37,AB7:AB36),1))</f>
        <v>#DIV/0!</v>
      </c>
      <c r="U38" s="3568"/>
      <c r="V38" s="3568" t="e">
        <f>IF(F1="售价",ROUND(PRODUCT(V37,AC7:AC36),0),ROUND(PRODUCT(V37,AC7:AC36),1))</f>
        <v>#DIV/0!</v>
      </c>
      <c r="W38" s="3568"/>
      <c r="X38" s="1497"/>
      <c r="Y38" s="1497"/>
      <c r="Z38" s="1497"/>
      <c r="AA38" s="1497"/>
      <c r="AB38" s="1497"/>
      <c r="AC38" s="1497"/>
    </row>
    <row r="39" spans="1:29" ht="15.75" thickBot="1">
      <c r="A39" s="613" t="s">
        <v>2890</v>
      </c>
      <c r="B39" s="614"/>
      <c r="C39" s="2479" t="e">
        <f>R39</f>
        <v>#DIV/0!</v>
      </c>
      <c r="D39" s="2479"/>
      <c r="E39" s="2479"/>
      <c r="F39" s="2479"/>
      <c r="G39" s="2479"/>
      <c r="H39" s="2479"/>
      <c r="I39" s="2479"/>
      <c r="J39" s="2479"/>
      <c r="K39" s="1542"/>
      <c r="L39" s="2027"/>
      <c r="M39" s="2028"/>
      <c r="N39" s="2028"/>
      <c r="O39" s="2028"/>
      <c r="P39" s="3470" t="str">
        <f>A39</f>
        <v>估价对象XX用房的比较价格（楼面单价，元/平方米）</v>
      </c>
      <c r="Q39" s="3471"/>
      <c r="R39" s="3567" t="e">
        <f>IF(F1="售价",ROUND(IF(D38="简单平均",AVERAGE(R38:W38),R38*F38+T38*H38+V38*J38),0),ROUND(IF(D38="简单平均",AVERAGE(R38:V38),R38*F38+T38*H38+V38*J38),1))</f>
        <v>#DIV/0!</v>
      </c>
      <c r="S39" s="3567"/>
      <c r="T39" s="3567"/>
      <c r="U39" s="3567"/>
      <c r="V39" s="3567"/>
      <c r="W39" s="3567"/>
      <c r="X39" s="1497"/>
      <c r="Y39" s="1497"/>
      <c r="Z39" s="1497"/>
      <c r="AA39" s="1497"/>
      <c r="AB39" s="1497"/>
      <c r="AC39" s="1497"/>
    </row>
    <row r="40" spans="1:29">
      <c r="A40" s="3214"/>
      <c r="B40" s="3214"/>
      <c r="C40" s="3214"/>
      <c r="D40" s="3214"/>
      <c r="E40" s="3214"/>
      <c r="F40" s="3214"/>
      <c r="G40" s="3216"/>
      <c r="H40" s="3214"/>
      <c r="I40" s="3214"/>
      <c r="J40" s="3214"/>
      <c r="K40" s="3217"/>
      <c r="L40" s="2032"/>
      <c r="M40" s="2028"/>
      <c r="N40" s="2028"/>
      <c r="O40" s="2028"/>
      <c r="P40" s="2028"/>
      <c r="Q40" s="2028"/>
      <c r="R40" s="2028"/>
      <c r="S40" s="2028"/>
      <c r="T40" s="2028"/>
      <c r="U40" s="2028"/>
      <c r="V40" s="2028"/>
      <c r="W40" s="2028"/>
      <c r="X40" s="2028"/>
      <c r="Y40" s="2028"/>
      <c r="Z40" s="2028"/>
      <c r="AA40" s="2028"/>
      <c r="AB40" s="2028"/>
      <c r="AC40" s="2028"/>
    </row>
    <row r="41" spans="1:29">
      <c r="A41" s="3214"/>
      <c r="B41" s="3214"/>
      <c r="C41" s="3214"/>
      <c r="D41" s="3214"/>
      <c r="E41" s="3214"/>
      <c r="F41" s="3214"/>
      <c r="G41" s="3214"/>
      <c r="H41" s="3214"/>
      <c r="I41" s="3214"/>
      <c r="J41" s="3214"/>
      <c r="K41" s="3217"/>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2020-8</v>
      </c>
      <c r="D48" s="2522">
        <f>EDATE(C48,-1)</f>
        <v>44013</v>
      </c>
      <c r="E48" s="2522">
        <f t="shared" ref="E48:O48" si="16">EDATE(D48,-1)</f>
        <v>43983</v>
      </c>
      <c r="F48" s="2522">
        <f t="shared" si="16"/>
        <v>43952</v>
      </c>
      <c r="G48" s="2522">
        <f t="shared" si="16"/>
        <v>43922</v>
      </c>
      <c r="H48" s="2522">
        <f t="shared" si="16"/>
        <v>43891</v>
      </c>
      <c r="I48" s="2522">
        <f t="shared" si="16"/>
        <v>43862</v>
      </c>
      <c r="J48" s="2522">
        <f t="shared" si="16"/>
        <v>43831</v>
      </c>
      <c r="K48" s="2522">
        <f t="shared" si="16"/>
        <v>43800</v>
      </c>
      <c r="L48" s="2522">
        <f t="shared" si="16"/>
        <v>43770</v>
      </c>
      <c r="M48" s="2522">
        <f t="shared" si="16"/>
        <v>43739</v>
      </c>
      <c r="N48" s="2522">
        <f t="shared" si="16"/>
        <v>43709</v>
      </c>
      <c r="O48" s="2522">
        <f t="shared" si="16"/>
        <v>43678</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3" priority="17" stopIfTrue="1" operator="containsText" text="超过">
      <formula>NOT(ISERROR(SEARCH("超过",F42)))</formula>
    </cfRule>
  </conditionalFormatting>
  <conditionalFormatting sqref="J44">
    <cfRule type="containsText" dxfId="32" priority="16" stopIfTrue="1" operator="containsText" text="超过">
      <formula>NOT(ISERROR(SEARCH("超过",J44)))</formula>
    </cfRule>
  </conditionalFormatting>
  <conditionalFormatting sqref="H44">
    <cfRule type="containsText" dxfId="31" priority="15" stopIfTrue="1" operator="containsText" text="超过">
      <formula>NOT(ISERROR(SEARCH("超过",H44)))</formula>
    </cfRule>
  </conditionalFormatting>
  <conditionalFormatting sqref="F44">
    <cfRule type="containsText" dxfId="30" priority="14" stopIfTrue="1" operator="containsText" text="超过">
      <formula>NOT(ISERROR(SEARCH("超过",F44)))</formula>
    </cfRule>
  </conditionalFormatting>
  <conditionalFormatting sqref="F43 H43 J43">
    <cfRule type="containsText" dxfId="29" priority="13" stopIfTrue="1" operator="containsText" text="超过">
      <formula>NOT(ISERROR(SEARCH("超过",F43)))</formula>
    </cfRule>
  </conditionalFormatting>
  <conditionalFormatting sqref="E42">
    <cfRule type="expression" dxfId="28" priority="12" stopIfTrue="1">
      <formula>$F$42="超过30%"</formula>
    </cfRule>
  </conditionalFormatting>
  <conditionalFormatting sqref="G44">
    <cfRule type="expression" dxfId="27" priority="11" stopIfTrue="1">
      <formula>$H$54+$H$44="超过30%"</formula>
    </cfRule>
  </conditionalFormatting>
  <conditionalFormatting sqref="E43">
    <cfRule type="expression" dxfId="26" priority="10" stopIfTrue="1">
      <formula>$F$43="超过20%"</formula>
    </cfRule>
  </conditionalFormatting>
  <conditionalFormatting sqref="E44">
    <cfRule type="expression" dxfId="25" priority="9" stopIfTrue="1">
      <formula>$F$44="超过30%"</formula>
    </cfRule>
  </conditionalFormatting>
  <conditionalFormatting sqref="G42">
    <cfRule type="expression" dxfId="24" priority="8" stopIfTrue="1">
      <formula>$H$52+$H$42="超过30%"</formula>
    </cfRule>
  </conditionalFormatting>
  <conditionalFormatting sqref="G43">
    <cfRule type="expression" dxfId="23" priority="7" stopIfTrue="1">
      <formula>$H$43="超过20%"</formula>
    </cfRule>
  </conditionalFormatting>
  <conditionalFormatting sqref="I42">
    <cfRule type="expression" dxfId="22" priority="6" stopIfTrue="1">
      <formula>$J$52+$J$42="超过30%"</formula>
    </cfRule>
  </conditionalFormatting>
  <conditionalFormatting sqref="I43">
    <cfRule type="expression" dxfId="21" priority="5" stopIfTrue="1">
      <formula>$J$53+$J$43="超过20%"</formula>
    </cfRule>
  </conditionalFormatting>
  <conditionalFormatting sqref="I44">
    <cfRule type="expression" dxfId="20" priority="4" stopIfTrue="1">
      <formula>$J$44="超过30%"</formula>
    </cfRule>
  </conditionalFormatting>
  <conditionalFormatting sqref="F38">
    <cfRule type="expression" dxfId="19" priority="3">
      <formula>$D$38="简单平均"</formula>
    </cfRule>
  </conditionalFormatting>
  <conditionalFormatting sqref="H38">
    <cfRule type="expression" dxfId="18" priority="2">
      <formula>$D$38="简单平均"</formula>
    </cfRule>
  </conditionalFormatting>
  <conditionalFormatting sqref="J38">
    <cfRule type="expression" dxfId="17" priority="1">
      <formula>$D$38="简单平均"</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38"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view="pageBreakPreview" zoomScale="60" zoomScaleNormal="60" workbookViewId="0">
      <selection activeCell="M32" sqref="M3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79" t="s">
        <v>792</v>
      </c>
      <c r="D4" s="3480"/>
      <c r="E4" s="3513" t="s">
        <v>793</v>
      </c>
      <c r="F4" s="3514"/>
      <c r="G4" s="3479" t="s">
        <v>794</v>
      </c>
      <c r="H4" s="3480"/>
      <c r="I4" s="3479" t="s">
        <v>795</v>
      </c>
      <c r="J4" s="3480"/>
      <c r="K4" s="508" t="s">
        <v>796</v>
      </c>
      <c r="L4" s="2016"/>
      <c r="M4" s="2017"/>
      <c r="N4" s="2017"/>
      <c r="O4" s="2017"/>
      <c r="P4" s="3481" t="s">
        <v>797</v>
      </c>
      <c r="Q4" s="3482"/>
      <c r="R4" s="3487" t="s">
        <v>793</v>
      </c>
      <c r="S4" s="3488"/>
      <c r="T4" s="3487" t="s">
        <v>794</v>
      </c>
      <c r="U4" s="3488"/>
      <c r="V4" s="3474" t="s">
        <v>795</v>
      </c>
      <c r="W4" s="3474"/>
      <c r="X4" s="1502"/>
      <c r="Y4" s="3487" t="s">
        <v>797</v>
      </c>
      <c r="Z4" s="3488"/>
      <c r="AA4" s="3476" t="s">
        <v>793</v>
      </c>
      <c r="AB4" s="3477" t="s">
        <v>794</v>
      </c>
      <c r="AC4" s="3476" t="s">
        <v>795</v>
      </c>
    </row>
    <row r="5" spans="1:29" ht="15">
      <c r="A5" s="509"/>
      <c r="B5" s="510"/>
      <c r="C5" s="3495" t="s">
        <v>2884</v>
      </c>
      <c r="D5" s="3496"/>
      <c r="E5" s="3515" t="s">
        <v>2885</v>
      </c>
      <c r="F5" s="3516"/>
      <c r="G5" s="3495" t="s">
        <v>2886</v>
      </c>
      <c r="H5" s="3496"/>
      <c r="I5" s="3495" t="s">
        <v>2887</v>
      </c>
      <c r="J5" s="3496"/>
      <c r="K5" s="508"/>
      <c r="L5" s="2016"/>
      <c r="M5" s="2017"/>
      <c r="N5" s="2017"/>
      <c r="O5" s="2017"/>
      <c r="P5" s="3483"/>
      <c r="Q5" s="3484"/>
      <c r="R5" s="3489"/>
      <c r="S5" s="3490"/>
      <c r="T5" s="3489"/>
      <c r="U5" s="3490"/>
      <c r="V5" s="3474"/>
      <c r="W5" s="3474"/>
      <c r="X5" s="1502"/>
      <c r="Y5" s="3489"/>
      <c r="Z5" s="3490"/>
      <c r="AA5" s="3477"/>
      <c r="AB5" s="3477"/>
      <c r="AC5" s="3477"/>
    </row>
    <row r="6" spans="1:29" ht="15.75" thickBot="1">
      <c r="A6" s="511"/>
      <c r="B6" s="512"/>
      <c r="C6" s="3493" t="s">
        <v>2888</v>
      </c>
      <c r="D6" s="3494"/>
      <c r="E6" s="3511" t="s">
        <v>2888</v>
      </c>
      <c r="F6" s="3512"/>
      <c r="G6" s="3493" t="s">
        <v>2888</v>
      </c>
      <c r="H6" s="3494"/>
      <c r="I6" s="3493" t="s">
        <v>2888</v>
      </c>
      <c r="J6" s="3494"/>
      <c r="K6" s="508" t="s">
        <v>522</v>
      </c>
      <c r="L6" s="2016"/>
      <c r="M6" s="2017"/>
      <c r="N6" s="2017"/>
      <c r="O6" s="2017"/>
      <c r="P6" s="3485"/>
      <c r="Q6" s="3486"/>
      <c r="R6" s="3489"/>
      <c r="S6" s="3490"/>
      <c r="T6" s="3491"/>
      <c r="U6" s="3492"/>
      <c r="V6" s="3474"/>
      <c r="W6" s="3474"/>
      <c r="X6" s="1502"/>
      <c r="Y6" s="3491"/>
      <c r="Z6" s="3492"/>
      <c r="AA6" s="3478"/>
      <c r="AB6" s="3478"/>
      <c r="AC6" s="3478"/>
    </row>
    <row r="7" spans="1:29" s="1203" customFormat="1" ht="15.75" thickBot="1">
      <c r="A7" s="2630"/>
      <c r="B7" s="2637" t="s">
        <v>523</v>
      </c>
      <c r="C7" s="513">
        <f>'数据-取费表'!B2</f>
        <v>44070</v>
      </c>
      <c r="D7" s="514">
        <v>100</v>
      </c>
      <c r="E7" s="515"/>
      <c r="F7" s="516">
        <f>SUMIF(46:46,YEAR(E7)&amp;"-"&amp;MONTH(E7),47:47)</f>
        <v>0</v>
      </c>
      <c r="G7" s="517"/>
      <c r="H7" s="514">
        <f>SUMIF(46:46,YEAR(G7)&amp;"-"&amp;MONTH(G7),47:47)</f>
        <v>0</v>
      </c>
      <c r="I7" s="517"/>
      <c r="J7" s="514">
        <f>SUMIF(46:46,YEAR(I7)&amp;"-"&amp;MONTH(I7),47:47)</f>
        <v>0</v>
      </c>
      <c r="K7" s="518"/>
      <c r="L7" s="2018"/>
      <c r="M7" s="2019"/>
      <c r="N7" s="2019"/>
      <c r="O7" s="2019"/>
      <c r="P7" s="3504" t="s">
        <v>524</v>
      </c>
      <c r="Q7" s="3506"/>
      <c r="R7" s="1503" t="s">
        <v>8</v>
      </c>
      <c r="S7" s="1504">
        <f t="shared" ref="S7:S14" si="0">F7</f>
        <v>0</v>
      </c>
      <c r="T7" s="1503" t="s">
        <v>8</v>
      </c>
      <c r="U7" s="1504">
        <f t="shared" ref="U7:U14" si="1">H7</f>
        <v>0</v>
      </c>
      <c r="V7" s="1503" t="s">
        <v>8</v>
      </c>
      <c r="W7" s="1504">
        <f t="shared" ref="W7:W14" si="2">J7</f>
        <v>0</v>
      </c>
      <c r="X7" s="1505"/>
      <c r="Y7" s="3504" t="s">
        <v>524</v>
      </c>
      <c r="Z7" s="3505"/>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504" t="s">
        <v>527</v>
      </c>
      <c r="Q8" s="3505"/>
      <c r="R8" s="1503" t="s">
        <v>8</v>
      </c>
      <c r="S8" s="1504">
        <f t="shared" si="0"/>
        <v>0</v>
      </c>
      <c r="T8" s="1503" t="s">
        <v>8</v>
      </c>
      <c r="U8" s="1504">
        <f t="shared" si="1"/>
        <v>0</v>
      </c>
      <c r="V8" s="1503" t="s">
        <v>8</v>
      </c>
      <c r="W8" s="1504">
        <f t="shared" si="2"/>
        <v>0</v>
      </c>
      <c r="X8" s="1505"/>
      <c r="Y8" s="3504" t="s">
        <v>527</v>
      </c>
      <c r="Z8" s="3505"/>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73" t="s">
        <v>529</v>
      </c>
      <c r="Q9" s="1134" t="str">
        <f t="shared" ref="Q9:Q14" si="6">B9</f>
        <v>用途</v>
      </c>
      <c r="R9" s="1503" t="s">
        <v>8</v>
      </c>
      <c r="S9" s="1504">
        <f t="shared" si="0"/>
        <v>100</v>
      </c>
      <c r="T9" s="1503" t="s">
        <v>8</v>
      </c>
      <c r="U9" s="1504">
        <f t="shared" si="1"/>
        <v>100</v>
      </c>
      <c r="V9" s="1503" t="s">
        <v>8</v>
      </c>
      <c r="W9" s="1504">
        <f t="shared" si="2"/>
        <v>100</v>
      </c>
      <c r="X9" s="1505"/>
      <c r="Y9" s="3419"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73"/>
      <c r="Q10" s="1134" t="str">
        <f t="shared" si="6"/>
        <v>土地使用年限（年）</v>
      </c>
      <c r="R10" s="1503" t="s">
        <v>8</v>
      </c>
      <c r="S10" s="1504">
        <f t="shared" si="0"/>
        <v>100</v>
      </c>
      <c r="T10" s="1503" t="s">
        <v>8</v>
      </c>
      <c r="U10" s="1504">
        <f t="shared" si="1"/>
        <v>100</v>
      </c>
      <c r="V10" s="1503" t="s">
        <v>8</v>
      </c>
      <c r="W10" s="1504">
        <f t="shared" si="2"/>
        <v>100</v>
      </c>
      <c r="X10" s="1505"/>
      <c r="Y10" s="3419"/>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73"/>
      <c r="Q11" s="1134">
        <f t="shared" si="6"/>
        <v>111</v>
      </c>
      <c r="R11" s="1503" t="s">
        <v>8</v>
      </c>
      <c r="S11" s="1504">
        <f t="shared" si="0"/>
        <v>100</v>
      </c>
      <c r="T11" s="1503" t="s">
        <v>8</v>
      </c>
      <c r="U11" s="1504">
        <f t="shared" si="1"/>
        <v>100</v>
      </c>
      <c r="V11" s="1503" t="s">
        <v>8</v>
      </c>
      <c r="W11" s="1504">
        <f t="shared" si="2"/>
        <v>100</v>
      </c>
      <c r="X11" s="1505"/>
      <c r="Y11" s="3419"/>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73"/>
      <c r="Q12" s="1134">
        <f t="shared" si="6"/>
        <v>111</v>
      </c>
      <c r="R12" s="1503" t="s">
        <v>8</v>
      </c>
      <c r="S12" s="1504">
        <f t="shared" si="0"/>
        <v>100</v>
      </c>
      <c r="T12" s="1503" t="s">
        <v>8</v>
      </c>
      <c r="U12" s="1504">
        <f t="shared" si="1"/>
        <v>100</v>
      </c>
      <c r="V12" s="1503" t="s">
        <v>8</v>
      </c>
      <c r="W12" s="1504">
        <f t="shared" si="2"/>
        <v>100</v>
      </c>
      <c r="X12" s="1505"/>
      <c r="Y12" s="3419"/>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73"/>
      <c r="Q13" s="1134">
        <f t="shared" si="6"/>
        <v>111</v>
      </c>
      <c r="R13" s="1503" t="s">
        <v>8</v>
      </c>
      <c r="S13" s="1504">
        <f t="shared" si="0"/>
        <v>100</v>
      </c>
      <c r="T13" s="1503" t="s">
        <v>8</v>
      </c>
      <c r="U13" s="1504">
        <f t="shared" si="1"/>
        <v>100</v>
      </c>
      <c r="V13" s="1503" t="s">
        <v>8</v>
      </c>
      <c r="W13" s="1504">
        <f t="shared" si="2"/>
        <v>100</v>
      </c>
      <c r="X13" s="1505"/>
      <c r="Y13" s="3419"/>
      <c r="Z13" s="1133">
        <f t="shared" si="7"/>
        <v>111</v>
      </c>
      <c r="AA13" s="1506">
        <f t="shared" si="3"/>
        <v>1</v>
      </c>
      <c r="AB13" s="1506">
        <f t="shared" si="4"/>
        <v>1</v>
      </c>
      <c r="AC13" s="1506">
        <f t="shared" si="5"/>
        <v>1</v>
      </c>
    </row>
    <row r="14" spans="1:29" ht="15">
      <c r="A14" s="2628" t="s">
        <v>2734</v>
      </c>
      <c r="B14" s="164" t="s">
        <v>537</v>
      </c>
      <c r="C14" s="910" t="str">
        <f>IF(B1="工业",估价对象房地状况!G4,估价对象房地状况!C6)</f>
        <v>一般</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507" t="s">
        <v>534</v>
      </c>
      <c r="Q14" s="1507" t="str">
        <f t="shared" si="6"/>
        <v>交通便捷度</v>
      </c>
      <c r="R14" s="1508" t="s">
        <v>8</v>
      </c>
      <c r="S14" s="1509">
        <f t="shared" si="0"/>
        <v>100</v>
      </c>
      <c r="T14" s="1508" t="s">
        <v>8</v>
      </c>
      <c r="U14" s="1509">
        <f t="shared" si="1"/>
        <v>100</v>
      </c>
      <c r="V14" s="1508" t="s">
        <v>8</v>
      </c>
      <c r="W14" s="1509">
        <f t="shared" si="2"/>
        <v>100</v>
      </c>
      <c r="X14" s="1502"/>
      <c r="Y14" s="3507"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08"/>
      <c r="Q15" s="1507"/>
      <c r="R15" s="1508"/>
      <c r="S15" s="1509"/>
      <c r="T15" s="1508"/>
      <c r="U15" s="1509"/>
      <c r="V15" s="1508"/>
      <c r="W15" s="1509"/>
      <c r="X15" s="1502"/>
      <c r="Y15" s="3508"/>
      <c r="Z15" s="1510"/>
      <c r="AA15" s="1511">
        <v>1</v>
      </c>
      <c r="AB15" s="1511">
        <v>1</v>
      </c>
      <c r="AC15" s="1511">
        <v>1</v>
      </c>
    </row>
    <row r="16" spans="1:29" ht="15">
      <c r="A16" s="526"/>
      <c r="B16" s="2448" t="s">
        <v>2527</v>
      </c>
      <c r="C16" s="861" t="str">
        <f>IF(B1="工业",估价对象房地状况!G5,估价对象房地状况!C7)</f>
        <v>一般</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08"/>
      <c r="Q16" s="1507" t="str">
        <f>B16</f>
        <v>公共配套设施</v>
      </c>
      <c r="R16" s="1508" t="s">
        <v>8</v>
      </c>
      <c r="S16" s="1509">
        <f>F16</f>
        <v>100</v>
      </c>
      <c r="T16" s="1508" t="s">
        <v>8</v>
      </c>
      <c r="U16" s="1509">
        <f>H16</f>
        <v>100</v>
      </c>
      <c r="V16" s="1508" t="s">
        <v>8</v>
      </c>
      <c r="W16" s="1509">
        <f>J16</f>
        <v>100</v>
      </c>
      <c r="X16" s="1502"/>
      <c r="Y16" s="3508"/>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08"/>
      <c r="Q17" s="1507"/>
      <c r="R17" s="1508"/>
      <c r="S17" s="1509"/>
      <c r="T17" s="1508"/>
      <c r="U17" s="1509"/>
      <c r="V17" s="1508"/>
      <c r="W17" s="1509"/>
      <c r="X17" s="1502"/>
      <c r="Y17" s="3508"/>
      <c r="Z17" s="1510"/>
      <c r="AA17" s="1511">
        <v>1</v>
      </c>
      <c r="AB17" s="1511">
        <v>1</v>
      </c>
      <c r="AC17" s="1511">
        <v>1</v>
      </c>
    </row>
    <row r="18" spans="1:29" ht="15">
      <c r="A18" s="526"/>
      <c r="B18" s="2436" t="s">
        <v>2539</v>
      </c>
      <c r="C18" s="861" t="str">
        <f>IF(B1="工业",估价对象房地状况!G6,估价对象房地状况!C8)</f>
        <v>七通</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08"/>
      <c r="Q18" s="2430" t="str">
        <f>B18</f>
        <v>基础设施水平</v>
      </c>
      <c r="R18" s="1508" t="s">
        <v>8</v>
      </c>
      <c r="S18" s="1509">
        <f>F18</f>
        <v>100</v>
      </c>
      <c r="T18" s="1508" t="s">
        <v>8</v>
      </c>
      <c r="U18" s="1509">
        <f>H18</f>
        <v>100</v>
      </c>
      <c r="V18" s="1508" t="s">
        <v>8</v>
      </c>
      <c r="W18" s="1509">
        <f>J18</f>
        <v>100</v>
      </c>
      <c r="X18" s="2432"/>
      <c r="Y18" s="3508"/>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508"/>
      <c r="Q19" s="2430"/>
      <c r="R19" s="1508"/>
      <c r="S19" s="1509"/>
      <c r="T19" s="1508"/>
      <c r="U19" s="1509"/>
      <c r="V19" s="1508"/>
      <c r="W19" s="1509"/>
      <c r="X19" s="2432"/>
      <c r="Y19" s="3508"/>
      <c r="Z19" s="2431"/>
      <c r="AA19" s="1511">
        <v>1</v>
      </c>
      <c r="AB19" s="1511">
        <v>1</v>
      </c>
      <c r="AC19" s="1511">
        <v>1</v>
      </c>
    </row>
    <row r="20" spans="1:29" ht="15">
      <c r="A20" s="526"/>
      <c r="B20" s="860" t="s">
        <v>798</v>
      </c>
      <c r="C20" s="861" t="str">
        <f>IF(B1="工业",估价对象房地状况!G7,估价对象房地状况!C9)</f>
        <v>较好</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08"/>
      <c r="Q20" s="1507" t="str">
        <f>B20</f>
        <v>自然及人文环境</v>
      </c>
      <c r="R20" s="1508" t="s">
        <v>8</v>
      </c>
      <c r="S20" s="1509">
        <f>F20</f>
        <v>100</v>
      </c>
      <c r="T20" s="1508" t="s">
        <v>8</v>
      </c>
      <c r="U20" s="1509">
        <f>H20</f>
        <v>100</v>
      </c>
      <c r="V20" s="1508" t="s">
        <v>8</v>
      </c>
      <c r="W20" s="1509">
        <f>J20</f>
        <v>100</v>
      </c>
      <c r="X20" s="1502"/>
      <c r="Y20" s="3508"/>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08"/>
      <c r="Q21" s="1507"/>
      <c r="R21" s="1508"/>
      <c r="S21" s="1509"/>
      <c r="T21" s="1508"/>
      <c r="U21" s="1509"/>
      <c r="V21" s="1508"/>
      <c r="W21" s="1509"/>
      <c r="X21" s="1502"/>
      <c r="Y21" s="3508"/>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08"/>
      <c r="Q22" s="1507" t="str">
        <f>B22</f>
        <v>楼层</v>
      </c>
      <c r="R22" s="1508" t="s">
        <v>8</v>
      </c>
      <c r="S22" s="1509">
        <f>F22</f>
        <v>100</v>
      </c>
      <c r="T22" s="1508" t="s">
        <v>8</v>
      </c>
      <c r="U22" s="1509">
        <f>H22</f>
        <v>100</v>
      </c>
      <c r="V22" s="1508" t="s">
        <v>8</v>
      </c>
      <c r="W22" s="1509">
        <f>J22</f>
        <v>100</v>
      </c>
      <c r="X22" s="1502"/>
      <c r="Y22" s="3508"/>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08"/>
      <c r="Q23" s="1507">
        <f>B23</f>
        <v>111</v>
      </c>
      <c r="R23" s="1508" t="s">
        <v>8</v>
      </c>
      <c r="S23" s="1509">
        <f>F23</f>
        <v>100</v>
      </c>
      <c r="T23" s="1508" t="s">
        <v>8</v>
      </c>
      <c r="U23" s="1509">
        <f>H23</f>
        <v>100</v>
      </c>
      <c r="V23" s="1508" t="s">
        <v>8</v>
      </c>
      <c r="W23" s="1509">
        <f>J23</f>
        <v>100</v>
      </c>
      <c r="X23" s="1502"/>
      <c r="Y23" s="3508"/>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08"/>
      <c r="Q24" s="1507">
        <f t="shared" ref="Q24:Q34" si="11">B24</f>
        <v>111</v>
      </c>
      <c r="R24" s="1508" t="s">
        <v>8</v>
      </c>
      <c r="S24" s="1509">
        <f>F24</f>
        <v>100</v>
      </c>
      <c r="T24" s="1508" t="s">
        <v>8</v>
      </c>
      <c r="U24" s="1509">
        <f>H24</f>
        <v>100</v>
      </c>
      <c r="V24" s="1508" t="s">
        <v>8</v>
      </c>
      <c r="W24" s="1509">
        <f>J24</f>
        <v>100</v>
      </c>
      <c r="X24" s="1502"/>
      <c r="Y24" s="3508"/>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08"/>
      <c r="Q25" s="1134">
        <f t="shared" si="11"/>
        <v>111</v>
      </c>
      <c r="R25" s="1503" t="s">
        <v>8</v>
      </c>
      <c r="S25" s="1504">
        <f>F25</f>
        <v>100</v>
      </c>
      <c r="T25" s="1503" t="s">
        <v>8</v>
      </c>
      <c r="U25" s="1504">
        <f>H25</f>
        <v>100</v>
      </c>
      <c r="V25" s="1503" t="s">
        <v>8</v>
      </c>
      <c r="W25" s="1504">
        <f>J25</f>
        <v>100</v>
      </c>
      <c r="X25" s="1505"/>
      <c r="Y25" s="3508"/>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09"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10"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10"/>
      <c r="Q27" s="1536" t="str">
        <f t="shared" si="11"/>
        <v>成新率</v>
      </c>
      <c r="R27" s="1512" t="s">
        <v>8</v>
      </c>
      <c r="S27" s="1513" t="e">
        <f t="shared" si="12"/>
        <v>#N/A</v>
      </c>
      <c r="T27" s="1512" t="s">
        <v>8</v>
      </c>
      <c r="U27" s="1513" t="e">
        <f t="shared" si="13"/>
        <v>#N/A</v>
      </c>
      <c r="V27" s="1512" t="s">
        <v>8</v>
      </c>
      <c r="W27" s="1513" t="e">
        <f t="shared" si="14"/>
        <v>#N/A</v>
      </c>
      <c r="X27" s="1514"/>
      <c r="Y27" s="3510"/>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10"/>
      <c r="Q28" s="1507" t="str">
        <f t="shared" si="11"/>
        <v>物业等级</v>
      </c>
      <c r="R28" s="1508" t="s">
        <v>8</v>
      </c>
      <c r="S28" s="1509">
        <f t="shared" si="12"/>
        <v>100</v>
      </c>
      <c r="T28" s="1508" t="s">
        <v>8</v>
      </c>
      <c r="U28" s="1509">
        <f t="shared" si="13"/>
        <v>100</v>
      </c>
      <c r="V28" s="1508" t="s">
        <v>8</v>
      </c>
      <c r="W28" s="1509">
        <f t="shared" si="14"/>
        <v>100</v>
      </c>
      <c r="X28" s="1502"/>
      <c r="Y28" s="3510"/>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10"/>
      <c r="Q29" s="1507" t="str">
        <f t="shared" si="11"/>
        <v>有无电梯</v>
      </c>
      <c r="R29" s="1508" t="s">
        <v>8</v>
      </c>
      <c r="S29" s="1509">
        <f t="shared" si="12"/>
        <v>100</v>
      </c>
      <c r="T29" s="1508" t="s">
        <v>8</v>
      </c>
      <c r="U29" s="1509">
        <f t="shared" si="13"/>
        <v>100</v>
      </c>
      <c r="V29" s="1508" t="s">
        <v>8</v>
      </c>
      <c r="W29" s="1509">
        <f t="shared" si="14"/>
        <v>100</v>
      </c>
      <c r="X29" s="1502"/>
      <c r="Y29" s="3510"/>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10"/>
      <c r="Q30" s="1507" t="str">
        <f t="shared" si="11"/>
        <v>建筑面积</v>
      </c>
      <c r="R30" s="1508" t="s">
        <v>8</v>
      </c>
      <c r="S30" s="1509" t="e">
        <f t="shared" si="12"/>
        <v>#N/A</v>
      </c>
      <c r="T30" s="1508" t="s">
        <v>8</v>
      </c>
      <c r="U30" s="1509" t="e">
        <f t="shared" si="13"/>
        <v>#N/A</v>
      </c>
      <c r="V30" s="1508" t="s">
        <v>8</v>
      </c>
      <c r="W30" s="1509" t="e">
        <f t="shared" si="14"/>
        <v>#N/A</v>
      </c>
      <c r="X30" s="1502"/>
      <c r="Y30" s="3510"/>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10"/>
      <c r="Q31" s="1134" t="str">
        <f t="shared" si="11"/>
        <v>是否封闭</v>
      </c>
      <c r="R31" s="1503" t="s">
        <v>8</v>
      </c>
      <c r="S31" s="1504">
        <f t="shared" si="12"/>
        <v>100</v>
      </c>
      <c r="T31" s="1503" t="s">
        <v>8</v>
      </c>
      <c r="U31" s="1504">
        <f t="shared" si="13"/>
        <v>100</v>
      </c>
      <c r="V31" s="1503" t="s">
        <v>8</v>
      </c>
      <c r="W31" s="1504">
        <f t="shared" si="14"/>
        <v>100</v>
      </c>
      <c r="X31" s="1505"/>
      <c r="Y31" s="3510"/>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10" t="s">
        <v>544</v>
      </c>
      <c r="Q32" s="1507">
        <f t="shared" si="11"/>
        <v>111</v>
      </c>
      <c r="R32" s="1508" t="s">
        <v>8</v>
      </c>
      <c r="S32" s="1509">
        <f t="shared" si="12"/>
        <v>100</v>
      </c>
      <c r="T32" s="1508" t="s">
        <v>8</v>
      </c>
      <c r="U32" s="1509">
        <f t="shared" si="13"/>
        <v>100</v>
      </c>
      <c r="V32" s="1508" t="s">
        <v>8</v>
      </c>
      <c r="W32" s="1509">
        <f t="shared" si="14"/>
        <v>100</v>
      </c>
      <c r="X32" s="1502"/>
      <c r="Y32" s="3510"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10"/>
      <c r="Q33" s="1507">
        <f t="shared" si="11"/>
        <v>111</v>
      </c>
      <c r="R33" s="1508" t="s">
        <v>8</v>
      </c>
      <c r="S33" s="1509">
        <f t="shared" si="12"/>
        <v>100</v>
      </c>
      <c r="T33" s="1508" t="s">
        <v>8</v>
      </c>
      <c r="U33" s="1509">
        <f t="shared" si="13"/>
        <v>100</v>
      </c>
      <c r="V33" s="1508" t="s">
        <v>8</v>
      </c>
      <c r="W33" s="1509">
        <f t="shared" si="14"/>
        <v>100</v>
      </c>
      <c r="X33" s="1502"/>
      <c r="Y33" s="3510"/>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10"/>
      <c r="Q34" s="1507">
        <f t="shared" si="11"/>
        <v>111</v>
      </c>
      <c r="R34" s="1508" t="s">
        <v>8</v>
      </c>
      <c r="S34" s="1509">
        <f t="shared" si="12"/>
        <v>100</v>
      </c>
      <c r="T34" s="1508" t="s">
        <v>8</v>
      </c>
      <c r="U34" s="1509">
        <f t="shared" si="13"/>
        <v>100</v>
      </c>
      <c r="V34" s="1508" t="s">
        <v>8</v>
      </c>
      <c r="W34" s="1509">
        <f t="shared" si="14"/>
        <v>100</v>
      </c>
      <c r="X34" s="1502"/>
      <c r="Y34" s="3510"/>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73" t="str">
        <f>A35</f>
        <v>成交单价（元/平方米）</v>
      </c>
      <c r="Q35" s="3473"/>
      <c r="R35" s="3568">
        <f>E35</f>
        <v>0</v>
      </c>
      <c r="S35" s="3568"/>
      <c r="T35" s="3568">
        <f>G35</f>
        <v>0</v>
      </c>
      <c r="U35" s="3568"/>
      <c r="V35" s="3568">
        <f>I35</f>
        <v>0</v>
      </c>
      <c r="W35" s="3568"/>
      <c r="X35" s="1497"/>
      <c r="Y35" s="1516"/>
      <c r="Z35" s="1497"/>
      <c r="AA35" s="1497"/>
      <c r="AB35" s="1497"/>
      <c r="AC35" s="1497"/>
    </row>
    <row r="36" spans="1:29" ht="15.75" thickBot="1">
      <c r="A36" s="609" t="s">
        <v>2740</v>
      </c>
      <c r="B36" s="877"/>
      <c r="C36" s="2477" t="e">
        <f>R37</f>
        <v>#DIV/0!</v>
      </c>
      <c r="D36" s="3015" t="s">
        <v>2960</v>
      </c>
      <c r="E36" s="2478" t="e">
        <f>R36</f>
        <v>#DIV/0!</v>
      </c>
      <c r="F36" s="3016"/>
      <c r="G36" s="2477" t="e">
        <f>T36</f>
        <v>#DIV/0!</v>
      </c>
      <c r="H36" s="3016"/>
      <c r="I36" s="2478" t="e">
        <f>V36</f>
        <v>#DIV/0!</v>
      </c>
      <c r="J36" s="3016"/>
      <c r="K36" s="3024">
        <f>F36+H36+J36</f>
        <v>0</v>
      </c>
      <c r="L36" s="2027"/>
      <c r="M36" s="2028"/>
      <c r="N36" s="2017"/>
      <c r="O36" s="2028"/>
      <c r="P36" s="3473" t="str">
        <f>A36</f>
        <v>比较价格（元/平方米）</v>
      </c>
      <c r="Q36" s="3473"/>
      <c r="R36" s="3568" t="e">
        <f>IF(F1="售价",ROUND(PRODUCT(R35,AA7:AA34),0),ROUND(PRODUCT(R35,AA7:AA34),1))</f>
        <v>#DIV/0!</v>
      </c>
      <c r="S36" s="3568"/>
      <c r="T36" s="3568" t="e">
        <f>IF(F1="售价",ROUND(PRODUCT(T35,AB7:AB34),0),ROUND(PRODUCT(T35,AB7:AB34),1))</f>
        <v>#DIV/0!</v>
      </c>
      <c r="U36" s="3568"/>
      <c r="V36" s="3568" t="e">
        <f>IF(F1="售价",ROUND(PRODUCT(V35,AC7:AC34),0),ROUND(PRODUCT(V35,AC7:AC34),1))</f>
        <v>#DIV/0!</v>
      </c>
      <c r="W36" s="3568"/>
      <c r="X36" s="1497"/>
      <c r="Y36" s="1497"/>
      <c r="Z36" s="1497"/>
      <c r="AA36" s="1497"/>
      <c r="AB36" s="1497"/>
      <c r="AC36" s="1497"/>
    </row>
    <row r="37" spans="1:29" ht="15.75" thickBot="1">
      <c r="A37" s="613" t="s">
        <v>2890</v>
      </c>
      <c r="B37" s="614"/>
      <c r="C37" s="2479" t="e">
        <f>R37</f>
        <v>#DIV/0!</v>
      </c>
      <c r="D37" s="2479"/>
      <c r="E37" s="2479"/>
      <c r="F37" s="2479"/>
      <c r="G37" s="2479"/>
      <c r="H37" s="2479"/>
      <c r="I37" s="2479"/>
      <c r="J37" s="2479"/>
      <c r="K37" s="1542"/>
      <c r="L37" s="2027"/>
      <c r="M37" s="2028"/>
      <c r="N37" s="2028"/>
      <c r="O37" s="2028"/>
      <c r="P37" s="3470" t="str">
        <f>A37</f>
        <v>估价对象XX用房的比较价格（楼面单价，元/平方米）</v>
      </c>
      <c r="Q37" s="3471"/>
      <c r="R37" s="3567" t="e">
        <f>IF(F1="售价",ROUND(IF(D36="简单平均",AVERAGE(R36:W36),R36*F36+T36*H36+V36*J36),0),ROUND(IF(D36="简单平均",AVERAGE(R36:V36),R36*F36+T36*H36+V36*J36),1))</f>
        <v>#DIV/0!</v>
      </c>
      <c r="S37" s="3567"/>
      <c r="T37" s="3567"/>
      <c r="U37" s="3567"/>
      <c r="V37" s="3567"/>
      <c r="W37" s="3567"/>
      <c r="X37" s="1497"/>
      <c r="Y37" s="1497"/>
      <c r="Z37" s="1497"/>
      <c r="AA37" s="1497"/>
      <c r="AB37" s="1497"/>
      <c r="AC37" s="1497"/>
    </row>
    <row r="38" spans="1:29">
      <c r="A38" s="3214"/>
      <c r="B38" s="3214"/>
      <c r="C38" s="3214"/>
      <c r="D38" s="3214"/>
      <c r="E38" s="3214"/>
      <c r="F38" s="3214"/>
      <c r="G38" s="3216"/>
      <c r="H38" s="3214"/>
      <c r="I38" s="3214"/>
      <c r="J38" s="3214"/>
      <c r="K38" s="3217"/>
      <c r="L38" s="2032"/>
      <c r="M38" s="2028"/>
      <c r="N38" s="2028"/>
      <c r="O38" s="2028"/>
      <c r="P38" s="2028"/>
      <c r="Q38" s="2028"/>
      <c r="R38" s="2028"/>
      <c r="S38" s="2028"/>
      <c r="T38" s="2028"/>
      <c r="U38" s="2028"/>
      <c r="V38" s="2028"/>
      <c r="W38" s="2028"/>
      <c r="X38" s="2028"/>
      <c r="Y38" s="2028"/>
      <c r="Z38" s="2028"/>
      <c r="AA38" s="2028"/>
      <c r="AB38" s="2028"/>
      <c r="AC38" s="2028"/>
    </row>
    <row r="39" spans="1:29">
      <c r="A39" s="3214"/>
      <c r="B39" s="3214"/>
      <c r="C39" s="3214"/>
      <c r="D39" s="3214"/>
      <c r="E39" s="3214"/>
      <c r="F39" s="3214"/>
      <c r="G39" s="3214"/>
      <c r="H39" s="3214"/>
      <c r="I39" s="3214"/>
      <c r="J39" s="3214"/>
      <c r="K39" s="3217"/>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2020-8</v>
      </c>
      <c r="D46" s="2522">
        <f>EDATE(C46,-1)</f>
        <v>44013</v>
      </c>
      <c r="E46" s="2522">
        <f t="shared" ref="E46:O46" si="16">EDATE(D46,-1)</f>
        <v>43983</v>
      </c>
      <c r="F46" s="2522">
        <f t="shared" si="16"/>
        <v>43952</v>
      </c>
      <c r="G46" s="2522">
        <f t="shared" si="16"/>
        <v>43922</v>
      </c>
      <c r="H46" s="2522">
        <f t="shared" si="16"/>
        <v>43891</v>
      </c>
      <c r="I46" s="2522">
        <f t="shared" si="16"/>
        <v>43862</v>
      </c>
      <c r="J46" s="2522">
        <f t="shared" si="16"/>
        <v>43831</v>
      </c>
      <c r="K46" s="2522">
        <f t="shared" si="16"/>
        <v>43800</v>
      </c>
      <c r="L46" s="2522">
        <f t="shared" si="16"/>
        <v>43770</v>
      </c>
      <c r="M46" s="2522">
        <f t="shared" si="16"/>
        <v>43739</v>
      </c>
      <c r="N46" s="2522">
        <f t="shared" si="16"/>
        <v>43709</v>
      </c>
      <c r="O46" s="2522">
        <f t="shared" si="16"/>
        <v>43678</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6" priority="17" stopIfTrue="1" operator="containsText" text="超过">
      <formula>NOT(ISERROR(SEARCH("超过",F40)))</formula>
    </cfRule>
  </conditionalFormatting>
  <conditionalFormatting sqref="J42">
    <cfRule type="containsText" dxfId="15" priority="16" stopIfTrue="1" operator="containsText" text="超过">
      <formula>NOT(ISERROR(SEARCH("超过",J42)))</formula>
    </cfRule>
  </conditionalFormatting>
  <conditionalFormatting sqref="H42">
    <cfRule type="containsText" dxfId="14" priority="15" stopIfTrue="1" operator="containsText" text="超过">
      <formula>NOT(ISERROR(SEARCH("超过",H42)))</formula>
    </cfRule>
  </conditionalFormatting>
  <conditionalFormatting sqref="F42">
    <cfRule type="containsText" dxfId="13" priority="14" stopIfTrue="1" operator="containsText" text="超过">
      <formula>NOT(ISERROR(SEARCH("超过",F42)))</formula>
    </cfRule>
  </conditionalFormatting>
  <conditionalFormatting sqref="F41 H41 J41">
    <cfRule type="containsText" dxfId="12" priority="13" stopIfTrue="1" operator="containsText" text="超过">
      <formula>NOT(ISERROR(SEARCH("超过",F41)))</formula>
    </cfRule>
  </conditionalFormatting>
  <conditionalFormatting sqref="E40">
    <cfRule type="expression" dxfId="11" priority="12" stopIfTrue="1">
      <formula>$F$40="超过30%"</formula>
    </cfRule>
  </conditionalFormatting>
  <conditionalFormatting sqref="G42">
    <cfRule type="expression" dxfId="10" priority="11" stopIfTrue="1">
      <formula>$H$54+$H$42="超过30%"</formula>
    </cfRule>
  </conditionalFormatting>
  <conditionalFormatting sqref="E41">
    <cfRule type="expression" dxfId="9" priority="10" stopIfTrue="1">
      <formula>$F$41="超过20%"</formula>
    </cfRule>
  </conditionalFormatting>
  <conditionalFormatting sqref="E42">
    <cfRule type="expression" dxfId="8" priority="9" stopIfTrue="1">
      <formula>$F$42="超过30%"</formula>
    </cfRule>
  </conditionalFormatting>
  <conditionalFormatting sqref="G40">
    <cfRule type="expression" dxfId="7" priority="8" stopIfTrue="1">
      <formula>$H$52+$H$40="超过30%"</formula>
    </cfRule>
  </conditionalFormatting>
  <conditionalFormatting sqref="G41">
    <cfRule type="expression" dxfId="6" priority="7" stopIfTrue="1">
      <formula>$H$53+$H$41="超过20%"</formula>
    </cfRule>
  </conditionalFormatting>
  <conditionalFormatting sqref="I40">
    <cfRule type="expression" dxfId="5" priority="6" stopIfTrue="1">
      <formula>$J$40="超过30%"</formula>
    </cfRule>
  </conditionalFormatting>
  <conditionalFormatting sqref="I41">
    <cfRule type="expression" dxfId="4" priority="5" stopIfTrue="1">
      <formula>$J$41="超过20%"</formula>
    </cfRule>
  </conditionalFormatting>
  <conditionalFormatting sqref="I42">
    <cfRule type="expression" dxfId="3" priority="4" stopIfTrue="1">
      <formula>$J$42="超过30%"</formula>
    </cfRule>
  </conditionalFormatting>
  <conditionalFormatting sqref="F36">
    <cfRule type="expression" dxfId="2" priority="3">
      <formula>$D$36="简单平均"</formula>
    </cfRule>
  </conditionalFormatting>
  <conditionalFormatting sqref="H36">
    <cfRule type="expression" dxfId="1" priority="2">
      <formula>$D$36="简单平均"</formula>
    </cfRule>
  </conditionalFormatting>
  <conditionalFormatting sqref="J36">
    <cfRule type="expression" dxfId="0" priority="1">
      <formula>$D$36="简单平均"</formula>
    </cfRule>
  </conditionalFormatting>
  <dataValidations count="16">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D36" xr:uid="{00000000-0002-0000-25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70" zoomScaleNormal="70" workbookViewId="0">
      <pane ySplit="24" topLeftCell="A25" activePane="bottomLeft" state="frozen"/>
      <selection activeCell="M32" sqref="M32"/>
      <selection pane="bottomLeft" activeCell="M32" sqref="M32"/>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2290</v>
      </c>
      <c r="C1" s="3602" t="s">
        <v>2291</v>
      </c>
      <c r="D1" s="3603"/>
      <c r="E1" s="3603"/>
      <c r="F1" s="3603"/>
      <c r="G1" s="3603"/>
      <c r="H1" s="3603"/>
      <c r="I1" s="3603"/>
      <c r="J1" s="3603"/>
      <c r="K1" s="3603"/>
      <c r="L1" s="3603"/>
      <c r="M1" s="3603"/>
      <c r="N1" s="3603"/>
      <c r="O1" s="3603"/>
      <c r="P1" s="3603"/>
      <c r="Q1" s="3603"/>
      <c r="R1" s="3603"/>
      <c r="S1" s="3604"/>
      <c r="T1" s="2115" t="s">
        <v>2292</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2293</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2883</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2882</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2881</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2894</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2880</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2879</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2294</v>
      </c>
      <c r="B17" s="2159" t="s">
        <v>2295</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599" t="s">
        <v>20</v>
      </c>
      <c r="D22" s="3600"/>
      <c r="E22" s="3600"/>
      <c r="F22" s="3600"/>
      <c r="G22" s="3600"/>
      <c r="H22" s="3600"/>
      <c r="I22" s="3600"/>
      <c r="J22" s="3600"/>
      <c r="K22" s="3600"/>
      <c r="L22" s="3600"/>
      <c r="M22" s="3600"/>
      <c r="N22" s="3600"/>
      <c r="O22" s="3600"/>
      <c r="P22" s="3600"/>
      <c r="Q22" s="3601"/>
      <c r="R22" s="484" t="e">
        <f>ROUND(S22*10000/B22,0)</f>
        <v>#DIV/0!</v>
      </c>
      <c r="S22" s="53">
        <f>SUM(S24:S10000)</f>
        <v>0</v>
      </c>
    </row>
    <row r="23" spans="1:45" s="1543" customFormat="1" ht="24">
      <c r="A23" s="17" t="s">
        <v>824</v>
      </c>
      <c r="B23" s="2862" t="s">
        <v>2902</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950">
        <v>1</v>
      </c>
      <c r="D24" s="951"/>
      <c r="E24" s="950">
        <v>1</v>
      </c>
      <c r="F24" s="951"/>
      <c r="G24" s="950">
        <v>1</v>
      </c>
      <c r="H24" s="951"/>
      <c r="I24" s="950">
        <v>1</v>
      </c>
      <c r="J24" s="951"/>
      <c r="K24" s="950">
        <v>1</v>
      </c>
      <c r="L24" s="951"/>
      <c r="M24" s="950">
        <v>1</v>
      </c>
      <c r="N24" s="951"/>
      <c r="O24" s="950">
        <v>1</v>
      </c>
      <c r="P24" s="951"/>
      <c r="Q24" s="950">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B23 B2" xr:uid="{00000000-0002-0000-26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2767</v>
      </c>
      <c r="C1" s="2722">
        <f>项目基本情况!D3</f>
        <v>44070</v>
      </c>
      <c r="H1" s="2656">
        <f>IF(C1&gt;C13,0,MATCH(C1,C$13:C$100,-1))+IF(SUMIF(C13:C100,C1,D13:D100)=0,13,12)</f>
        <v>13</v>
      </c>
      <c r="I1" s="2656">
        <f>MATCH(C2,H3:H7,1)+IF(SUMIF(H3:H7,C2,I3:I7)=0,2,1)</f>
        <v>5</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2798</v>
      </c>
      <c r="C2" s="2723">
        <f>'数据-取费表'!B22</f>
        <v>2</v>
      </c>
      <c r="D2" s="2718" t="s">
        <v>2768</v>
      </c>
      <c r="E2" s="2721">
        <f ca="1">INDIRECT("I"&amp;$I$1)/100</f>
        <v>4.7500000000000001E-2</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2800</v>
      </c>
      <c r="C3" s="2720">
        <f>'数据-取费表'!B19</f>
        <v>0</v>
      </c>
      <c r="D3" s="2718" t="s">
        <v>2768</v>
      </c>
      <c r="E3" s="2721">
        <f ca="1">INDIRECT("J"&amp;$J$1)/100</f>
        <v>0</v>
      </c>
      <c r="G3" s="2660" t="s">
        <v>2771</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2799</v>
      </c>
      <c r="C4" s="2721">
        <f ca="1">N4/100</f>
        <v>1.4999999999999999E-2</v>
      </c>
      <c r="G4" s="2666" t="s">
        <v>2772</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2773</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2774</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2775</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42301</v>
      </c>
      <c r="D13" s="2704">
        <v>4.3499999999999996</v>
      </c>
      <c r="E13" s="2704">
        <v>4.3499999999999996</v>
      </c>
      <c r="F13" s="2704">
        <v>4.75</v>
      </c>
      <c r="G13" s="2704">
        <v>4.75</v>
      </c>
      <c r="H13" s="2704">
        <v>4.9000000000000004</v>
      </c>
      <c r="I13" s="2704">
        <v>2.75</v>
      </c>
      <c r="J13" s="2704">
        <v>3.25</v>
      </c>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c r="B14" s="2708"/>
      <c r="C14" s="2709">
        <v>42242</v>
      </c>
      <c r="D14" s="2708">
        <v>4.5999999999999996</v>
      </c>
      <c r="E14" s="2708">
        <v>4.5999999999999996</v>
      </c>
      <c r="F14" s="2708">
        <v>5</v>
      </c>
      <c r="G14" s="2708">
        <v>5</v>
      </c>
      <c r="H14" s="2708">
        <v>5.15</v>
      </c>
      <c r="I14" s="2708">
        <v>2.75</v>
      </c>
      <c r="J14" s="2708">
        <v>3.25</v>
      </c>
      <c r="L14" s="2708"/>
      <c r="M14" s="2709">
        <v>42242</v>
      </c>
      <c r="N14" s="2708">
        <v>0.35</v>
      </c>
      <c r="O14" s="2708">
        <v>1.35</v>
      </c>
      <c r="P14" s="2708">
        <v>1.55</v>
      </c>
      <c r="Q14" s="2708">
        <v>1.75</v>
      </c>
      <c r="R14" s="2708">
        <v>2.35</v>
      </c>
      <c r="S14" s="2708">
        <v>3</v>
      </c>
      <c r="T14" s="2708"/>
      <c r="U14" s="2708"/>
      <c r="V14" s="2708"/>
      <c r="W14" s="2708"/>
      <c r="X14" s="2708"/>
      <c r="Y14" s="2708"/>
      <c r="Z14" s="2708"/>
    </row>
    <row r="15" spans="1:257">
      <c r="B15" s="2708"/>
      <c r="C15" s="2709">
        <v>42183</v>
      </c>
      <c r="D15" s="2708">
        <v>4.8499999999999996</v>
      </c>
      <c r="E15" s="2708">
        <v>4.8499999999999996</v>
      </c>
      <c r="F15" s="2708">
        <v>5.25</v>
      </c>
      <c r="G15" s="2708">
        <v>5.25</v>
      </c>
      <c r="H15" s="2708">
        <v>5.4</v>
      </c>
      <c r="I15" s="2708">
        <v>3</v>
      </c>
      <c r="J15" s="2708">
        <v>3.5</v>
      </c>
      <c r="L15" s="2708"/>
      <c r="M15" s="2709">
        <v>42183</v>
      </c>
      <c r="N15" s="2708">
        <v>0.35</v>
      </c>
      <c r="O15" s="2708">
        <v>1.6</v>
      </c>
      <c r="P15" s="2708">
        <v>1.8</v>
      </c>
      <c r="Q15" s="2708">
        <v>2</v>
      </c>
      <c r="R15" s="2708">
        <v>2.6</v>
      </c>
      <c r="S15" s="2708">
        <v>3.25</v>
      </c>
      <c r="T15" s="2708"/>
      <c r="U15" s="2708"/>
      <c r="V15" s="2708"/>
      <c r="W15" s="2708"/>
      <c r="X15" s="2708"/>
      <c r="Y15" s="2708"/>
      <c r="Z15" s="2708"/>
    </row>
    <row r="16" spans="1:257">
      <c r="B16" s="2708"/>
      <c r="C16" s="2709">
        <v>42135</v>
      </c>
      <c r="D16" s="2708">
        <v>5.0999999999999996</v>
      </c>
      <c r="E16" s="2708">
        <v>5.0999999999999996</v>
      </c>
      <c r="F16" s="2708">
        <v>5.5</v>
      </c>
      <c r="G16" s="2708">
        <v>5.5</v>
      </c>
      <c r="H16" s="2708">
        <v>5.65</v>
      </c>
      <c r="I16" s="2708">
        <v>3.25</v>
      </c>
      <c r="J16" s="2708">
        <v>3.75</v>
      </c>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2:26">
      <c r="B17" s="2708"/>
      <c r="C17" s="2709">
        <v>42064</v>
      </c>
      <c r="D17" s="2708">
        <v>5.35</v>
      </c>
      <c r="E17" s="2708">
        <v>5.35</v>
      </c>
      <c r="F17" s="2708">
        <v>5.75</v>
      </c>
      <c r="G17" s="2708">
        <v>5.75</v>
      </c>
      <c r="H17" s="2708">
        <v>5.9</v>
      </c>
      <c r="I17" s="2708"/>
      <c r="J17" s="270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2:26" ht="15">
      <c r="B18" s="2708"/>
      <c r="C18" s="2709">
        <v>41965</v>
      </c>
      <c r="D18" s="2708">
        <v>5.6</v>
      </c>
      <c r="E18" s="2708">
        <v>5.6</v>
      </c>
      <c r="F18" s="2708">
        <v>6</v>
      </c>
      <c r="G18" s="2708">
        <v>6</v>
      </c>
      <c r="H18" s="2708">
        <v>6.15</v>
      </c>
      <c r="I18" s="2708"/>
      <c r="J18" s="2708"/>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2:26">
      <c r="B19" s="2708"/>
      <c r="C19" s="2709">
        <v>41096</v>
      </c>
      <c r="D19" s="2708">
        <v>5.6</v>
      </c>
      <c r="E19" s="2708">
        <v>6</v>
      </c>
      <c r="F19" s="2708">
        <v>6.15</v>
      </c>
      <c r="G19" s="2708">
        <v>6.4</v>
      </c>
      <c r="H19" s="2708">
        <v>6.55</v>
      </c>
      <c r="I19" s="2708">
        <v>4</v>
      </c>
      <c r="J19" s="2708">
        <v>4.5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2:26">
      <c r="B20" s="2708"/>
      <c r="C20" s="2709">
        <v>41068</v>
      </c>
      <c r="D20" s="2708">
        <v>5.85</v>
      </c>
      <c r="E20" s="2708">
        <v>6.31</v>
      </c>
      <c r="F20" s="2708">
        <v>6.4</v>
      </c>
      <c r="G20" s="2708">
        <v>6.65</v>
      </c>
      <c r="H20" s="2708">
        <v>6.8</v>
      </c>
      <c r="I20" s="2708">
        <v>4.2</v>
      </c>
      <c r="J20" s="2708">
        <v>4.7</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2:26">
      <c r="B21" s="2708"/>
      <c r="C21" s="2709">
        <v>40731</v>
      </c>
      <c r="D21" s="2708">
        <v>6.1</v>
      </c>
      <c r="E21" s="2708">
        <v>6.56</v>
      </c>
      <c r="F21" s="2708">
        <v>6.65</v>
      </c>
      <c r="G21" s="2708">
        <v>6.9</v>
      </c>
      <c r="H21" s="2708">
        <v>7.05</v>
      </c>
      <c r="I21" s="2708">
        <v>4.45</v>
      </c>
      <c r="J21" s="2708">
        <v>4.9000000000000004</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2:26">
      <c r="B22" s="2708"/>
      <c r="C22" s="2709">
        <v>40639</v>
      </c>
      <c r="D22" s="2708">
        <v>5.85</v>
      </c>
      <c r="E22" s="2708">
        <v>6.31</v>
      </c>
      <c r="F22" s="2708">
        <v>6.4</v>
      </c>
      <c r="G22" s="2708">
        <v>6.65</v>
      </c>
      <c r="H22" s="2708">
        <v>6.8</v>
      </c>
      <c r="I22" s="2708">
        <v>4.2</v>
      </c>
      <c r="J22" s="2708">
        <v>4.7</v>
      </c>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2:26">
      <c r="B23" s="2708"/>
      <c r="C23" s="2709">
        <v>40583</v>
      </c>
      <c r="D23" s="2708">
        <v>5.6</v>
      </c>
      <c r="E23" s="2708">
        <v>6.06</v>
      </c>
      <c r="F23" s="2708">
        <v>6.1</v>
      </c>
      <c r="G23" s="2708">
        <v>6.45</v>
      </c>
      <c r="H23" s="2708">
        <v>6.6</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2:26">
      <c r="B24" s="2708"/>
      <c r="C24" s="2709">
        <v>40538</v>
      </c>
      <c r="D24" s="2708">
        <v>5.35</v>
      </c>
      <c r="E24" s="2708">
        <v>5.81</v>
      </c>
      <c r="F24" s="2708">
        <v>5.85</v>
      </c>
      <c r="G24" s="2708">
        <v>6.22</v>
      </c>
      <c r="H24" s="2708">
        <v>6.4</v>
      </c>
      <c r="I24" s="2708">
        <v>3.75</v>
      </c>
      <c r="J24" s="2708">
        <v>4.3</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2:26">
      <c r="B25" s="2708"/>
      <c r="C25" s="2709">
        <v>40471</v>
      </c>
      <c r="D25" s="2708">
        <v>5.0999999999999996</v>
      </c>
      <c r="E25" s="2708">
        <v>5.56</v>
      </c>
      <c r="F25" s="2708">
        <v>5.6</v>
      </c>
      <c r="G25" s="2708">
        <v>5.96</v>
      </c>
      <c r="H25" s="2708">
        <v>6.14</v>
      </c>
      <c r="I25" s="2708">
        <v>3.5</v>
      </c>
      <c r="J25" s="2708">
        <v>4.05</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2:26">
      <c r="B26" s="2708"/>
      <c r="C26" s="2709">
        <v>39805</v>
      </c>
      <c r="D26" s="2708">
        <v>4.8600000000000003</v>
      </c>
      <c r="E26" s="2708">
        <v>5.31</v>
      </c>
      <c r="F26" s="2708">
        <v>5.4</v>
      </c>
      <c r="G26" s="2708">
        <v>5.76</v>
      </c>
      <c r="H26" s="2708">
        <v>5.94</v>
      </c>
      <c r="I26" s="2708">
        <v>3.33</v>
      </c>
      <c r="J26" s="2708">
        <v>3.87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2:26">
      <c r="B27" s="2708"/>
      <c r="C27" s="2709">
        <v>39779</v>
      </c>
      <c r="D27" s="2708">
        <v>5.04</v>
      </c>
      <c r="E27" s="2708">
        <v>5.58</v>
      </c>
      <c r="F27" s="2708">
        <v>5.67</v>
      </c>
      <c r="G27" s="2708">
        <v>5.94</v>
      </c>
      <c r="H27" s="2708">
        <v>6.12</v>
      </c>
      <c r="I27" s="2708">
        <v>3.51</v>
      </c>
      <c r="J27" s="2708">
        <v>4.05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2:26">
      <c r="B28" s="2708"/>
      <c r="C28" s="2709">
        <v>39751</v>
      </c>
      <c r="D28" s="2708">
        <v>6.03</v>
      </c>
      <c r="E28" s="2708">
        <v>6.66</v>
      </c>
      <c r="F28" s="2708">
        <v>6.75</v>
      </c>
      <c r="G28" s="2708">
        <v>7.02</v>
      </c>
      <c r="H28" s="2708">
        <v>7.2</v>
      </c>
      <c r="I28" s="2708">
        <v>4.05</v>
      </c>
      <c r="J28" s="2708">
        <v>4.59</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2:26">
      <c r="B29" s="2708"/>
      <c r="C29" s="2711">
        <v>39748</v>
      </c>
      <c r="D29" s="2708">
        <v>6.12</v>
      </c>
      <c r="E29" s="2708">
        <v>6.93</v>
      </c>
      <c r="F29" s="2708">
        <v>7.02</v>
      </c>
      <c r="G29" s="2708">
        <v>7.29</v>
      </c>
      <c r="H29" s="2708">
        <v>7.47</v>
      </c>
      <c r="I29" s="2708">
        <v>4.05</v>
      </c>
      <c r="J29" s="2708">
        <v>4.59</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2:26">
      <c r="B30" s="2708"/>
      <c r="C30" s="2709">
        <v>39730</v>
      </c>
      <c r="D30" s="2708">
        <v>6.12</v>
      </c>
      <c r="E30" s="2708">
        <v>6.93</v>
      </c>
      <c r="F30" s="2708">
        <v>7.02</v>
      </c>
      <c r="G30" s="2708">
        <v>7.29</v>
      </c>
      <c r="H30" s="2708">
        <v>7.47</v>
      </c>
      <c r="I30" s="2708">
        <v>4.32</v>
      </c>
      <c r="J30" s="2708">
        <v>4.8600000000000003</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2:26">
      <c r="B31" s="2708"/>
      <c r="C31" s="2709">
        <v>39707</v>
      </c>
      <c r="D31" s="2708">
        <v>6.21</v>
      </c>
      <c r="E31" s="2708">
        <v>7.2</v>
      </c>
      <c r="F31" s="2708">
        <v>7.29</v>
      </c>
      <c r="G31" s="2708">
        <v>7.56</v>
      </c>
      <c r="H31" s="2708">
        <v>7.74</v>
      </c>
      <c r="I31" s="2708">
        <v>4.59</v>
      </c>
      <c r="J31" s="2708">
        <v>5.13</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2:26">
      <c r="B32" s="2708"/>
      <c r="C32" s="2709">
        <v>39437</v>
      </c>
      <c r="D32" s="2708">
        <v>6.57</v>
      </c>
      <c r="E32" s="2708">
        <v>7.47</v>
      </c>
      <c r="F32" s="2708">
        <v>7.56</v>
      </c>
      <c r="G32" s="2708">
        <v>7.74</v>
      </c>
      <c r="H32" s="2708">
        <v>7.83</v>
      </c>
      <c r="I32" s="2708">
        <v>4.7699999999999996</v>
      </c>
      <c r="J32" s="2708">
        <v>5.22</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39340</v>
      </c>
      <c r="D33" s="2708">
        <v>6.48</v>
      </c>
      <c r="E33" s="2708">
        <v>7.29</v>
      </c>
      <c r="F33" s="2708">
        <v>7.47</v>
      </c>
      <c r="G33" s="2708">
        <v>7.65</v>
      </c>
      <c r="H33" s="2708">
        <v>7.83</v>
      </c>
      <c r="I33" s="2708">
        <v>4.7699999999999996</v>
      </c>
      <c r="J33" s="2708">
        <v>5.22</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39316</v>
      </c>
      <c r="D34" s="2708">
        <v>6.21</v>
      </c>
      <c r="E34" s="2708">
        <v>7.02</v>
      </c>
      <c r="F34" s="2708">
        <v>7.2</v>
      </c>
      <c r="G34" s="2708">
        <v>7.38</v>
      </c>
      <c r="H34" s="2708">
        <v>7.56</v>
      </c>
      <c r="I34" s="2708">
        <v>4.59</v>
      </c>
      <c r="J34" s="2708">
        <v>5.04</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39284</v>
      </c>
      <c r="D35" s="2708">
        <v>6.03</v>
      </c>
      <c r="E35" s="2708">
        <v>6.84</v>
      </c>
      <c r="F35" s="2708">
        <v>7.02</v>
      </c>
      <c r="G35" s="2708">
        <v>7.2</v>
      </c>
      <c r="H35" s="2708">
        <v>7.38</v>
      </c>
      <c r="I35" s="2708">
        <v>4.5</v>
      </c>
      <c r="J35" s="2708">
        <v>4.95</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39221</v>
      </c>
      <c r="D36" s="2708">
        <v>5.85</v>
      </c>
      <c r="E36" s="2708">
        <v>6.57</v>
      </c>
      <c r="F36" s="2708">
        <v>6.75</v>
      </c>
      <c r="G36" s="2708">
        <v>6.93</v>
      </c>
      <c r="H36" s="2708">
        <v>7.2</v>
      </c>
      <c r="I36" s="2708">
        <v>4.41</v>
      </c>
      <c r="J36" s="2708">
        <v>4.8600000000000003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39159</v>
      </c>
      <c r="D37" s="2708">
        <v>5.67</v>
      </c>
      <c r="E37" s="2708">
        <v>6.39</v>
      </c>
      <c r="F37" s="2708">
        <v>6.57</v>
      </c>
      <c r="G37" s="2708">
        <v>6.75</v>
      </c>
      <c r="H37" s="2708">
        <v>7.11</v>
      </c>
      <c r="I37" s="2708">
        <v>4.32</v>
      </c>
      <c r="J37" s="2708">
        <v>4.7699999999999996</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38948</v>
      </c>
      <c r="D38" s="2708">
        <v>5.58</v>
      </c>
      <c r="E38" s="2708">
        <v>6.12</v>
      </c>
      <c r="F38" s="2708">
        <v>6.3</v>
      </c>
      <c r="G38" s="2708">
        <v>6.48</v>
      </c>
      <c r="H38" s="2708">
        <v>6.84</v>
      </c>
      <c r="I38" s="2708">
        <v>4.1399999999999997</v>
      </c>
      <c r="J38" s="2708">
        <v>4.59</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38835</v>
      </c>
      <c r="D39" s="2708">
        <v>5.4</v>
      </c>
      <c r="E39" s="2708">
        <v>5.85</v>
      </c>
      <c r="F39" s="2708">
        <v>6.03</v>
      </c>
      <c r="G39" s="2708">
        <v>6.12</v>
      </c>
      <c r="H39" s="2708">
        <v>6.39</v>
      </c>
      <c r="I39" s="2708">
        <v>4.1399999999999997</v>
      </c>
      <c r="J39" s="2708">
        <v>4.59</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38428</v>
      </c>
      <c r="D40" s="2708">
        <v>5.22</v>
      </c>
      <c r="E40" s="2708">
        <v>5.58</v>
      </c>
      <c r="F40" s="2708">
        <v>5.76</v>
      </c>
      <c r="G40" s="2708">
        <v>5.85</v>
      </c>
      <c r="H40" s="2708">
        <v>6.12</v>
      </c>
      <c r="I40" s="2708">
        <v>3.96</v>
      </c>
      <c r="J40" s="2708">
        <v>4.41</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38289</v>
      </c>
      <c r="D41" s="2708">
        <v>5.22</v>
      </c>
      <c r="E41" s="2708">
        <v>5.58</v>
      </c>
      <c r="F41" s="2708">
        <v>5.76</v>
      </c>
      <c r="G41" s="2708">
        <v>5.85</v>
      </c>
      <c r="H41" s="2708">
        <v>6.12</v>
      </c>
      <c r="I41" s="2708">
        <v>3.78</v>
      </c>
      <c r="J41" s="2708">
        <v>4.2300000000000004</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37308</v>
      </c>
      <c r="D42" s="2708">
        <v>5.04</v>
      </c>
      <c r="E42" s="2708">
        <v>5.31</v>
      </c>
      <c r="F42" s="2708">
        <v>5.49</v>
      </c>
      <c r="G42" s="2708">
        <v>5.58</v>
      </c>
      <c r="H42" s="2708">
        <v>5.76</v>
      </c>
      <c r="I42" s="2708">
        <v>3.6</v>
      </c>
      <c r="J42" s="2708">
        <v>4.05</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36321</v>
      </c>
      <c r="D43" s="2708">
        <v>5.58</v>
      </c>
      <c r="E43" s="2708">
        <v>5.85</v>
      </c>
      <c r="F43" s="2708">
        <v>5.94</v>
      </c>
      <c r="G43" s="2708">
        <v>6.03</v>
      </c>
      <c r="H43" s="2708">
        <v>6.21</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36136</v>
      </c>
      <c r="D44" s="2708">
        <v>6.12</v>
      </c>
      <c r="E44" s="2708">
        <v>6.39</v>
      </c>
      <c r="F44" s="2708">
        <v>6.66</v>
      </c>
      <c r="G44" s="2708">
        <v>7.2</v>
      </c>
      <c r="H44" s="2708">
        <v>7.56</v>
      </c>
      <c r="I44" s="2708">
        <v>0</v>
      </c>
      <c r="J44" s="2708">
        <v>0</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35977</v>
      </c>
      <c r="D45" s="2708">
        <v>6.57</v>
      </c>
      <c r="E45" s="2708">
        <v>6.93</v>
      </c>
      <c r="F45" s="2708">
        <v>7.11</v>
      </c>
      <c r="G45" s="2708">
        <v>7.65</v>
      </c>
      <c r="H45" s="2708">
        <v>8.01</v>
      </c>
      <c r="I45" s="2708">
        <v>0</v>
      </c>
      <c r="J45" s="2708">
        <v>0</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35879</v>
      </c>
      <c r="D46" s="2708">
        <v>7.02</v>
      </c>
      <c r="E46" s="2708">
        <v>7.92</v>
      </c>
      <c r="F46" s="2708">
        <v>9</v>
      </c>
      <c r="G46" s="2708">
        <v>9.7200000000000006</v>
      </c>
      <c r="H46" s="2708">
        <v>10.35</v>
      </c>
      <c r="I46" s="2708">
        <v>0</v>
      </c>
      <c r="J46" s="2708">
        <v>0</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35726</v>
      </c>
      <c r="D47" s="2708">
        <v>7.65</v>
      </c>
      <c r="E47" s="2708">
        <v>8.64</v>
      </c>
      <c r="F47" s="2708">
        <v>9.36</v>
      </c>
      <c r="G47" s="2708">
        <v>9.9</v>
      </c>
      <c r="H47" s="2708">
        <v>10.53</v>
      </c>
      <c r="I47" s="2708">
        <v>0</v>
      </c>
      <c r="J47" s="2708">
        <v>0</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35300</v>
      </c>
      <c r="D48" s="2708">
        <v>9.18</v>
      </c>
      <c r="E48" s="2708">
        <v>10.08</v>
      </c>
      <c r="F48" s="2708">
        <v>10.98</v>
      </c>
      <c r="G48" s="2708">
        <v>11.7</v>
      </c>
      <c r="H48" s="2708">
        <v>12.42</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35186</v>
      </c>
      <c r="D49" s="2708">
        <v>9.7200000000000006</v>
      </c>
      <c r="E49" s="2708">
        <v>10.98</v>
      </c>
      <c r="F49" s="2708">
        <v>13.14</v>
      </c>
      <c r="G49" s="2708">
        <v>14.94</v>
      </c>
      <c r="H49" s="2708">
        <v>15.12</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34881</v>
      </c>
      <c r="D50" s="2708">
        <v>10.08</v>
      </c>
      <c r="E50" s="2708">
        <v>12.06</v>
      </c>
      <c r="F50" s="2708">
        <v>13.5</v>
      </c>
      <c r="G50" s="2708">
        <v>15.12</v>
      </c>
      <c r="H50" s="2708">
        <v>15.3</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34700</v>
      </c>
      <c r="D51" s="2708">
        <v>9</v>
      </c>
      <c r="E51" s="2708">
        <v>10.98</v>
      </c>
      <c r="F51" s="2708">
        <v>12.96</v>
      </c>
      <c r="G51" s="2708">
        <v>14.58</v>
      </c>
      <c r="H51" s="2708">
        <v>14.76</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34161</v>
      </c>
      <c r="D52" s="2708">
        <v>9</v>
      </c>
      <c r="E52" s="2708">
        <v>10.98</v>
      </c>
      <c r="F52" s="2708">
        <v>12.24</v>
      </c>
      <c r="G52" s="2708">
        <v>13.86</v>
      </c>
      <c r="H52" s="2708">
        <v>14.04</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34104</v>
      </c>
      <c r="D53" s="2708">
        <v>8.82</v>
      </c>
      <c r="E53" s="2708">
        <v>9.36</v>
      </c>
      <c r="F53" s="2708">
        <v>10.8</v>
      </c>
      <c r="G53" s="2708">
        <v>12.06</v>
      </c>
      <c r="H53" s="2708">
        <v>12.24</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33349</v>
      </c>
      <c r="D54" s="2708">
        <v>8.1</v>
      </c>
      <c r="E54" s="2708">
        <v>8.64</v>
      </c>
      <c r="F54" s="2708">
        <v>9</v>
      </c>
      <c r="G54" s="2708">
        <v>9.5399999999999991</v>
      </c>
      <c r="H54" s="2708">
        <v>9.7200000000000006</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33318</v>
      </c>
      <c r="D55" s="2708">
        <v>9</v>
      </c>
      <c r="E55" s="2708">
        <v>10.08</v>
      </c>
      <c r="F55" s="2708">
        <v>10.8</v>
      </c>
      <c r="G55" s="2708">
        <v>11.52</v>
      </c>
      <c r="H55" s="2708">
        <v>11.88</v>
      </c>
      <c r="I55" s="2708" t="s">
        <v>2797</v>
      </c>
      <c r="J55" s="2708" t="s">
        <v>2797</v>
      </c>
      <c r="L55" s="2708"/>
      <c r="M55" s="2709"/>
      <c r="N55" s="2708"/>
      <c r="O55" s="2708"/>
      <c r="P55" s="2708"/>
      <c r="Q55" s="2708"/>
      <c r="R55" s="2708"/>
      <c r="S55" s="2708"/>
      <c r="T55" s="2708"/>
      <c r="U55" s="2708"/>
      <c r="V55" s="2708"/>
      <c r="W55" s="2708"/>
      <c r="X55" s="2708"/>
      <c r="Y55" s="2708"/>
      <c r="Z55" s="2708"/>
    </row>
    <row r="56" spans="2:26">
      <c r="B56" s="2708"/>
      <c r="C56" s="2709">
        <v>33106</v>
      </c>
      <c r="D56" s="2708">
        <v>8.64</v>
      </c>
      <c r="E56" s="2708">
        <v>9.36</v>
      </c>
      <c r="F56" s="2708">
        <v>10.08</v>
      </c>
      <c r="G56" s="2708">
        <v>10.8</v>
      </c>
      <c r="H56" s="2708">
        <v>11.16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32540</v>
      </c>
      <c r="D57" s="2708">
        <v>11.34</v>
      </c>
      <c r="E57" s="2708">
        <v>11.34</v>
      </c>
      <c r="F57" s="2708">
        <v>12.78</v>
      </c>
      <c r="G57" s="2708">
        <v>14.4</v>
      </c>
      <c r="H57" s="2708">
        <v>19.260000000000002</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c r="D58" s="2708"/>
      <c r="E58" s="2708"/>
      <c r="F58" s="2708"/>
      <c r="G58" s="2708"/>
      <c r="H58" s="2708"/>
      <c r="I58" s="2708"/>
      <c r="J58" s="2708"/>
    </row>
    <row r="59" spans="2:26">
      <c r="B59" s="2712"/>
      <c r="C59" s="2713"/>
      <c r="D59" s="2712"/>
      <c r="E59" s="2712"/>
      <c r="F59" s="2712"/>
      <c r="G59" s="2712"/>
      <c r="H59" s="2712"/>
      <c r="I59" s="2712"/>
      <c r="J59" s="2712"/>
    </row>
    <row r="60" spans="2:26">
      <c r="B60" s="2712"/>
      <c r="C60" s="2713"/>
      <c r="D60" s="2712"/>
      <c r="E60" s="2712"/>
      <c r="F60" s="2712"/>
      <c r="G60" s="2712"/>
      <c r="H60" s="2712"/>
      <c r="I60" s="2712"/>
      <c r="J60" s="2712"/>
    </row>
    <row r="61" spans="2:26">
      <c r="B61" s="2712"/>
      <c r="C61" s="2713"/>
      <c r="D61" s="2712"/>
      <c r="E61" s="2712"/>
      <c r="F61" s="2712"/>
      <c r="G61" s="2712"/>
      <c r="H61" s="2712"/>
      <c r="I61" s="2712"/>
      <c r="J61" s="2712"/>
    </row>
    <row r="62" spans="2:26">
      <c r="B62" s="2659"/>
      <c r="C62" s="2659"/>
      <c r="D62" s="2659"/>
      <c r="E62" s="2659"/>
      <c r="F62" s="2659"/>
      <c r="G62" s="2659"/>
      <c r="H62" s="2659"/>
      <c r="I62" s="2659"/>
      <c r="J62" s="2659"/>
    </row>
    <row r="63" spans="2:26">
      <c r="B63" s="2659"/>
      <c r="C63" s="2659"/>
      <c r="D63" s="2659"/>
      <c r="E63" s="2659"/>
      <c r="F63" s="2659"/>
      <c r="G63" s="2659"/>
      <c r="H63" s="2659"/>
      <c r="I63" s="2659"/>
      <c r="J63" s="265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1" t="s">
        <v>2026</v>
      </c>
      <c r="B1" s="3301"/>
      <c r="C1" s="3301"/>
      <c r="D1" s="3301"/>
      <c r="E1" s="3301"/>
      <c r="F1" s="3301"/>
      <c r="G1" s="3301"/>
      <c r="H1" s="3301"/>
      <c r="I1" s="3301"/>
      <c r="J1" s="3301"/>
      <c r="K1" s="3301"/>
      <c r="L1" s="3301"/>
      <c r="M1" s="3301"/>
      <c r="N1" s="3301"/>
      <c r="O1" s="3301"/>
      <c r="P1" s="3301"/>
      <c r="Q1" s="3301"/>
      <c r="R1" s="3301"/>
    </row>
    <row r="2" spans="1:18">
      <c r="A2" s="1723" t="s">
        <v>2028</v>
      </c>
      <c r="B2" s="1723"/>
      <c r="C2" s="1723"/>
      <c r="D2" s="1723"/>
      <c r="E2" s="1723"/>
      <c r="F2" s="1723"/>
      <c r="G2" s="1723"/>
      <c r="H2" s="1723"/>
      <c r="I2" s="1724"/>
      <c r="J2" s="1724"/>
      <c r="K2" s="1725" t="str">
        <f>"估价期日："&amp;TEXT(项目基本情况!D3,"yyyy年m月d日;;")</f>
        <v>估价期日：2020年8月27日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02" t="s">
        <v>2017</v>
      </c>
      <c r="B3" s="3302" t="s">
        <v>2711</v>
      </c>
      <c r="C3" s="3303" t="s">
        <v>2018</v>
      </c>
      <c r="D3" s="3302" t="s">
        <v>2715</v>
      </c>
      <c r="E3" s="3305" t="s">
        <v>2019</v>
      </c>
      <c r="F3" s="3305"/>
      <c r="G3" s="3305"/>
      <c r="H3" s="3305" t="s">
        <v>2020</v>
      </c>
      <c r="I3" s="3305"/>
      <c r="J3" s="3305"/>
      <c r="K3" s="3303" t="s">
        <v>2021</v>
      </c>
      <c r="L3" s="3303" t="s">
        <v>2022</v>
      </c>
      <c r="M3" s="3302" t="s">
        <v>2712</v>
      </c>
      <c r="N3" s="3304" t="str">
        <f>"（分摊）"&amp;项目基本情况!B16&amp;"国有建设用地使用权面积/㎡"</f>
        <v>（分摊）出让国有建设用地使用权面积/㎡</v>
      </c>
      <c r="O3" s="3302" t="s">
        <v>2051</v>
      </c>
      <c r="P3" s="3303" t="s">
        <v>2031</v>
      </c>
      <c r="Q3" s="3303" t="s">
        <v>2052</v>
      </c>
      <c r="R3" s="3303" t="s">
        <v>2023</v>
      </c>
    </row>
    <row r="4" spans="1:18" ht="36.75" customHeight="1">
      <c r="A4" s="3302"/>
      <c r="B4" s="3302"/>
      <c r="C4" s="3303"/>
      <c r="D4" s="3302"/>
      <c r="E4" s="2492" t="s">
        <v>2030</v>
      </c>
      <c r="F4" s="2492" t="s">
        <v>2724</v>
      </c>
      <c r="G4" s="2492" t="s">
        <v>2024</v>
      </c>
      <c r="H4" s="2492" t="s">
        <v>2025</v>
      </c>
      <c r="I4" s="2492" t="s">
        <v>2725</v>
      </c>
      <c r="J4" s="2492" t="s">
        <v>2024</v>
      </c>
      <c r="K4" s="3303"/>
      <c r="L4" s="3303"/>
      <c r="M4" s="3302"/>
      <c r="N4" s="3304"/>
      <c r="O4" s="3302"/>
      <c r="P4" s="3303"/>
      <c r="Q4" s="3303"/>
      <c r="R4" s="3303"/>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74233.119999999995</v>
      </c>
      <c r="O5" s="1726">
        <f>项目基本情况!C21</f>
        <v>74233.119999999995</v>
      </c>
      <c r="P5" s="1726">
        <f ca="1">结果表!E42</f>
        <v>1596</v>
      </c>
      <c r="Q5" s="1726">
        <f ca="1">结果表!D42</f>
        <v>1596</v>
      </c>
      <c r="R5" s="1727">
        <f ca="1">结果表!C42</f>
        <v>11845</v>
      </c>
    </row>
    <row r="6" spans="1:18">
      <c r="A6" s="3298" t="str">
        <f>IF(项目基本情况!B9="市场价格","——","抵押价格")</f>
        <v>抵押价格</v>
      </c>
      <c r="B6" s="3299"/>
      <c r="C6" s="3299"/>
      <c r="D6" s="3299"/>
      <c r="E6" s="3299"/>
      <c r="F6" s="3299"/>
      <c r="G6" s="3299"/>
      <c r="H6" s="3299"/>
      <c r="I6" s="3299"/>
      <c r="J6" s="3299"/>
      <c r="K6" s="3299"/>
      <c r="L6" s="3299"/>
      <c r="M6" s="3299"/>
      <c r="N6" s="3299"/>
      <c r="O6" s="3299"/>
      <c r="P6" s="3299"/>
      <c r="Q6" s="3300"/>
      <c r="R6" s="1728">
        <f ca="1">结果表!O39</f>
        <v>11845</v>
      </c>
    </row>
    <row r="7" spans="1:18">
      <c r="A7" s="3298" t="str">
        <f>IF(项目基本情况!B9="市场价格","——",IF(项目基本情况!E8="已注销及未注销","抵押担保权已注销时的抵押价格","——"))</f>
        <v>——</v>
      </c>
      <c r="B7" s="3299"/>
      <c r="C7" s="3299"/>
      <c r="D7" s="3299"/>
      <c r="E7" s="3299"/>
      <c r="F7" s="3299"/>
      <c r="G7" s="3299"/>
      <c r="H7" s="3299"/>
      <c r="I7" s="3299"/>
      <c r="J7" s="3299"/>
      <c r="K7" s="3299"/>
      <c r="L7" s="3299"/>
      <c r="M7" s="3299"/>
      <c r="N7" s="3299"/>
      <c r="O7" s="3299"/>
      <c r="P7" s="3299"/>
      <c r="Q7" s="3300"/>
      <c r="R7" s="1728" t="str">
        <f>结果表!O40</f>
        <v>——</v>
      </c>
    </row>
    <row r="8" spans="1:18">
      <c r="A8" s="3298" t="str">
        <f>IF(项目基本情况!B9="市场价格","——",项目基本情况!E9)</f>
        <v>抵押净值</v>
      </c>
      <c r="B8" s="3299"/>
      <c r="C8" s="3299"/>
      <c r="D8" s="3299"/>
      <c r="E8" s="3299"/>
      <c r="F8" s="3299"/>
      <c r="G8" s="3299"/>
      <c r="H8" s="3299"/>
      <c r="I8" s="3299"/>
      <c r="J8" s="3299"/>
      <c r="K8" s="3299"/>
      <c r="L8" s="3299"/>
      <c r="M8" s="3299"/>
      <c r="N8" s="3299"/>
      <c r="O8" s="3299"/>
      <c r="P8" s="3299"/>
      <c r="Q8" s="3300"/>
      <c r="R8" s="1728">
        <f ca="1">结果表!O41</f>
        <v>10788</v>
      </c>
    </row>
    <row r="9" spans="1:18">
      <c r="A9" s="1729" t="s">
        <v>2029</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2016</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07" t="s">
        <v>2053</v>
      </c>
      <c r="B1" s="3307"/>
      <c r="C1" s="3307"/>
      <c r="D1" s="3307"/>
    </row>
    <row r="2" spans="1:4" ht="47.25" customHeight="1">
      <c r="A2" s="3308" t="str">
        <f>"1.权利限制："&amp;项目基本情况!L24&amp;"未设定租赁等其他他项权利。"</f>
        <v>1.权利限制：根据估价对象《不动产权证书》原件、《国有土地使用权》复印件，截至估价期日，估价对象抵押权未见登记。未设定租赁等其他他项权利。</v>
      </c>
      <c r="B2" s="3308"/>
      <c r="C2" s="3308"/>
      <c r="D2" s="3308"/>
    </row>
    <row r="3" spans="1:4" ht="48" customHeight="1">
      <c r="A3" s="33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7"/>
      <c r="C3" s="3307"/>
      <c r="D3" s="3307"/>
    </row>
    <row r="4" spans="1:4" ht="36.75" customHeight="1">
      <c r="A4" s="3307" t="str">
        <f>"3.估价规划限制条件：详见"&amp;项目基本情况!E21&amp;"。"</f>
        <v>3.估价规划限制条件：详见。</v>
      </c>
      <c r="B4" s="3307"/>
      <c r="C4" s="3307"/>
      <c r="D4" s="3307"/>
    </row>
    <row r="5" spans="1:4">
      <c r="A5" s="3306" t="s">
        <v>2054</v>
      </c>
      <c r="B5" s="3306"/>
      <c r="C5" s="3306"/>
      <c r="D5" s="3306"/>
    </row>
    <row r="6" spans="1:4">
      <c r="A6" s="3307" t="s">
        <v>2032</v>
      </c>
      <c r="B6" s="3307"/>
      <c r="C6" s="3307"/>
      <c r="D6" s="3307"/>
    </row>
    <row r="7" spans="1:4" ht="33" customHeight="1">
      <c r="A7" s="3307" t="s">
        <v>2555</v>
      </c>
      <c r="B7" s="3307"/>
      <c r="C7" s="3307"/>
      <c r="D7" s="3307"/>
    </row>
    <row r="8" spans="1:4" ht="32.25" customHeight="1">
      <c r="A8" s="33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7"/>
      <c r="C8" s="3307"/>
      <c r="D8" s="3307"/>
    </row>
    <row r="9" spans="1:4" ht="33.75" customHeight="1">
      <c r="A9" s="33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7"/>
      <c r="C9" s="3307"/>
      <c r="D9" s="3307"/>
    </row>
    <row r="10" spans="1:4">
      <c r="A10" s="3307" t="str">
        <f>IF(项目基本情况!B8="抵押","4.估价师所知悉的法定优先受偿款情况为：","——")</f>
        <v>4.估价师所知悉的法定优先受偿款情况为：</v>
      </c>
      <c r="B10" s="3307"/>
      <c r="C10" s="3307"/>
      <c r="D10" s="3307"/>
    </row>
    <row r="11" spans="1:4" ht="37.5" customHeight="1">
      <c r="A11" s="33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9"/>
      <c r="C11" s="3309"/>
      <c r="D11" s="3309"/>
    </row>
    <row r="12" spans="1:4" ht="168" customHeight="1">
      <c r="A12" s="3306" t="s">
        <v>2056</v>
      </c>
      <c r="B12" s="3306"/>
      <c r="C12" s="3306"/>
      <c r="D12" s="3306"/>
    </row>
    <row r="13" spans="1:4">
      <c r="A13" s="3310" t="s">
        <v>2726</v>
      </c>
      <c r="B13" s="3310"/>
      <c r="C13" s="3310"/>
      <c r="D13" s="3310"/>
    </row>
    <row r="14" spans="1:4">
      <c r="A14" s="3309" t="str">
        <f>IF(项目基本情况!B8="抵押","综上，"&amp;结果表!K47,"——")</f>
        <v>综上，本次评估不存在估价师知悉的法定优先受偿款</v>
      </c>
      <c r="B14" s="3309"/>
      <c r="C14" s="3309"/>
      <c r="D14" s="3309"/>
    </row>
    <row r="15" spans="1:4" ht="58.5" customHeight="1">
      <c r="A15" s="33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7"/>
      <c r="C15" s="3307"/>
      <c r="D15" s="3307"/>
    </row>
    <row r="16" spans="1:4" ht="70.5" customHeight="1">
      <c r="A16" s="33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7"/>
      <c r="C16" s="3307"/>
      <c r="D16" s="3307"/>
    </row>
    <row r="17" spans="1:4">
      <c r="A17" s="3307" t="s">
        <v>2682</v>
      </c>
      <c r="B17" s="3307"/>
      <c r="C17" s="3307"/>
      <c r="D17" s="3307"/>
    </row>
    <row r="18" spans="1:4">
      <c r="A18" s="3307" t="s">
        <v>2674</v>
      </c>
      <c r="B18" s="3307"/>
      <c r="C18" s="3307"/>
      <c r="D18" s="3307"/>
    </row>
    <row r="19" spans="1:4">
      <c r="A19" s="2586" t="s">
        <v>2675</v>
      </c>
      <c r="B19" s="2586" t="s">
        <v>2676</v>
      </c>
      <c r="C19" s="2586" t="s">
        <v>2677</v>
      </c>
      <c r="D19" s="2586" t="s">
        <v>2678</v>
      </c>
    </row>
    <row r="20" spans="1:4">
      <c r="A20" s="2586" t="str">
        <f>项目基本情况!B4</f>
        <v>王鹏</v>
      </c>
      <c r="B20" s="2586">
        <f ca="1">项目基本情况!C4</f>
        <v>2002110030</v>
      </c>
      <c r="C20" s="2588"/>
      <c r="D20" s="1716" t="s">
        <v>2683</v>
      </c>
    </row>
    <row r="21" spans="1:4">
      <c r="A21" s="2586" t="str">
        <f>项目基本情况!D4</f>
        <v>郑燚</v>
      </c>
      <c r="B21" s="2586">
        <f ca="1">项目基本情况!E4</f>
        <v>2014110011</v>
      </c>
      <c r="C21" s="2588"/>
      <c r="D21" s="1716" t="s">
        <v>2684</v>
      </c>
    </row>
    <row r="23" spans="1:4">
      <c r="A23" s="3307" t="s">
        <v>2679</v>
      </c>
      <c r="B23" s="3307"/>
      <c r="C23" s="3307"/>
      <c r="D23" s="3307"/>
    </row>
    <row r="24" spans="1:4">
      <c r="A24" s="2586" t="s">
        <v>2675</v>
      </c>
      <c r="B24" s="2586" t="s">
        <v>2680</v>
      </c>
      <c r="C24" s="2586" t="s">
        <v>2677</v>
      </c>
      <c r="D24" s="2586" t="s">
        <v>2678</v>
      </c>
    </row>
    <row r="25" spans="1:4">
      <c r="A25" s="2589" t="s">
        <v>2681</v>
      </c>
      <c r="B25" s="2586" t="s">
        <v>943</v>
      </c>
      <c r="C25" s="2588"/>
      <c r="D25" s="1716" t="s">
        <v>2684</v>
      </c>
    </row>
    <row r="29" spans="1:4">
      <c r="D29" s="2587" t="s">
        <v>2027</v>
      </c>
    </row>
    <row r="30" spans="1:4">
      <c r="D30" s="25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18" t="s">
        <v>53</v>
      </c>
      <c r="B15" s="3319" t="s">
        <v>838</v>
      </c>
      <c r="C15" s="3315"/>
    </row>
    <row r="16" spans="1:7" ht="14.25">
      <c r="A16" s="3318"/>
      <c r="B16" s="3316" t="s">
        <v>54</v>
      </c>
      <c r="C16" s="1155" t="s">
        <v>53</v>
      </c>
    </row>
    <row r="17" spans="1:3" ht="14.25">
      <c r="A17" s="3318"/>
      <c r="B17" s="3316"/>
      <c r="C17" s="1155" t="s">
        <v>55</v>
      </c>
    </row>
    <row r="18" spans="1:3" ht="14.25">
      <c r="A18" s="3318"/>
      <c r="B18" s="3316"/>
      <c r="C18" s="1155" t="s">
        <v>56</v>
      </c>
    </row>
    <row r="19" spans="1:3" ht="14.25">
      <c r="A19" s="3318"/>
      <c r="B19" s="3314" t="s">
        <v>57</v>
      </c>
      <c r="C19" s="3315"/>
    </row>
    <row r="20" spans="1:3" ht="14.25">
      <c r="A20" s="1156" t="s">
        <v>58</v>
      </c>
      <c r="B20" s="1157"/>
      <c r="C20" s="1158"/>
    </row>
    <row r="21" spans="1:3" ht="14.25">
      <c r="A21" s="3317" t="s">
        <v>59</v>
      </c>
      <c r="B21" s="3314" t="s">
        <v>60</v>
      </c>
      <c r="C21" s="3315"/>
    </row>
    <row r="22" spans="1:3" ht="14.25">
      <c r="A22" s="3317"/>
      <c r="B22" s="3314" t="s">
        <v>61</v>
      </c>
      <c r="C22" s="3315"/>
    </row>
    <row r="23" spans="1:3" ht="14.25">
      <c r="A23" s="3317"/>
      <c r="B23" s="3314" t="s">
        <v>62</v>
      </c>
      <c r="C23" s="3315"/>
    </row>
    <row r="24" spans="1:3" ht="14.25">
      <c r="A24" s="3317"/>
      <c r="B24" s="3320" t="s">
        <v>63</v>
      </c>
      <c r="C24" s="1159" t="s">
        <v>829</v>
      </c>
    </row>
    <row r="25" spans="1:3" ht="14.25">
      <c r="A25" s="3317"/>
      <c r="B25" s="3321"/>
      <c r="C25" s="1159" t="s">
        <v>830</v>
      </c>
    </row>
    <row r="26" spans="1:3" ht="14.25">
      <c r="A26" s="3317"/>
      <c r="B26" s="3321"/>
      <c r="C26" s="1159" t="s">
        <v>831</v>
      </c>
    </row>
    <row r="27" spans="1:3" ht="14.25">
      <c r="A27" s="3317"/>
      <c r="B27" s="3321"/>
      <c r="C27" s="1159" t="s">
        <v>832</v>
      </c>
    </row>
    <row r="28" spans="1:3" ht="14.25">
      <c r="A28" s="3317"/>
      <c r="B28" s="3321"/>
      <c r="C28" s="1159" t="s">
        <v>833</v>
      </c>
    </row>
    <row r="29" spans="1:3" ht="14.25">
      <c r="A29" s="3317"/>
      <c r="B29" s="3321"/>
      <c r="C29" s="1159" t="s">
        <v>834</v>
      </c>
    </row>
    <row r="30" spans="1:3" ht="14.25">
      <c r="A30" s="3317"/>
      <c r="B30" s="3321"/>
      <c r="C30" s="1159" t="s">
        <v>835</v>
      </c>
    </row>
    <row r="31" spans="1:3" ht="14.25">
      <c r="A31" s="3317"/>
      <c r="B31" s="3321"/>
      <c r="C31" s="1159" t="s">
        <v>836</v>
      </c>
    </row>
    <row r="32" spans="1:3" ht="14.25">
      <c r="A32" s="3317"/>
      <c r="B32" s="3321"/>
      <c r="C32" s="1159" t="s">
        <v>1637</v>
      </c>
    </row>
    <row r="33" spans="1:3" ht="14.25">
      <c r="A33" s="3317"/>
      <c r="B33" s="3311" t="s">
        <v>1643</v>
      </c>
      <c r="C33" s="1159" t="s">
        <v>1638</v>
      </c>
    </row>
    <row r="34" spans="1:3" ht="14.25">
      <c r="A34" s="3317"/>
      <c r="B34" s="3312"/>
      <c r="C34" s="1164" t="s">
        <v>1639</v>
      </c>
    </row>
    <row r="35" spans="1:3" ht="14.25">
      <c r="A35" s="3317"/>
      <c r="B35" s="3312"/>
      <c r="C35" s="1165" t="s">
        <v>1640</v>
      </c>
    </row>
    <row r="36" spans="1:3" ht="14.25">
      <c r="A36" s="3317"/>
      <c r="B36" s="3312"/>
      <c r="C36" s="1165" t="s">
        <v>1641</v>
      </c>
    </row>
    <row r="37" spans="1:3" ht="14.25">
      <c r="A37" s="3317"/>
      <c r="B37" s="3313"/>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1898</v>
      </c>
      <c r="B2" s="3028">
        <f ca="1">TODAY()</f>
        <v>44074</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2932</v>
      </c>
      <c r="B12" s="3031">
        <f ca="1">IF(C12&lt;B2,"已过期",1120040230)</f>
        <v>1120040230</v>
      </c>
      <c r="C12" s="3034">
        <v>44864</v>
      </c>
      <c r="D12" s="3042" t="s">
        <v>2933</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2947</v>
      </c>
      <c r="B15" s="3031">
        <f ca="1">IF(C14&lt;B2,"已过期",1119980106)</f>
        <v>1119980106</v>
      </c>
      <c r="C15" s="3034">
        <v>44969</v>
      </c>
      <c r="D15" s="3042"/>
      <c r="E15" s="3031"/>
      <c r="F15" s="3031"/>
      <c r="G15" s="3026"/>
    </row>
    <row r="16" spans="1:7" s="2832" customFormat="1" ht="20.25" customHeight="1">
      <c r="A16" s="3030" t="s">
        <v>2041</v>
      </c>
      <c r="B16" s="3030" t="s">
        <v>2041</v>
      </c>
      <c r="C16" s="3034"/>
      <c r="D16" s="3043" t="s">
        <v>2041</v>
      </c>
      <c r="E16" s="3031" t="s">
        <v>2041</v>
      </c>
      <c r="F16" s="3033"/>
      <c r="G16" s="3035"/>
    </row>
    <row r="17" spans="1:7" ht="20.25" customHeight="1">
      <c r="A17" s="3325" t="s">
        <v>1915</v>
      </c>
      <c r="B17" s="3326"/>
      <c r="C17" s="3326"/>
      <c r="D17" s="3326"/>
      <c r="E17" s="3326"/>
      <c r="F17" s="3326"/>
      <c r="G17" s="3035"/>
    </row>
    <row r="18" spans="1:7" ht="20.25" customHeight="1">
      <c r="A18" s="3322" t="s">
        <v>1916</v>
      </c>
      <c r="B18" s="3322"/>
      <c r="C18" s="3323"/>
      <c r="D18" s="3324" t="s">
        <v>1917</v>
      </c>
      <c r="E18" s="3322"/>
      <c r="F18" s="3322"/>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2946</v>
      </c>
      <c r="F21" s="3039">
        <v>44012</v>
      </c>
      <c r="G21" s="3027"/>
    </row>
    <row r="22" spans="1:7" ht="20.25" customHeight="1">
      <c r="A22" s="3026"/>
      <c r="B22" s="3026"/>
      <c r="C22" s="3040"/>
      <c r="D22" s="3048"/>
      <c r="E22" s="3049"/>
      <c r="F22" s="3041" t="s">
        <v>2961</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22" priority="149">
      <formula>AND($C5-TODAY()&lt;30,TODAY()&lt;$C5)</formula>
    </cfRule>
  </conditionalFormatting>
  <conditionalFormatting sqref="C20">
    <cfRule type="expression" dxfId="221" priority="148">
      <formula>AND($C20-TODAY()&lt;30,TODAY()&lt;$C20)</formula>
    </cfRule>
  </conditionalFormatting>
  <conditionalFormatting sqref="C20 F4 C5 C13">
    <cfRule type="cellIs" dxfId="220" priority="150" stopIfTrue="1" operator="lessThan">
      <formula>$B$2</formula>
    </cfRule>
  </conditionalFormatting>
  <conditionalFormatting sqref="F5 F7 F9">
    <cfRule type="cellIs" dxfId="219" priority="144" stopIfTrue="1" operator="lessThan">
      <formula>$B$2</formula>
    </cfRule>
  </conditionalFormatting>
  <conditionalFormatting sqref="C16:D16">
    <cfRule type="expression" dxfId="218" priority="142">
      <formula>AND($C16-TODAY()&lt;30,TODAY()&lt;$C16)</formula>
    </cfRule>
  </conditionalFormatting>
  <conditionalFormatting sqref="F6 F8 F10 C16:D16">
    <cfRule type="cellIs" dxfId="217" priority="143" stopIfTrue="1" operator="lessThan">
      <formula>$B$2</formula>
    </cfRule>
  </conditionalFormatting>
  <conditionalFormatting sqref="F14">
    <cfRule type="cellIs" dxfId="216" priority="114" stopIfTrue="1" operator="lessThan">
      <formula>$B$2</formula>
    </cfRule>
  </conditionalFormatting>
  <conditionalFormatting sqref="F13">
    <cfRule type="cellIs" dxfId="215" priority="113" stopIfTrue="1" operator="lessThan">
      <formula>$B$2</formula>
    </cfRule>
  </conditionalFormatting>
  <conditionalFormatting sqref="B4:B11 E4:E11 E13:E15 B13:B15">
    <cfRule type="cellIs" dxfId="214" priority="111" stopIfTrue="1" operator="equal">
      <formula>"已过期"</formula>
    </cfRule>
  </conditionalFormatting>
  <conditionalFormatting sqref="F20">
    <cfRule type="cellIs" dxfId="213" priority="108" stopIfTrue="1" operator="lessThan">
      <formula>$B$2</formula>
    </cfRule>
  </conditionalFormatting>
  <conditionalFormatting sqref="F20">
    <cfRule type="expression" dxfId="212" priority="152">
      <formula>AND($E20-TODAY()&lt;30,TODAY()&lt;$E20)</formula>
    </cfRule>
  </conditionalFormatting>
  <conditionalFormatting sqref="C6">
    <cfRule type="expression" dxfId="211" priority="82">
      <formula>AND($C6-TODAY()&lt;30,TODAY()&lt;$C6)</formula>
    </cfRule>
  </conditionalFormatting>
  <conditionalFormatting sqref="C6">
    <cfRule type="cellIs" dxfId="210" priority="83" stopIfTrue="1" operator="lessThan">
      <formula>$B$2</formula>
    </cfRule>
  </conditionalFormatting>
  <conditionalFormatting sqref="C11 C15">
    <cfRule type="expression" dxfId="209" priority="80">
      <formula>AND($C11-TODAY()&lt;30,TODAY()&lt;$C11)</formula>
    </cfRule>
  </conditionalFormatting>
  <conditionalFormatting sqref="C11 C15">
    <cfRule type="cellIs" dxfId="208" priority="81" stopIfTrue="1" operator="lessThan">
      <formula>$B$2</formula>
    </cfRule>
  </conditionalFormatting>
  <conditionalFormatting sqref="F11">
    <cfRule type="cellIs" dxfId="207" priority="79" stopIfTrue="1" operator="lessThan">
      <formula>$B$2</formula>
    </cfRule>
  </conditionalFormatting>
  <conditionalFormatting sqref="C14">
    <cfRule type="expression" dxfId="206" priority="60">
      <formula>AND($C14-TODAY()&lt;30,TODAY()&lt;$C14)</formula>
    </cfRule>
  </conditionalFormatting>
  <conditionalFormatting sqref="C14">
    <cfRule type="cellIs" dxfId="205" priority="61" stopIfTrue="1" operator="lessThan">
      <formula>$B$2</formula>
    </cfRule>
  </conditionalFormatting>
  <conditionalFormatting sqref="C12">
    <cfRule type="cellIs" dxfId="204" priority="54" stopIfTrue="1" operator="lessThan">
      <formula>$B$2</formula>
    </cfRule>
  </conditionalFormatting>
  <conditionalFormatting sqref="C12">
    <cfRule type="expression" dxfId="203" priority="51">
      <formula>AND($C12-TODAY()&lt;30,TODAY()&lt;$C12)</formula>
    </cfRule>
  </conditionalFormatting>
  <conditionalFormatting sqref="C12">
    <cfRule type="cellIs" dxfId="202" priority="52" stopIfTrue="1" operator="lessThan">
      <formula>$B$2</formula>
    </cfRule>
  </conditionalFormatting>
  <conditionalFormatting sqref="B12">
    <cfRule type="cellIs" dxfId="201" priority="48" stopIfTrue="1" operator="equal">
      <formula>"已过期"</formula>
    </cfRule>
  </conditionalFormatting>
  <conditionalFormatting sqref="E12">
    <cfRule type="cellIs" dxfId="200" priority="38" stopIfTrue="1" operator="equal">
      <formula>"已过期"</formula>
    </cfRule>
  </conditionalFormatting>
  <conditionalFormatting sqref="F12">
    <cfRule type="cellIs" dxfId="199" priority="37" stopIfTrue="1" operator="lessThan">
      <formula>$B$2</formula>
    </cfRule>
  </conditionalFormatting>
  <conditionalFormatting sqref="C9:C10">
    <cfRule type="expression" dxfId="198" priority="33">
      <formula>AND($C9-TODAY()&lt;30,TODAY()&lt;$C9)</formula>
    </cfRule>
  </conditionalFormatting>
  <conditionalFormatting sqref="C9:C10">
    <cfRule type="cellIs" dxfId="197" priority="34" stopIfTrue="1" operator="lessThan">
      <formula>$B$2</formula>
    </cfRule>
  </conditionalFormatting>
  <conditionalFormatting sqref="F21">
    <cfRule type="cellIs" dxfId="196" priority="13" stopIfTrue="1" operator="lessThan">
      <formula>$B$2</formula>
    </cfRule>
  </conditionalFormatting>
  <conditionalFormatting sqref="F21">
    <cfRule type="expression" dxfId="195" priority="14">
      <formula>AND($E21-TODAY()&lt;30,TODAY()&lt;$E21)</formula>
    </cfRule>
  </conditionalFormatting>
  <conditionalFormatting sqref="C7:C8">
    <cfRule type="expression" dxfId="194" priority="5">
      <formula>AND($C7-TODAY()&lt;30,TODAY()&lt;$C7)</formula>
    </cfRule>
  </conditionalFormatting>
  <conditionalFormatting sqref="C7:C8">
    <cfRule type="cellIs" dxfId="193" priority="6" stopIfTrue="1" operator="lessThan">
      <formula>$B$2</formula>
    </cfRule>
  </conditionalFormatting>
  <conditionalFormatting sqref="C7:C8">
    <cfRule type="expression" dxfId="192" priority="3">
      <formula>AND($C7-TODAY()&lt;30,TODAY()&lt;$C7)</formula>
    </cfRule>
  </conditionalFormatting>
  <conditionalFormatting sqref="C7:C8">
    <cfRule type="cellIs" dxfId="191" priority="4" stopIfTrue="1" operator="lessThan">
      <formula>$B$2</formula>
    </cfRule>
  </conditionalFormatting>
  <conditionalFormatting sqref="C4">
    <cfRule type="expression" dxfId="190" priority="1">
      <formula>AND($C4-TODAY()&lt;30,TODAY()&lt;$C4)</formula>
    </cfRule>
  </conditionalFormatting>
  <conditionalFormatting sqref="C4">
    <cfRule type="cellIs" dxfId="189"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Z27" sqref="Z27"/>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3" t="s">
        <v>2908</v>
      </c>
      <c r="C18" s="1493"/>
    </row>
    <row r="19" spans="1:3">
      <c r="A19" s="8" t="s">
        <v>120</v>
      </c>
      <c r="B19" s="2793" t="s">
        <v>2915</v>
      </c>
      <c r="C19" s="1493"/>
    </row>
    <row r="20" spans="1:3">
      <c r="A20" s="8" t="s">
        <v>121</v>
      </c>
      <c r="B20" s="2793" t="s">
        <v>2962</v>
      </c>
      <c r="C20" s="1493"/>
    </row>
    <row r="21" spans="1:3">
      <c r="A21" s="8" t="s">
        <v>122</v>
      </c>
      <c r="B21" s="8" t="s">
        <v>1632</v>
      </c>
      <c r="C21" s="1493"/>
    </row>
    <row r="22" spans="1:3">
      <c r="A22" s="8" t="s">
        <v>123</v>
      </c>
      <c r="B22" s="8" t="s">
        <v>1632</v>
      </c>
      <c r="C22" s="1493"/>
    </row>
    <row r="23" spans="1:3">
      <c r="A23" s="8" t="s">
        <v>124</v>
      </c>
      <c r="B23" s="3295" t="s">
        <v>3056</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27"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8月27日，在规划利用条件下、设定土地开发程度为红线外“七通”、宗地内场地，设定用途为，剩余土地使用年限为的出让国有建设用地使用权价格。</v>
      </c>
      <c r="D53" s="1686"/>
      <c r="E53" s="1686"/>
    </row>
    <row r="54" spans="1:5">
      <c r="A54" s="3327"/>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27"/>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27"/>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27"/>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2037</v>
      </c>
      <c r="B58" s="1685" t="s">
        <v>2038</v>
      </c>
      <c r="C58" s="11" t="s">
        <v>2039</v>
      </c>
      <c r="D58" s="1273"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信息</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不动产收益法</vt:lpstr>
      <vt:lpstr>酒店收入计算</vt:lpstr>
      <vt:lpstr>成本逼近法</vt:lpstr>
      <vt:lpstr>不动产收益法 (车库)</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2020-08-31T06:53:08Z</dcterms:modified>
</cp:coreProperties>
</file>