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907C799-380E-44B9-BDAC-032543D02789}" xr6:coauthVersionLast="47" xr6:coauthVersionMax="47" xr10:uidLastSave="{00000000-0000-0000-0000-000000000000}"/>
  <bookViews>
    <workbookView xWindow="-120" yWindow="-120" windowWidth="38640" windowHeight="21240" tabRatio="899" firstSheet="8"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3" i="1" l="1"/>
  <c r="K6" i="1"/>
  <c r="J48" i="81" l="1"/>
  <c r="AD6" i="1"/>
  <c r="AA6" i="1" l="1"/>
  <c r="I31" i="81"/>
  <c r="H45" i="21"/>
  <c r="D127" i="21"/>
  <c r="F45" i="21" s="1"/>
  <c r="F127" i="21"/>
  <c r="H33" i="21"/>
  <c r="D104" i="21"/>
  <c r="E104" i="21" s="1"/>
  <c r="F104" i="21" s="1"/>
  <c r="F27" i="21"/>
  <c r="J27" i="21" s="1"/>
  <c r="B27" i="9"/>
  <c r="C127" i="21" l="1"/>
  <c r="G104" i="21"/>
  <c r="J33" i="21"/>
  <c r="I32" i="81"/>
  <c r="I44" i="81"/>
  <c r="I43" i="81"/>
  <c r="I42" i="81"/>
  <c r="I41" i="81"/>
  <c r="J45" i="21"/>
  <c r="D91" i="21"/>
  <c r="E91" i="21" l="1"/>
  <c r="F91" i="21" s="1"/>
  <c r="H27" i="21"/>
  <c r="H104" i="21"/>
  <c r="I104" i="21" s="1"/>
  <c r="F33" i="21"/>
  <c r="D59" i="21"/>
  <c r="E59" i="21" s="1"/>
  <c r="F59" i="21" s="1"/>
  <c r="G59" i="21" s="1"/>
  <c r="H59" i="21" l="1"/>
  <c r="I59" i="21"/>
  <c r="J59" i="21" s="1"/>
  <c r="K59" i="21" s="1"/>
  <c r="L59" i="21" s="1"/>
  <c r="B21" i="1"/>
  <c r="D129" i="21" l="1"/>
  <c r="E129" i="21" s="1"/>
  <c r="F129" i="21" s="1"/>
  <c r="G129" i="21" s="1"/>
  <c r="E15" i="21"/>
  <c r="I38" i="81"/>
  <c r="I39" i="81"/>
  <c r="I33" i="81"/>
  <c r="I34" i="81"/>
  <c r="I35" i="81"/>
  <c r="I36" i="81"/>
  <c r="I37" i="81"/>
  <c r="I40" i="81"/>
  <c r="M20" i="1"/>
  <c r="M21" i="1" s="1"/>
  <c r="N22" i="1" s="1"/>
  <c r="D3" i="4"/>
  <c r="Y20" i="1"/>
  <c r="I46" i="81" l="1"/>
  <c r="J46" i="81" s="1"/>
  <c r="I5" i="21"/>
  <c r="G5" i="21"/>
  <c r="D66" i="21" l="1"/>
  <c r="B65" i="21"/>
  <c r="I37" i="21"/>
  <c r="G37" i="21"/>
  <c r="E37" i="21"/>
  <c r="I33" i="21" l="1"/>
  <c r="G33" i="21"/>
  <c r="E33" i="21"/>
  <c r="E5" i="21"/>
  <c r="M59"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H36" i="21"/>
  <c r="AB36" i="21" s="1"/>
  <c r="F36" i="21"/>
  <c r="AA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F42" i="67"/>
  <c r="E8" i="76"/>
  <c r="M26" i="67"/>
  <c r="B12" i="76"/>
  <c r="M9" i="67"/>
  <c r="E13" i="76"/>
  <c r="B7" i="76"/>
  <c r="J15" i="67"/>
  <c r="D2" i="33"/>
  <c r="B8" i="76"/>
  <c r="E12" i="76"/>
  <c r="F37" i="67"/>
  <c r="F20" i="31"/>
  <c r="F40" i="67"/>
  <c r="E9" i="76"/>
  <c r="F16" i="67"/>
  <c r="M24" i="67"/>
  <c r="F36" i="67"/>
  <c r="M28" i="67"/>
  <c r="AO7" i="1"/>
  <c r="B11" i="76"/>
  <c r="D2" i="36"/>
  <c r="E11" i="76"/>
  <c r="AO9" i="1"/>
  <c r="E10" i="76"/>
  <c r="D2" i="21"/>
  <c r="F13" i="67"/>
  <c r="M23" i="67"/>
  <c r="F8" i="67"/>
  <c r="AO13" i="1"/>
  <c r="AO11" i="1"/>
  <c r="F6" i="67"/>
  <c r="D2" i="35"/>
  <c r="F38" i="67"/>
  <c r="D34" i="9"/>
  <c r="AO10" i="1"/>
  <c r="E2" i="69"/>
  <c r="AO12" i="1"/>
  <c r="M6" i="67"/>
  <c r="M8" i="67"/>
  <c r="B10" i="76"/>
  <c r="B13" i="76"/>
  <c r="C76" i="67"/>
  <c r="M22" i="67"/>
  <c r="B9" i="76"/>
  <c r="F9" i="67"/>
  <c r="D2" i="37"/>
  <c r="D35" i="9"/>
  <c r="AO8" i="1"/>
  <c r="F26" i="67"/>
  <c r="E7" i="76"/>
  <c r="E2" i="68"/>
  <c r="L47" i="67"/>
  <c r="D2" i="34"/>
  <c r="G217" i="3" l="1"/>
  <c r="J36" i="21"/>
  <c r="AC36" i="21" s="1"/>
  <c r="G55" i="3"/>
  <c r="G71" i="3"/>
  <c r="G75" i="3"/>
  <c r="G79" i="3"/>
  <c r="G87" i="3"/>
  <c r="G95" i="3"/>
  <c r="G103" i="3"/>
  <c r="G115" i="3"/>
  <c r="G135" i="3"/>
  <c r="G139" i="3"/>
  <c r="G143" i="3"/>
  <c r="BA173" i="3"/>
  <c r="G203" i="3"/>
  <c r="G219" i="3"/>
  <c r="G507" i="3"/>
  <c r="G511" i="3"/>
  <c r="G515" i="3"/>
  <c r="G519" i="3"/>
  <c r="BA583" i="3"/>
  <c r="H15" i="21"/>
  <c r="AB15" i="21" s="1"/>
  <c r="T47" i="21"/>
  <c r="G50" i="21"/>
  <c r="H37" i="21"/>
  <c r="F37" i="21" s="1"/>
  <c r="J37" i="21"/>
  <c r="S13" i="79"/>
  <c r="T14" i="79"/>
  <c r="W14" i="79" s="1"/>
  <c r="C67" i="71"/>
  <c r="D68" i="71"/>
  <c r="G23" i="21"/>
  <c r="E23" i="21"/>
  <c r="S8" i="35"/>
  <c r="U27" i="35"/>
  <c r="S12" i="79"/>
  <c r="F27" i="71"/>
  <c r="Y35" i="71"/>
  <c r="Z35" i="71" s="1"/>
  <c r="Y36" i="71"/>
  <c r="Z36" i="71" s="1"/>
  <c r="F70" i="67"/>
  <c r="F52" i="67"/>
  <c r="J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AZ87" i="3" s="1"/>
  <c r="BA91" i="3"/>
  <c r="BA95" i="3"/>
  <c r="BL118" i="3"/>
  <c r="BA121" i="3"/>
  <c r="AZ121" i="3" s="1"/>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AZ24" i="3" s="1"/>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AZ137" i="3" s="1"/>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AZ257" i="3" s="1"/>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AZ65" i="3" s="1"/>
  <c r="G69" i="3"/>
  <c r="BA69" i="3"/>
  <c r="BL72" i="3"/>
  <c r="G83" i="3"/>
  <c r="BL86" i="3"/>
  <c r="BA89" i="3"/>
  <c r="G93" i="3"/>
  <c r="BA99" i="3"/>
  <c r="AZ99" i="3" s="1"/>
  <c r="G107" i="3"/>
  <c r="BA119" i="3"/>
  <c r="AZ119" i="3" s="1"/>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AZ500" i="3" s="1"/>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BA19" i="3"/>
  <c r="BL23" i="3"/>
  <c r="G24" i="3"/>
  <c r="G25" i="3"/>
  <c r="BA26" i="3"/>
  <c r="AZ26" i="3" s="1"/>
  <c r="BA27" i="3"/>
  <c r="BL31" i="3"/>
  <c r="AZ31" i="3" s="1"/>
  <c r="G32" i="3"/>
  <c r="G33" i="3"/>
  <c r="BA34" i="3"/>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40" i="3"/>
  <c r="G157" i="3"/>
  <c r="BL167" i="3"/>
  <c r="BL176" i="3"/>
  <c r="BL179" i="3"/>
  <c r="G181" i="3"/>
  <c r="BA182" i="3"/>
  <c r="AZ182" i="3" s="1"/>
  <c r="BA183" i="3"/>
  <c r="BL190" i="3"/>
  <c r="AZ190" i="3" s="1"/>
  <c r="BA191" i="3"/>
  <c r="BA202" i="3"/>
  <c r="AZ202" i="3" s="1"/>
  <c r="BA203" i="3"/>
  <c r="AZ203" i="3" s="1"/>
  <c r="AZ222" i="3"/>
  <c r="AZ234" i="3"/>
  <c r="AZ254"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BA21" i="3"/>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U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AZ443" i="3" s="1"/>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AZ524" i="3" s="1"/>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D87" i="71" s="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AZ36" i="3" s="1"/>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AZ67" i="3" s="1"/>
  <c r="G68" i="3"/>
  <c r="BA68" i="3"/>
  <c r="AZ68" i="3" s="1"/>
  <c r="BL69" i="3"/>
  <c r="G70" i="3"/>
  <c r="BA70" i="3"/>
  <c r="AZ70" i="3" s="1"/>
  <c r="BL71" i="3"/>
  <c r="AZ71" i="3" s="1"/>
  <c r="G72" i="3"/>
  <c r="BA72" i="3"/>
  <c r="AZ72" i="3" s="1"/>
  <c r="BL73" i="3"/>
  <c r="G74" i="3"/>
  <c r="BA74" i="3"/>
  <c r="AZ74" i="3" s="1"/>
  <c r="BL75" i="3"/>
  <c r="AZ75" i="3" s="1"/>
  <c r="G76" i="3"/>
  <c r="BA76" i="3"/>
  <c r="AZ76" i="3" s="1"/>
  <c r="BL77" i="3"/>
  <c r="G78" i="3"/>
  <c r="BA78" i="3"/>
  <c r="BL79" i="3"/>
  <c r="AZ79" i="3" s="1"/>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AZ91" i="3" s="1"/>
  <c r="G92" i="3"/>
  <c r="BA92" i="3"/>
  <c r="BL93" i="3"/>
  <c r="AZ93" i="3" s="1"/>
  <c r="G94" i="3"/>
  <c r="BA94" i="3"/>
  <c r="BL95" i="3"/>
  <c r="AZ95" i="3" s="1"/>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AZ108" i="3" s="1"/>
  <c r="BL109" i="3"/>
  <c r="G110" i="3"/>
  <c r="BA110" i="3"/>
  <c r="BL111" i="3"/>
  <c r="AZ111" i="3" s="1"/>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AZ143" i="3" s="1"/>
  <c r="G144" i="3"/>
  <c r="BA144" i="3"/>
  <c r="AZ144" i="3" s="1"/>
  <c r="BL145" i="3"/>
  <c r="G146" i="3"/>
  <c r="BA146" i="3"/>
  <c r="AZ146" i="3" s="1"/>
  <c r="BL147" i="3"/>
  <c r="AZ147" i="3" s="1"/>
  <c r="G148" i="3"/>
  <c r="BA148" i="3"/>
  <c r="AZ148" i="3" s="1"/>
  <c r="BL149" i="3"/>
  <c r="G150" i="3"/>
  <c r="BA150" i="3"/>
  <c r="AZ150" i="3" s="1"/>
  <c r="BL151" i="3"/>
  <c r="AZ151" i="3" s="1"/>
  <c r="G152" i="3"/>
  <c r="BA152" i="3"/>
  <c r="AZ152" i="3" s="1"/>
  <c r="BL153" i="3"/>
  <c r="G154" i="3"/>
  <c r="BA154" i="3"/>
  <c r="AZ154" i="3" s="1"/>
  <c r="BL155" i="3"/>
  <c r="AZ155" i="3" s="1"/>
  <c r="G156" i="3"/>
  <c r="BA156" i="3"/>
  <c r="BL157" i="3"/>
  <c r="AZ157" i="3" s="1"/>
  <c r="G158" i="3"/>
  <c r="BA158" i="3"/>
  <c r="AZ158" i="3" s="1"/>
  <c r="BL159" i="3"/>
  <c r="G160" i="3"/>
  <c r="BA160" i="3"/>
  <c r="AZ160" i="3" s="1"/>
  <c r="BL161" i="3"/>
  <c r="G162" i="3"/>
  <c r="BA162" i="3"/>
  <c r="BL163" i="3"/>
  <c r="AZ163" i="3" s="1"/>
  <c r="G164" i="3"/>
  <c r="BA164" i="3"/>
  <c r="AZ164" i="3" s="1"/>
  <c r="BL165" i="3"/>
  <c r="G166" i="3"/>
  <c r="BA168" i="3"/>
  <c r="AZ168" i="3" s="1"/>
  <c r="BL169" i="3"/>
  <c r="G170" i="3"/>
  <c r="BA172" i="3"/>
  <c r="AZ172" i="3" s="1"/>
  <c r="BL173" i="3"/>
  <c r="G174" i="3"/>
  <c r="BA176" i="3"/>
  <c r="AZ176" i="3" s="1"/>
  <c r="BL177" i="3"/>
  <c r="AZ177" i="3" s="1"/>
  <c r="G178" i="3"/>
  <c r="BA180" i="3"/>
  <c r="AZ180" i="3" s="1"/>
  <c r="BL181" i="3"/>
  <c r="G182" i="3"/>
  <c r="BA184" i="3"/>
  <c r="BL185" i="3"/>
  <c r="AZ185" i="3" s="1"/>
  <c r="G186" i="3"/>
  <c r="BA188" i="3"/>
  <c r="AZ188" i="3" s="1"/>
  <c r="BL189" i="3"/>
  <c r="G190" i="3"/>
  <c r="BA192" i="3"/>
  <c r="BL193" i="3"/>
  <c r="AZ193" i="3" s="1"/>
  <c r="G194" i="3"/>
  <c r="BA196" i="3"/>
  <c r="AZ196" i="3" s="1"/>
  <c r="BL197" i="3"/>
  <c r="G198" i="3"/>
  <c r="BA200" i="3"/>
  <c r="AZ200" i="3" s="1"/>
  <c r="BL201" i="3"/>
  <c r="G202" i="3"/>
  <c r="BA204" i="3"/>
  <c r="AZ204" i="3" s="1"/>
  <c r="BL205" i="3"/>
  <c r="G206" i="3"/>
  <c r="BA208" i="3"/>
  <c r="BL209" i="3"/>
  <c r="G210" i="3"/>
  <c r="BA212" i="3"/>
  <c r="AZ212" i="3" s="1"/>
  <c r="BL213" i="3"/>
  <c r="G214" i="3"/>
  <c r="BA216" i="3"/>
  <c r="AZ216" i="3" s="1"/>
  <c r="BL217" i="3"/>
  <c r="AZ217" i="3" s="1"/>
  <c r="G218" i="3"/>
  <c r="BA220" i="3"/>
  <c r="AZ220" i="3" s="1"/>
  <c r="BL221" i="3"/>
  <c r="G222" i="3"/>
  <c r="BA224" i="3"/>
  <c r="AZ224" i="3" s="1"/>
  <c r="BL225" i="3"/>
  <c r="G226" i="3"/>
  <c r="BA228" i="3"/>
  <c r="AZ228" i="3" s="1"/>
  <c r="BL229" i="3"/>
  <c r="G230" i="3"/>
  <c r="BA232" i="3"/>
  <c r="BL233" i="3"/>
  <c r="AZ233" i="3" s="1"/>
  <c r="G234" i="3"/>
  <c r="BA236" i="3"/>
  <c r="BL237" i="3"/>
  <c r="G238" i="3"/>
  <c r="BA240" i="3"/>
  <c r="BL241" i="3"/>
  <c r="AZ241" i="3" s="1"/>
  <c r="G242" i="3"/>
  <c r="BA244" i="3"/>
  <c r="AZ244" i="3" s="1"/>
  <c r="BL245" i="3"/>
  <c r="G246" i="3"/>
  <c r="BA248" i="3"/>
  <c r="AZ248" i="3" s="1"/>
  <c r="BL249" i="3"/>
  <c r="G250" i="3"/>
  <c r="BA252" i="3"/>
  <c r="AZ252" i="3" s="1"/>
  <c r="BL253" i="3"/>
  <c r="AZ253" i="3" s="1"/>
  <c r="G254" i="3"/>
  <c r="BA256" i="3"/>
  <c r="BL257" i="3"/>
  <c r="G258" i="3"/>
  <c r="BA260" i="3"/>
  <c r="BL261" i="3"/>
  <c r="G262" i="3"/>
  <c r="BA264" i="3"/>
  <c r="AZ264" i="3" s="1"/>
  <c r="BL265" i="3"/>
  <c r="AZ265" i="3" s="1"/>
  <c r="G266" i="3"/>
  <c r="BA268" i="3"/>
  <c r="AZ268" i="3" s="1"/>
  <c r="BL269" i="3"/>
  <c r="G270" i="3"/>
  <c r="BA272" i="3"/>
  <c r="AZ272" i="3" s="1"/>
  <c r="BL273" i="3"/>
  <c r="AZ273" i="3" s="1"/>
  <c r="G274" i="3"/>
  <c r="BA276" i="3"/>
  <c r="AZ276" i="3" s="1"/>
  <c r="BL277" i="3"/>
  <c r="AZ277" i="3" s="1"/>
  <c r="G278" i="3"/>
  <c r="BA280" i="3"/>
  <c r="AZ280" i="3" s="1"/>
  <c r="BL281" i="3"/>
  <c r="G282" i="3"/>
  <c r="BA284" i="3"/>
  <c r="AZ284" i="3" s="1"/>
  <c r="BL285" i="3"/>
  <c r="G286" i="3"/>
  <c r="BA288" i="3"/>
  <c r="AZ288" i="3" s="1"/>
  <c r="BL289" i="3"/>
  <c r="AZ289" i="3" s="1"/>
  <c r="G290" i="3"/>
  <c r="BA292" i="3"/>
  <c r="AZ292" i="3" s="1"/>
  <c r="BL293" i="3"/>
  <c r="AZ293" i="3" s="1"/>
  <c r="G294" i="3"/>
  <c r="BA296" i="3"/>
  <c r="AZ296" i="3" s="1"/>
  <c r="BL297" i="3"/>
  <c r="AZ297" i="3" s="1"/>
  <c r="G298" i="3"/>
  <c r="BA300" i="3"/>
  <c r="AZ300" i="3" s="1"/>
  <c r="BL301" i="3"/>
  <c r="G302" i="3"/>
  <c r="BA304" i="3"/>
  <c r="BL305" i="3"/>
  <c r="G306" i="3"/>
  <c r="BA308" i="3"/>
  <c r="AZ308" i="3" s="1"/>
  <c r="BL309" i="3"/>
  <c r="G310" i="3"/>
  <c r="BA312" i="3"/>
  <c r="AZ312" i="3" s="1"/>
  <c r="BL313" i="3"/>
  <c r="G314" i="3"/>
  <c r="BA316" i="3"/>
  <c r="AZ316" i="3" s="1"/>
  <c r="BL317" i="3"/>
  <c r="AZ317" i="3" s="1"/>
  <c r="G318" i="3"/>
  <c r="BA320" i="3"/>
  <c r="AZ320" i="3" s="1"/>
  <c r="BL321" i="3"/>
  <c r="G322" i="3"/>
  <c r="BA324" i="3"/>
  <c r="AZ324" i="3" s="1"/>
  <c r="BL325" i="3"/>
  <c r="G326" i="3"/>
  <c r="BA328" i="3"/>
  <c r="BL329" i="3"/>
  <c r="AZ329" i="3" s="1"/>
  <c r="G330" i="3"/>
  <c r="BA332" i="3"/>
  <c r="BL333" i="3"/>
  <c r="G334" i="3"/>
  <c r="BA336" i="3"/>
  <c r="BL337" i="3"/>
  <c r="G338" i="3"/>
  <c r="BA340" i="3"/>
  <c r="AZ340" i="3" s="1"/>
  <c r="BL341" i="3"/>
  <c r="G342" i="3"/>
  <c r="BA344" i="3"/>
  <c r="AZ344" i="3" s="1"/>
  <c r="BL345" i="3"/>
  <c r="AZ345" i="3" s="1"/>
  <c r="G346" i="3"/>
  <c r="BA348" i="3"/>
  <c r="BL349" i="3"/>
  <c r="G350" i="3"/>
  <c r="BA352" i="3"/>
  <c r="AZ352" i="3" s="1"/>
  <c r="BL353" i="3"/>
  <c r="G354" i="3"/>
  <c r="BA356" i="3"/>
  <c r="AZ356" i="3" s="1"/>
  <c r="BL357" i="3"/>
  <c r="G358" i="3"/>
  <c r="BA360" i="3"/>
  <c r="BL361" i="3"/>
  <c r="AZ361" i="3" s="1"/>
  <c r="G362" i="3"/>
  <c r="BA364" i="3"/>
  <c r="BL365" i="3"/>
  <c r="G366" i="3"/>
  <c r="BA368" i="3"/>
  <c r="AZ368" i="3" s="1"/>
  <c r="BL369" i="3"/>
  <c r="G370" i="3"/>
  <c r="BA372" i="3"/>
  <c r="AZ372" i="3" s="1"/>
  <c r="BL373" i="3"/>
  <c r="AZ373" i="3" s="1"/>
  <c r="G374" i="3"/>
  <c r="BA376" i="3"/>
  <c r="BL377" i="3"/>
  <c r="AZ377" i="3" s="1"/>
  <c r="G378" i="3"/>
  <c r="BA380" i="3"/>
  <c r="BL381" i="3"/>
  <c r="AZ381" i="3" s="1"/>
  <c r="G382" i="3"/>
  <c r="BA384" i="3"/>
  <c r="AZ384" i="3" s="1"/>
  <c r="BL385" i="3"/>
  <c r="AZ385" i="3" s="1"/>
  <c r="G386" i="3"/>
  <c r="BA388" i="3"/>
  <c r="BL389" i="3"/>
  <c r="G390" i="3"/>
  <c r="BA392" i="3"/>
  <c r="BL393" i="3"/>
  <c r="AZ393" i="3" s="1"/>
  <c r="G394" i="3"/>
  <c r="BA396" i="3"/>
  <c r="BL397" i="3"/>
  <c r="AZ397" i="3" s="1"/>
  <c r="G398" i="3"/>
  <c r="BA400" i="3"/>
  <c r="AZ400" i="3" s="1"/>
  <c r="BL401" i="3"/>
  <c r="AZ401" i="3" s="1"/>
  <c r="G402" i="3"/>
  <c r="BA404" i="3"/>
  <c r="BL405" i="3"/>
  <c r="AZ405" i="3" s="1"/>
  <c r="G406" i="3"/>
  <c r="BA408" i="3"/>
  <c r="BL409" i="3"/>
  <c r="G410" i="3"/>
  <c r="BA412" i="3"/>
  <c r="BL413" i="3"/>
  <c r="G414" i="3"/>
  <c r="BA416" i="3"/>
  <c r="AZ416" i="3" s="1"/>
  <c r="BL417" i="3"/>
  <c r="AZ417" i="3" s="1"/>
  <c r="G418" i="3"/>
  <c r="BA420" i="3"/>
  <c r="AZ420" i="3" s="1"/>
  <c r="BL421" i="3"/>
  <c r="G422" i="3"/>
  <c r="BA424" i="3"/>
  <c r="BL425" i="3"/>
  <c r="AZ425" i="3" s="1"/>
  <c r="G426" i="3"/>
  <c r="BA428" i="3"/>
  <c r="BL429" i="3"/>
  <c r="G430" i="3"/>
  <c r="BA432" i="3"/>
  <c r="AZ432" i="3" s="1"/>
  <c r="BL433" i="3"/>
  <c r="G434" i="3"/>
  <c r="BA436" i="3"/>
  <c r="AZ436" i="3" s="1"/>
  <c r="BL437" i="3"/>
  <c r="AZ437" i="3" s="1"/>
  <c r="G438" i="3"/>
  <c r="BA440" i="3"/>
  <c r="BL441" i="3"/>
  <c r="AZ441" i="3" s="1"/>
  <c r="G442" i="3"/>
  <c r="BA444" i="3"/>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AZ447" i="3" s="1"/>
  <c r="G448" i="3"/>
  <c r="BA450" i="3"/>
  <c r="BL451" i="3"/>
  <c r="G452" i="3"/>
  <c r="BA454" i="3"/>
  <c r="BL455" i="3"/>
  <c r="G456" i="3"/>
  <c r="BA458" i="3"/>
  <c r="BL459" i="3"/>
  <c r="G460" i="3"/>
  <c r="BA462" i="3"/>
  <c r="BL463" i="3"/>
  <c r="AZ463" i="3" s="1"/>
  <c r="G464" i="3"/>
  <c r="BA466" i="3"/>
  <c r="BL467" i="3"/>
  <c r="AZ467" i="3" s="1"/>
  <c r="G468" i="3"/>
  <c r="BA470" i="3"/>
  <c r="BL471" i="3"/>
  <c r="AZ471" i="3" s="1"/>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AZ523" i="3" s="1"/>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BL559" i="3"/>
  <c r="AZ559" i="3" s="1"/>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J40" i="37"/>
  <c r="AC40" i="37" s="1"/>
  <c r="F40" i="37"/>
  <c r="W28" i="35"/>
  <c r="W32" i="35"/>
  <c r="AA8" i="36"/>
  <c r="S8" i="36"/>
  <c r="H11" i="36"/>
  <c r="AB11" i="36" s="1"/>
  <c r="F11" i="36"/>
  <c r="AA11" i="36" s="1"/>
  <c r="H13" i="36"/>
  <c r="U13" i="36" s="1"/>
  <c r="J13" i="36"/>
  <c r="AC13" i="36" s="1"/>
  <c r="H23" i="36"/>
  <c r="AB23" i="36" s="1"/>
  <c r="F23" i="36"/>
  <c r="AA23" i="36" s="1"/>
  <c r="H25" i="36"/>
  <c r="U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BB5" i="3"/>
  <c r="AZ15" i="3"/>
  <c r="AZ21" i="3"/>
  <c r="AZ25" i="3"/>
  <c r="AZ27" i="3"/>
  <c r="AZ29" i="3"/>
  <c r="AZ35" i="3"/>
  <c r="AZ37" i="3"/>
  <c r="AZ39" i="3"/>
  <c r="AZ49" i="3"/>
  <c r="AZ59" i="3"/>
  <c r="AZ69" i="3"/>
  <c r="AZ73" i="3"/>
  <c r="AZ77" i="3"/>
  <c r="AZ83" i="3"/>
  <c r="AZ89" i="3"/>
  <c r="AZ97" i="3"/>
  <c r="AZ105" i="3"/>
  <c r="AZ113" i="3"/>
  <c r="AZ115" i="3"/>
  <c r="AZ123" i="3"/>
  <c r="AZ125" i="3"/>
  <c r="AZ129" i="3"/>
  <c r="AZ139" i="3"/>
  <c r="AZ145" i="3"/>
  <c r="AZ159" i="3"/>
  <c r="AZ173" i="3"/>
  <c r="AZ181" i="3"/>
  <c r="AZ189" i="3"/>
  <c r="AZ201" i="3"/>
  <c r="AZ209" i="3"/>
  <c r="AZ225" i="3"/>
  <c r="AZ237" i="3"/>
  <c r="AZ249" i="3"/>
  <c r="AZ285" i="3"/>
  <c r="AZ301" i="3"/>
  <c r="AZ305" i="3"/>
  <c r="AZ325" i="3"/>
  <c r="AZ337" i="3"/>
  <c r="AZ349" i="3"/>
  <c r="AB8" i="71"/>
  <c r="X8" i="71"/>
  <c r="AA8" i="71"/>
  <c r="Y8" i="71"/>
  <c r="Z8" i="71" s="1"/>
  <c r="A118" i="9"/>
  <c r="A2" i="9"/>
  <c r="M56" i="9"/>
  <c r="J56" i="9"/>
  <c r="J57" i="9" s="1"/>
  <c r="J59" i="9" s="1"/>
  <c r="J61" i="9" s="1"/>
  <c r="N56" i="9"/>
  <c r="K56" i="9"/>
  <c r="I4" i="6"/>
  <c r="AZ435" i="3"/>
  <c r="AZ459" i="3"/>
  <c r="AZ483" i="3"/>
  <c r="AZ491" i="3"/>
  <c r="AZ539" i="3"/>
  <c r="AZ587" i="3"/>
  <c r="AR8" i="1"/>
  <c r="AQ8" i="1"/>
  <c r="T8" i="1"/>
  <c r="C18" i="9"/>
  <c r="D18" i="9" s="1"/>
  <c r="C94" i="9"/>
  <c r="C92" i="9"/>
  <c r="H89" i="21"/>
  <c r="I89" i="21" s="1"/>
  <c r="J89" i="21" s="1"/>
  <c r="K89" i="21" s="1"/>
  <c r="L89" i="21" s="1"/>
  <c r="M89" i="21" s="1"/>
  <c r="W30" i="21"/>
  <c r="T7" i="1"/>
  <c r="AR10" i="1"/>
  <c r="AQ10" i="1"/>
  <c r="T10" i="1"/>
  <c r="AB13" i="21"/>
  <c r="U13" i="21"/>
  <c r="S37" i="21"/>
  <c r="J44" i="21"/>
  <c r="H44" i="21"/>
  <c r="AC46" i="21"/>
  <c r="W46" i="21"/>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AB33" i="34"/>
  <c r="U33" i="34"/>
  <c r="AC34" i="34"/>
  <c r="W34" i="34"/>
  <c r="AA38" i="34"/>
  <c r="AB41" i="34"/>
  <c r="U41" i="34"/>
  <c r="AC42" i="34"/>
  <c r="W42" i="34"/>
  <c r="AA46" i="34"/>
  <c r="AB47" i="34"/>
  <c r="AA15" i="37"/>
  <c r="AA19" i="37"/>
  <c r="AA23" i="37"/>
  <c r="AB31" i="37"/>
  <c r="U31" i="37"/>
  <c r="AC32" i="37"/>
  <c r="W32" i="37"/>
  <c r="AA36" i="37"/>
  <c r="W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U30" i="21"/>
  <c r="W31" i="21"/>
  <c r="S39" i="21"/>
  <c r="W39" i="21"/>
  <c r="U40" i="21"/>
  <c r="S41" i="21"/>
  <c r="W41" i="21"/>
  <c r="W45" i="21"/>
  <c r="R47" i="21"/>
  <c r="V47" i="21"/>
  <c r="G54" i="21"/>
  <c r="H54" i="21" s="1"/>
  <c r="K144" i="21"/>
  <c r="U9" i="33"/>
  <c r="S10" i="33"/>
  <c r="W10" i="33"/>
  <c r="U11" i="33"/>
  <c r="S12"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AC14" i="39"/>
  <c r="W14" i="39"/>
  <c r="AB30" i="40"/>
  <c r="U30" i="40"/>
  <c r="U38" i="33"/>
  <c r="S39" i="33"/>
  <c r="W39" i="33"/>
  <c r="U40" i="33"/>
  <c r="S41" i="33"/>
  <c r="W41" i="33"/>
  <c r="U42" i="33"/>
  <c r="S43" i="33"/>
  <c r="W43" i="33"/>
  <c r="U44" i="33"/>
  <c r="U46" i="33"/>
  <c r="U10" i="34"/>
  <c r="S11" i="34"/>
  <c r="W11" i="34"/>
  <c r="U12" i="34"/>
  <c r="S13" i="34"/>
  <c r="W13"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U24" i="35"/>
  <c r="S28" i="35"/>
  <c r="W30" i="35"/>
  <c r="S32" i="35"/>
  <c r="U33" i="35"/>
  <c r="W34" i="35"/>
  <c r="S36" i="35"/>
  <c r="J24" i="35"/>
  <c r="F24" i="35"/>
  <c r="AB8" i="36"/>
  <c r="AB13" i="36"/>
  <c r="AB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6" i="36"/>
  <c r="W26" i="36"/>
  <c r="U27" i="36"/>
  <c r="S28" i="36"/>
  <c r="W28" i="36"/>
  <c r="U29" i="36"/>
  <c r="S30" i="36"/>
  <c r="W30" i="36"/>
  <c r="U31" i="36"/>
  <c r="S34" i="36"/>
  <c r="W34" i="36"/>
  <c r="S8" i="39"/>
  <c r="W8" i="39"/>
  <c r="S9" i="39"/>
  <c r="W9" i="39"/>
  <c r="U11" i="39"/>
  <c r="F12" i="39"/>
  <c r="U13" i="39"/>
  <c r="F14" i="39"/>
  <c r="S15" i="39"/>
  <c r="W15" i="39"/>
  <c r="S17" i="39"/>
  <c r="W17" i="39"/>
  <c r="S19" i="39"/>
  <c r="W19" i="39"/>
  <c r="U21" i="39"/>
  <c r="AC21" i="39"/>
  <c r="S23" i="39"/>
  <c r="U25" i="39"/>
  <c r="W27" i="39"/>
  <c r="S31" i="39"/>
  <c r="U32" i="39"/>
  <c r="W34"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AB12" i="40"/>
  <c r="U12"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L48" i="67"/>
  <c r="F6" i="73"/>
  <c r="D7" i="73"/>
  <c r="AZ313" i="3" l="1"/>
  <c r="AZ535" i="3"/>
  <c r="AZ55" i="3"/>
  <c r="AZ169" i="3"/>
  <c r="AZ103" i="3"/>
  <c r="AZ281" i="3"/>
  <c r="AZ127" i="3"/>
  <c r="AZ63" i="3"/>
  <c r="C86" i="71"/>
  <c r="D86" i="71" s="1"/>
  <c r="D75" i="71"/>
  <c r="S24" i="36"/>
  <c r="U23" i="36"/>
  <c r="U11" i="36"/>
  <c r="S23" i="35"/>
  <c r="U32" i="34"/>
  <c r="W12" i="21"/>
  <c r="U9" i="21"/>
  <c r="AR7" i="1"/>
  <c r="AZ232" i="3"/>
  <c r="AZ184" i="3"/>
  <c r="AZ126" i="3"/>
  <c r="AZ94" i="3"/>
  <c r="AZ62" i="3"/>
  <c r="AZ564" i="3"/>
  <c r="AZ407" i="3"/>
  <c r="AZ426" i="3"/>
  <c r="AZ378" i="3"/>
  <c r="AZ536" i="3"/>
  <c r="AZ206" i="3"/>
  <c r="AZ210" i="3"/>
  <c r="AZ34" i="3"/>
  <c r="W39" i="40"/>
  <c r="S9" i="33"/>
  <c r="W27" i="33"/>
  <c r="AZ444" i="3"/>
  <c r="AZ428" i="3"/>
  <c r="AZ412" i="3"/>
  <c r="AZ396" i="3"/>
  <c r="AZ380" i="3"/>
  <c r="S36" i="39"/>
  <c r="W9" i="34"/>
  <c r="AC12" i="39"/>
  <c r="W14" i="33"/>
  <c r="S28" i="21"/>
  <c r="U14" i="40"/>
  <c r="W32" i="36"/>
  <c r="U14" i="34"/>
  <c r="S46" i="33"/>
  <c r="U13" i="33"/>
  <c r="AZ14" i="3"/>
  <c r="W38" i="37"/>
  <c r="AZ579" i="3"/>
  <c r="AZ558" i="3"/>
  <c r="AZ446" i="3"/>
  <c r="AZ421" i="3"/>
  <c r="AZ357" i="3"/>
  <c r="AZ341" i="3"/>
  <c r="AZ304" i="3"/>
  <c r="AZ256" i="3"/>
  <c r="AZ245" i="3"/>
  <c r="AZ240" i="3"/>
  <c r="AZ229" i="3"/>
  <c r="AZ213" i="3"/>
  <c r="AZ208" i="3"/>
  <c r="AZ192" i="3"/>
  <c r="AZ165" i="3"/>
  <c r="AZ149" i="3"/>
  <c r="AZ141" i="3"/>
  <c r="AZ130" i="3"/>
  <c r="AZ85" i="3"/>
  <c r="AZ66" i="3"/>
  <c r="AZ53" i="3"/>
  <c r="AZ549" i="3"/>
  <c r="AZ525" i="3"/>
  <c r="AZ517" i="3"/>
  <c r="AZ339" i="3"/>
  <c r="AZ556" i="3"/>
  <c r="AZ480" i="3"/>
  <c r="AZ448" i="3"/>
  <c r="AZ415" i="3"/>
  <c r="AZ399" i="3"/>
  <c r="AZ560" i="3"/>
  <c r="AZ326" i="3"/>
  <c r="AZ166" i="3"/>
  <c r="AZ48" i="3"/>
  <c r="AZ20" i="3"/>
  <c r="AZ242" i="3"/>
  <c r="AZ18" i="3"/>
  <c r="C6" i="43"/>
  <c r="D5" i="43" s="1"/>
  <c r="F26" i="21"/>
  <c r="AA26" i="21" s="1"/>
  <c r="AQ9" i="1"/>
  <c r="AZ13" i="3"/>
  <c r="S29" i="21"/>
  <c r="U45" i="21"/>
  <c r="F30" i="69"/>
  <c r="F48" i="69" s="1"/>
  <c r="M18" i="15"/>
  <c r="Q1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M17"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F27" i="6" s="1"/>
  <c r="AZ364" i="3"/>
  <c r="AZ311" i="3"/>
  <c r="AZ338" i="3"/>
  <c r="AZ275" i="3"/>
  <c r="AZ303" i="3"/>
  <c r="E17" i="43"/>
  <c r="AB37" i="21"/>
  <c r="J26" i="21"/>
  <c r="AC26" i="21" s="1"/>
  <c r="S27" i="21"/>
  <c r="W42" i="21"/>
  <c r="W27" i="21"/>
  <c r="E13" i="6"/>
  <c r="E62" i="39"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AP6" i="1"/>
  <c r="C36" i="69" s="1"/>
  <c r="M6" i="1"/>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16" i="15"/>
  <c r="M22" i="15"/>
  <c r="F6" i="15"/>
  <c r="C76" i="15"/>
  <c r="F43" i="67"/>
  <c r="F5" i="73"/>
  <c r="F3" i="73"/>
  <c r="M26" i="15"/>
  <c r="F37" i="15"/>
  <c r="M21" i="15"/>
  <c r="F43" i="15"/>
  <c r="D5" i="73"/>
  <c r="D6" i="73"/>
  <c r="L47" i="15"/>
  <c r="F7" i="15"/>
  <c r="M23" i="15"/>
  <c r="C14" i="15"/>
  <c r="F26" i="15"/>
  <c r="F35" i="15"/>
  <c r="J15" i="15"/>
  <c r="M8" i="15"/>
  <c r="F9" i="15"/>
  <c r="F7" i="73"/>
  <c r="F8" i="15"/>
  <c r="M28" i="15"/>
  <c r="M9" i="15"/>
  <c r="D3" i="73"/>
  <c r="F38" i="15"/>
  <c r="M27" i="15"/>
  <c r="F40" i="15"/>
  <c r="F4" i="73"/>
  <c r="M29" i="15"/>
  <c r="D4" i="73"/>
  <c r="F36" i="15"/>
  <c r="M29" i="67"/>
  <c r="F41" i="15"/>
  <c r="M24" i="15"/>
  <c r="L48" i="15"/>
  <c r="F13" i="15"/>
  <c r="M6" i="15"/>
  <c r="F42" i="15"/>
  <c r="E63" i="39" l="1"/>
  <c r="E58" i="40"/>
  <c r="C49" i="67"/>
  <c r="F59" i="67"/>
  <c r="H78" i="43"/>
  <c r="H72" i="43"/>
  <c r="J6" i="67"/>
  <c r="J18" i="67" s="1"/>
  <c r="AQ6" i="3"/>
  <c r="E142" i="3"/>
  <c r="E187" i="3"/>
  <c r="AS6" i="3"/>
  <c r="E54" i="3"/>
  <c r="E118" i="3"/>
  <c r="E101" i="3"/>
  <c r="E285" i="3"/>
  <c r="J6" i="3"/>
  <c r="E78" i="3"/>
  <c r="E22" i="3"/>
  <c r="E86" i="3"/>
  <c r="E150" i="3"/>
  <c r="H16" i="1"/>
  <c r="E60" i="40"/>
  <c r="E271" i="3"/>
  <c r="E46" i="3"/>
  <c r="E110" i="3"/>
  <c r="Y6" i="3"/>
  <c r="E37" i="3"/>
  <c r="AJ6" i="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C31" i="67"/>
  <c r="E67" i="3"/>
  <c r="E544" i="3"/>
  <c r="E460" i="3"/>
  <c r="E503" i="3"/>
  <c r="E403" i="3"/>
  <c r="E356" i="3"/>
  <c r="E228" i="3"/>
  <c r="E338" i="3"/>
  <c r="E250" i="3"/>
  <c r="E166" i="3"/>
  <c r="E83" i="3"/>
  <c r="P6" i="3"/>
  <c r="W34" i="21"/>
  <c r="S34" i="21"/>
  <c r="AA34" i="21"/>
  <c r="E330" i="3"/>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G1" i="73"/>
  <c r="C16" i="67"/>
  <c r="H6" i="3" l="1"/>
  <c r="C59" i="67"/>
  <c r="J19" i="67"/>
  <c r="J10" i="67"/>
  <c r="J5" i="67" s="1"/>
  <c r="J24" i="67" s="1"/>
  <c r="J17" i="67"/>
  <c r="AC6" i="3"/>
  <c r="E65" i="39"/>
  <c r="B40" i="1"/>
  <c r="F22" i="11" s="1"/>
  <c r="C23" i="11" s="1"/>
  <c r="AY6" i="3"/>
  <c r="AY585" i="3" s="1"/>
  <c r="H7" i="35"/>
  <c r="AB7" i="35" s="1"/>
  <c r="T38" i="35" s="1"/>
  <c r="G38" i="35" s="1"/>
  <c r="AY462" i="3"/>
  <c r="AY562" i="3"/>
  <c r="AY299"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AE6" i="1"/>
  <c r="C14" i="67"/>
  <c r="C17" i="67"/>
  <c r="AY423" i="3" l="1"/>
  <c r="AG6" i="1"/>
  <c r="AY387" i="3"/>
  <c r="AY426" i="3"/>
  <c r="AY573" i="3"/>
  <c r="AY287" i="3"/>
  <c r="AY441" i="3"/>
  <c r="AY394" i="3"/>
  <c r="AY525" i="3"/>
  <c r="AY255" i="3"/>
  <c r="AY433"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M27" i="67"/>
  <c r="D15" i="6" l="1"/>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M21" i="67"/>
  <c r="D20" i="9"/>
  <c r="F35"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G20" i="9" l="1"/>
  <c r="C103" i="9"/>
  <c r="B6" i="70"/>
  <c r="B2" i="70" s="1"/>
  <c r="B3" i="70" s="1"/>
  <c r="C21" i="9"/>
  <c r="C102" i="9"/>
  <c r="D22" i="9"/>
  <c r="T12" i="71"/>
  <c r="D12" i="71"/>
  <c r="U12" i="71" s="1"/>
  <c r="C11" i="71"/>
  <c r="M65" i="40"/>
  <c r="N63" i="40"/>
  <c r="M69" i="39"/>
  <c r="N67" i="39"/>
  <c r="G19" i="9" l="1"/>
  <c r="D27" i="9" s="1"/>
  <c r="E14" i="74"/>
  <c r="D14" i="74" s="1"/>
  <c r="C32" i="9"/>
  <c r="C35" i="9" s="1"/>
  <c r="C34" i="9" s="1"/>
  <c r="D11" i="71"/>
  <c r="C10" i="71"/>
  <c r="N69" i="39"/>
  <c r="O67" i="39"/>
  <c r="O69" i="39" s="1"/>
  <c r="N65" i="40"/>
  <c r="O63" i="40"/>
  <c r="O65" i="40" s="1"/>
  <c r="D30" i="9" l="1"/>
  <c r="C30" i="9" s="1"/>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48" i="72"/>
  <c r="E4" i="52"/>
  <c r="B51" i="72"/>
  <c r="F4" i="52"/>
  <c r="C73" i="9"/>
  <c r="C78" i="9"/>
  <c r="B53" i="72"/>
  <c r="F5" i="52"/>
  <c r="F119" i="9"/>
  <c r="B47" i="72"/>
  <c r="D4" i="52"/>
  <c r="B31" i="72"/>
  <c r="D15" i="53"/>
  <c r="C5" i="74"/>
  <c r="M54" i="9"/>
  <c r="D56" i="9"/>
  <c r="D58" i="9"/>
  <c r="C97" i="9"/>
  <c r="D8" i="52"/>
  <c r="M55" i="9"/>
  <c r="D59" i="9"/>
  <c r="C81" i="9"/>
  <c r="C86" i="9"/>
  <c r="C93" i="9"/>
  <c r="H102" i="9"/>
  <c r="D7" i="53"/>
  <c r="B21" i="72"/>
  <c r="D122" i="9"/>
  <c r="D123" i="9"/>
  <c r="D9" i="52"/>
  <c r="B30" i="72"/>
  <c r="I4" i="52"/>
  <c r="C105" i="9"/>
  <c r="N58" i="9"/>
  <c r="P57" i="9"/>
  <c r="C85" i="9"/>
  <c r="C95" i="9"/>
  <c r="C96" i="9"/>
  <c r="E96" i="9"/>
  <c r="E97" i="9"/>
  <c r="B20" i="72"/>
  <c r="D13" i="53"/>
  <c r="D14" i="53"/>
  <c r="B32" i="72"/>
  <c r="M48" i="9"/>
  <c r="H4" i="52"/>
  <c r="C104" i="9"/>
  <c r="C72" i="9"/>
  <c r="C79" i="9"/>
  <c r="C80" i="9"/>
  <c r="E80" i="9"/>
  <c r="E81" i="9"/>
  <c r="H119" i="9"/>
  <c r="H5" i="52"/>
  <c r="C64" i="9"/>
  <c r="C63" i="9"/>
  <c r="C67" i="9"/>
  <c r="C68" i="9"/>
  <c r="D54" i="9"/>
  <c r="N61" i="9"/>
  <c r="D55" i="9"/>
  <c r="M53" i="9"/>
  <c r="N57" i="9"/>
  <c r="N59" i="9"/>
  <c r="N60" i="9"/>
  <c r="E118" i="9"/>
  <c r="D118" i="9"/>
  <c r="D119" i="9"/>
  <c r="D5" i="52"/>
  <c r="B49" i="72"/>
  <c r="D53" i="9"/>
  <c r="D45" i="9"/>
  <c r="D52" i="9"/>
  <c r="F118" i="9"/>
  <c r="G118" i="9"/>
  <c r="G4" i="52"/>
  <c r="B52" i="72"/>
  <c r="D5" i="53"/>
  <c r="D6" i="53"/>
  <c r="B22"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<sst xmlns="http://schemas.openxmlformats.org/spreadsheetml/2006/main" count="7983" uniqueCount="3494">
  <si>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</si>
  <si>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</si>
  <si>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</si>
  <si>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</si>
  <si>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</si>
  <si>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</si>
  <si>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</si>
  <si>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</si>
  <si>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</si>
  <si>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</si>
  <si>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</si>
  <si>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</si>
  <si>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</si>
  <si>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</si>
  <si>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</si>
  <si>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</si>
  <si>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</si>
  <si>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</si>
  <si>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</si>
  <si>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</si>
  <si>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</si>
  <si>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</si>
  <si>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</si>
  <si>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</si>
  <si>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</si>
  <si>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</si>
  <si>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</si>
  <si>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</si>
  <si>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</si>
  <si>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</si>
  <si>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</si>
  <si>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</si>
  <si>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</si>
  <si>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</si>
  <si>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</si>
  <si>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</si>
  <si>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</si>
  <si>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</si>
  <si>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</si>
  <si>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</si>
  <si>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</si>
  <si>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</si>
  <si>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</si>
  <si>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</si>
  <si>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</si>
  <si>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</si>
  <si>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</si>
  <si>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</si>
  <si>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</si>
  <si>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</si>
  <si>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</si>
  <si>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</si>
  <si>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</si>
  <si>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</si>
  <si>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</si>
  <si>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</si>
  <si>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</si>
  <si>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</si>
  <si>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</si>
  <si>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</si>
  <si>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</si>
  <si>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</si>
  <si>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</si>
  <si>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</si>
  <si>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</si>
  <si>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</si>
  <si>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</si>
  <si>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</si>
  <si>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</si>
  <si>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</si>
  <si>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</si>
  <si>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</si>
  <si>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</si>
  <si>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</si>
  <si>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</si>
  <si>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</si>
  <si>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</si>
  <si>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</si>
  <si>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</si>
  <si>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</si>
  <si>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</si>
  <si>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</si>
  <si>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</si>
  <si>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</si>
  <si>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</si>
  <si>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</si>
  <si>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</si>
  <si>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</si>
  <si>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</si>
  <si>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</si>
  <si>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</si>
  <si>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</si>
  <si>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</si>
  <si>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</si>
  <si>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</si>
  <si>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</si>
  <si>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</si>
  <si>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</si>
  <si>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</si>
  <si>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</si>
  <si>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</si>
  <si>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</si>
  <si>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</si>
  <si>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</si>
  <si>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</si>
  <si>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</si>
  <si>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</si>
  <si>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</si>
  <si>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</si>
  <si>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</si>
  <si>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</si>
  <si>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</si>
  <si>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</si>
  <si>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</si>
  <si>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</si>
  <si>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</si>
  <si>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</si>
  <si>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</si>
  <si>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</si>
  <si>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</si>
  <si>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</si>
  <si>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</si>
  <si>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</si>
  <si>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</si>
  <si>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</si>
  <si>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</si>
  <si>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</si>
  <si>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</si>
  <si>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</si>
  <si>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</si>
  <si>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</si>
  <si>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</si>
  <si>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</si>
  <si>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</si>
  <si>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</si>
  <si>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</si>
  <si>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</si>
  <si>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</si>
  <si>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</si>
  <si>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</si>
  <si>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</si>
  <si>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</si>
  <si>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</si>
  <si>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</si>
  <si>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</si>
  <si>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</si>
  <si>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</si>
  <si>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</si>
  <si>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</si>
  <si>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</si>
  <si>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</si>
  <si>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</si>
  <si>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</si>
  <si>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</si>
  <si>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</si>
  <si>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</si>
  <si>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</si>
  <si>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</si>
  <si>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</si>
  <si>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</si>
  <si>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</si>
  <si>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</si>
  <si>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</si>
  <si>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</si>
  <si>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</si>
  <si>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</si>
  <si>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</si>
  <si>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</si>
  <si>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</si>
  <si>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</si>
  <si>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</si>
  <si>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</si>
  <si>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</si>
  <si>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</si>
  <si>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</si>
  <si>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</si>
  <si>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</si>
  <si>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</si>
  <si>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</si>
  <si>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</si>
  <si>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</si>
  <si>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</si>
  <si>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</si>
  <si>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</si>
  <si>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</si>
  <si>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</si>
  <si>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</si>
  <si>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</si>
  <si>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</si>
  <si>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</si>
  <si>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</si>
  <si>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</si>
  <si>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</si>
  <si>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</si>
  <si>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</si>
  <si>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</si>
  <si>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</si>
  <si>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</si>
  <si>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</si>
  <si>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</si>
  <si>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</si>
  <si>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</si>
  <si>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</si>
  <si>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</si>
  <si>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</si>
  <si>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</si>
  <si>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</si>
  <si>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</si>
  <si>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</si>
  <si>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</si>
  <si>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</si>
  <si>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</si>
  <si>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</si>
  <si>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</si>
  <si>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</si>
  <si>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</si>
  <si>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</si>
  <si>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</si>
  <si>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</si>
  <si>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</si>
  <si>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</si>
  <si>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</si>
  <si>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</si>
  <si>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</si>
  <si>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</si>
  <si>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</si>
  <si>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</si>
  <si>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</si>
  <si>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</si>
  <si>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</si>
  <si>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</si>
  <si>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</si>
  <si>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</si>
  <si>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</si>
  <si>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</si>
  <si>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</si>
  <si>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</si>
  <si>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</si>
  <si>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</si>
  <si>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</si>
  <si>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</si>
  <si>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</si>
  <si>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</si>
  <si>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</si>
  <si>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</si>
  <si>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</si>
  <si>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</si>
  <si>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</si>
  <si>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</si>
  <si>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</si>
  <si>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</si>
  <si>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</si>
  <si>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</si>
  <si>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</si>
  <si>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</si>
  <si>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</si>
  <si>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</si>
  <si>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</si>
  <si>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</si>
  <si>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</si>
  <si>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</si>
  <si>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</si>
  <si>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</si>
  <si>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</si>
  <si>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</si>
  <si>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</si>
  <si>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</si>
  <si>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</si>
  <si>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</si>
  <si>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</si>
  <si>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</si>
  <si>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</si>
  <si>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</si>
  <si>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</si>
  <si>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</si>
  <si>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</si>
  <si>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</si>
  <si>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</si>
  <si>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</si>
  <si>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</si>
  <si>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</si>
  <si>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</si>
  <si>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</si>
  <si>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</si>
  <si>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</si>
  <si>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</si>
  <si>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</si>
  <si>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</si>
  <si>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</si>
  <si>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</si>
  <si>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</si>
  <si>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</si>
  <si>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</si>
  <si>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</si>
  <si>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</si>
  <si>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</si>
  <si>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</si>
  <si>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</si>
  <si>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</si>
  <si>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</si>
  <si>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</si>
  <si>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</si>
  <si>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</si>
  <si>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</si>
  <si>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</si>
  <si>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</si>
  <si>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</si>
  <si>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</si>
  <si>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</si>
  <si>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</si>
  <si>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</si>
  <si>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</si>
  <si>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</si>
  <si>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</si>
  <si>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</si>
  <si>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</si>
  <si>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</si>
  <si>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</si>
  <si>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</si>
  <si>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</si>
  <si>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</si>
  <si>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</si>
  <si>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</si>
  <si>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</si>
  <si>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</si>
  <si>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</si>
  <si>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</si>
  <si>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</si>
  <si>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</si>
  <si>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</si>
  <si>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</si>
  <si>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</si>
  <si>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</si>
  <si>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</si>
  <si>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</si>
  <si>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</si>
  <si>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</si>
  <si>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</si>
  <si>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</si>
  <si>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</si>
  <si>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</si>
  <si>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</si>
  <si>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</si>
  <si>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</si>
  <si>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</si>
  <si>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</si>
  <si>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</si>
  <si>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</si>
  <si>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</si>
  <si>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</si>
  <si>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</si>
  <si>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</si>
  <si>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</si>
  <si>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</si>
  <si>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</si>
  <si>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</si>
  <si>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</si>
  <si>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</si>
  <si>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</si>
  <si>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</si>
  <si>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</si>
  <si>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</si>
  <si>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</si>
  <si>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</si>
  <si>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</si>
  <si>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</si>
  <si>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</si>
  <si>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</si>
  <si>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</si>
  <si>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</si>
  <si>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</si>
  <si>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</si>
  <si>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</si>
  <si>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</si>
  <si>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</si>
  <si>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</si>
  <si>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</si>
  <si>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</si>
  <si>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</si>
  <si>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</si>
  <si>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</si>
  <si>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</si>
  <si>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</si>
  <si>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</si>
  <si>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</si>
  <si>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</si>
  <si>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</si>
  <si>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</si>
  <si>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</si>
  <si>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</si>
  <si>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</si>
  <si>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</si>
  <si>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</si>
  <si>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</si>
  <si>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</si>
  <si>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</si>
  <si>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</si>
  <si>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</si>
  <si>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</si>
  <si>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</si>
  <si>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</si>
  <si>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</si>
  <si>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</si>
  <si>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</si>
  <si>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</si>
  <si>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</si>
  <si>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</si>
  <si>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</si>
  <si>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</si>
  <si>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</si>
  <si>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</si>
  <si>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</si>
  <si>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</si>
  <si>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</si>
  <si>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</si>
  <si>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</si>
  <si>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</si>
  <si>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</si>
  <si>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</si>
  <si>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</si>
  <si>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</si>
  <si>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</si>
  <si>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</si>
  <si>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</si>
  <si>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</si>
  <si>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</si>
  <si>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</si>
  <si>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</si>
  <si>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</si>
  <si>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</si>
  <si>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</si>
  <si>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</si>
  <si>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</si>
  <si>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</si>
  <si>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</si>
  <si>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</si>
  <si>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</si>
  <si>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</si>
  <si>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</si>
  <si>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</si>
  <si>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</si>
  <si>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</si>
  <si>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</si>
  <si>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</si>
  <si>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</si>
  <si>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</si>
  <si>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</si>
  <si>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</si>
  <si>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</si>
  <si>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</si>
  <si>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</si>
  <si>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</si>
  <si>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</si>
  <si>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</si>
  <si>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</si>
  <si>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</si>
  <si>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</si>
  <si>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</si>
  <si>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</si>
  <si>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</si>
  <si>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</si>
  <si>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</si>
  <si>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</si>
  <si>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</si>
  <si>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</si>
  <si>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</si>
  <si>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</si>
  <si>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</si>
  <si>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</si>
  <si>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</si>
  <si>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</si>
  <si>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</si>
  <si>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</si>
  <si>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</si>
  <si>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</si>
  <si>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</si>
  <si>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</si>
  <si>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</si>
  <si>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</si>
  <si>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</si>
  <si>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</si>
  <si>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</si>
  <si>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</si>
  <si>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</si>
  <si>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</si>
  <si>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</si>
  <si>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</si>
  <si>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</si>
  <si>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</si>
  <si>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</si>
  <si>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</si>
  <si>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</si>
  <si>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</si>
  <si>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</si>
  <si>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</si>
  <si>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</si>
  <si>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</si>
  <si>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</si>
  <si>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</si>
  <si>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</si>
  <si>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</si>
  <si>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</si>
  <si>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</si>
  <si>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</si>
  <si>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</si>
  <si>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</si>
  <si>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</si>
  <si>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</si>
  <si>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</si>
  <si>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</si>
  <si>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</si>
  <si>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</si>
  <si>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</si>
  <si>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</si>
  <si>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</si>
  <si>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</si>
  <si>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</si>
  <si>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</si>
  <si>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</si>
  <si>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</si>
  <si>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</si>
  <si>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</si>
  <si>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</si>
  <si>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</si>
  <si>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</si>
  <si>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</si>
  <si>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</si>
  <si>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</si>
  <si>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</si>
  <si>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</si>
  <si>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</si>
  <si>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</si>
  <si>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</si>
  <si>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</si>
  <si>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</si>
  <si>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</si>
  <si>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</si>
  <si>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</si>
  <si>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</si>
  <si>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</si>
  <si>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</si>
  <si>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</si>
  <si>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</si>
  <si>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</si>
  <si>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</si>
  <si>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</si>
  <si>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</si>
  <si>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</si>
  <si>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</si>
  <si>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</si>
  <si>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</si>
  <si>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</si>
  <si>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</si>
  <si>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</si>
  <si>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</si>
  <si>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</si>
  <si>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</si>
  <si>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</si>
  <si>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</si>
  <si>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</si>
  <si>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</si>
  <si>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</si>
  <si>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</si>
  <si>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</si>
  <si>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</si>
  <si>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</si>
  <si>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</si>
  <si>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</si>
  <si>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</si>
  <si>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</si>
  <si>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</si>
  <si>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</si>
  <si>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</si>
  <si>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</si>
  <si>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</si>
  <si>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</si>
  <si>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</si>
  <si>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</si>
  <si>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</si>
  <si>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</si>
  <si>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</si>
  <si>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</si>
  <si>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</si>
  <si>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</si>
  <si>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</si>
  <si>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</si>
  <si>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</si>
  <si>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</si>
  <si>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</si>
  <si>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</si>
  <si>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</si>
  <si>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</si>
  <si>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</si>
  <si>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</si>
  <si>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</si>
  <si>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</si>
  <si>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</si>
  <si>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</si>
  <si>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</si>
  <si>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</si>
  <si>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</si>
  <si>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</si>
  <si>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</si>
  <si>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</si>
  <si>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</si>
  <si>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</si>
  <si>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</si>
  <si>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</si>
  <si>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</si>
  <si>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</si>
  <si>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</si>
  <si>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</si>
  <si>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</si>
  <si>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</si>
  <si>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</si>
  <si>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</si>
  <si>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</si>
  <si>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</si>
  <si>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</si>
  <si>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</si>
  <si>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</si>
  <si>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</si>
  <si>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</si>
  <si>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</si>
  <si>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</si>
  <si>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</si>
  <si>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</si>
  <si>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</si>
  <si>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</si>
  <si>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</si>
  <si>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</si>
  <si>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</si>
  <si>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</si>
  <si>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</si>
  <si>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</si>
  <si>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</si>
  <si>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</si>
  <si>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</si>
  <si>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</si>
  <si>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</si>
  <si>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</si>
  <si>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</si>
  <si>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</si>
  <si>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</si>
  <si>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</si>
  <si>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</si>
  <si>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</si>
  <si>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</si>
  <si>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</si>
  <si>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</si>
  <si>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</si>
  <si>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</si>
  <si>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</si>
  <si>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</si>
  <si>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</si>
  <si>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</si>
  <si>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</si>
  <si>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</si>
  <si>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</si>
  <si>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</si>
  <si>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</si>
  <si>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</si>
  <si>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</si>
  <si>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</si>
  <si>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</si>
  <si>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</si>
  <si>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</si>
  <si>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</si>
  <si>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</si>
  <si>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</si>
  <si>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</si>
  <si>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</si>
  <si>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</si>
  <si>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</si>
  <si>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</si>
  <si>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</si>
  <si>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</si>
  <si>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</si>
  <si>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</si>
  <si>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</si>
  <si>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</si>
  <si>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</si>
  <si>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</si>
  <si>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</si>
  <si>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</si>
  <si>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</si>
  <si>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</si>
  <si>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</si>
  <si>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</si>
  <si>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</si>
  <si>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</si>
  <si>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</si>
  <si>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</si>
  <si>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</si>
  <si>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</si>
  <si>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</si>
  <si>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</si>
  <si>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</si>
  <si>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</si>
  <si>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</si>
  <si>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</si>
  <si>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</si>
  <si>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</si>
  <si>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</si>
  <si>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</si>
  <si>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</si>
  <si>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</si>
  <si>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</si>
  <si>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</si>
  <si>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</si>
  <si>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</si>
  <si>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</si>
  <si>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</si>
  <si>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</si>
  <si>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</si>
  <si>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</si>
  <si>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</si>
  <si>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</si>
  <si>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</si>
  <si>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</si>
  <si>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</si>
  <si>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</si>
  <si>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</si>
  <si>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</si>
  <si>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</si>
  <si>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</si>
  <si>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</si>
  <si>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</si>
  <si>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</si>
  <si>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</si>
  <si>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</si>
  <si>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</si>
  <si>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</si>
  <si>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</si>
  <si>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</si>
  <si>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</si>
  <si>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</si>
  <si>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</si>
  <si>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</si>
  <si>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</si>
  <si>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</si>
  <si>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</si>
  <si>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</si>
  <si>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</si>
  <si>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</si>
  <si>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</si>
  <si>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</si>
  <si>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</si>
  <si>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</si>
  <si>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</si>
  <si>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</si>
  <si>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</si>
  <si>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</si>
  <si>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</si>
  <si>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</si>
  <si>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</si>
  <si>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</si>
  <si>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</si>
  <si>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</si>
  <si>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</si>
  <si>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</si>
  <si>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</si>
  <si>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</si>
  <si>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</si>
  <si>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</si>
  <si>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</si>
  <si>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</si>
  <si>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</si>
  <si>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</si>
  <si>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</si>
  <si>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</si>
  <si>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</si>
  <si>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</si>
  <si>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</si>
  <si>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</si>
  <si>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</si>
  <si>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</si>
  <si>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</si>
  <si>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</si>
  <si>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</si>
  <si>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</si>
  <si>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</si>
  <si>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</si>
  <si>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</si>
  <si>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</si>
  <si>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</si>
  <si>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</si>
  <si>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</si>
  <si>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</si>
  <si>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</si>
  <si>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</si>
  <si>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</si>
  <si>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</si>
  <si>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</si>
  <si>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</si>
  <si>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</si>
  <si>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</si>
  <si>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</si>
  <si>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</si>
  <si>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</si>
  <si>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</si>
  <si>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</si>
  <si>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</si>
  <si>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</si>
  <si>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</si>
  <si>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</si>
  <si>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</si>
  <si>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</si>
  <si>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</si>
  <si>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</si>
  <si>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</si>
  <si>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</si>
  <si>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</si>
  <si>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</si>
  <si>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</si>
  <si>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</si>
  <si>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</si>
  <si>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</si>
  <si>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</si>
  <si>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</si>
  <si>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</si>
  <si>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</si>
  <si>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</si>
  <si>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</si>
  <si>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</si>
  <si>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</si>
  <si>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</si>
  <si>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</si>
  <si>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</si>
  <si>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</si>
  <si>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</si>
  <si>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</si>
  <si>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</si>
  <si>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</si>
  <si>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</si>
  <si>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</si>
  <si>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</si>
  <si>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</si>
  <si>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</si>
  <si>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</si>
  <si>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</si>
  <si>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</si>
  <si>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</si>
  <si>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</si>
  <si>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</si>
  <si>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</si>
  <si>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</si>
  <si>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</si>
  <si>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</si>
  <si>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</si>
  <si>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</si>
  <si>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</si>
  <si>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</si>
  <si>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</si>
  <si>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</si>
  <si>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</si>
  <si>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</si>
  <si>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</si>
  <si>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</si>
  <si>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</si>
  <si>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</si>
  <si>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</si>
  <si>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</si>
  <si>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</si>
  <si>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</si>
  <si>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</si>
  <si>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</si>
  <si>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</si>
  <si>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</si>
  <si>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</si>
  <si>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</si>
  <si>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</si>
  <si>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</si>
  <si>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</si>
  <si>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</si>
  <si>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</si>
  <si>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</si>
  <si>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</si>
  <si>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</si>
  <si>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</si>
  <si>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</si>
  <si>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</si>
  <si>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</si>
  <si>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</si>
  <si>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</si>
  <si>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</si>
  <si>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</si>
  <si>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</si>
  <si>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</si>
  <si>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</si>
  <si>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</si>
  <si>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</si>
  <si>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</si>
  <si>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</si>
  <si>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</si>
  <si>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</si>
  <si>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</si>
  <si>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</si>
  <si>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</si>
  <si>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</si>
  <si>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</si>
  <si>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</si>
  <si>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</si>
  <si>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</si>
  <si>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</si>
  <si>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</si>
  <si>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</si>
  <si>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</si>
  <si>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</si>
  <si>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</si>
  <si>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</si>
  <si>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</si>
  <si>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</si>
  <si>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</si>
  <si>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</si>
  <si>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</si>
  <si>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</si>
  <si>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</si>
  <si>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</si>
  <si>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</si>
  <si>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</si>
  <si>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</si>
  <si>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</si>
  <si>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</si>
  <si>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</si>
  <si>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</si>
  <si>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</si>
  <si>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</si>
  <si>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</si>
  <si>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</si>
  <si>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</si>
  <si>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</si>
  <si>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</si>
  <si>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</si>
  <si>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</si>
  <si>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</si>
  <si>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</si>
  <si>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</si>
  <si>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</si>
  <si>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</si>
  <si>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</si>
  <si>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</si>
  <si>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</si>
  <si>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</si>
  <si>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</si>
  <si>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</si>
  <si>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</si>
  <si>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</si>
  <si>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</si>
  <si>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</si>
  <si>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</si>
  <si>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</si>
  <si>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</si>
  <si>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</si>
  <si>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</si>
  <si>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</si>
  <si>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</si>
  <si>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</si>
  <si>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</si>
  <si>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</si>
  <si>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</si>
  <si>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</si>
  <si>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</si>
  <si>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</si>
  <si>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</si>
  <si>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</si>
  <si>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</si>
  <si>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</si>
  <si>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</si>
  <si>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</si>
  <si>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</si>
  <si>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</si>
  <si>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</si>
  <si>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</si>
  <si>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</si>
  <si>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</si>
  <si>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</si>
  <si>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</si>
  <si>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</si>
  <si>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</si>
  <si>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</si>
  <si>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</si>
  <si>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</si>
  <si>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</si>
  <si>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</si>
  <si>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</si>
  <si>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</si>
  <si>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</si>
  <si>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</si>
  <si>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</si>
  <si>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</si>
  <si>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</si>
  <si>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</si>
  <si>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</si>
  <si>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</si>
  <si>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</si>
  <si>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</si>
  <si>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</si>
  <si>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</si>
  <si>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</si>
  <si>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</si>
  <si>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</si>
  <si>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</si>
  <si>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</si>
  <si>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</si>
  <si>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</si>
  <si>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</si>
  <si>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</si>
  <si>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</si>
  <si>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</si>
  <si>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</si>
  <si>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</si>
  <si>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</si>
  <si>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</si>
  <si>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</si>
  <si>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</si>
  <si>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</si>
  <si>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</si>
  <si>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</si>
  <si>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</si>
  <si>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</si>
  <si>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</si>
  <si>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</si>
  <si>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</si>
  <si>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</si>
  <si>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</si>
  <si>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</si>
  <si>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</si>
  <si>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</si>
  <si>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</si>
  <si>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</si>
  <si>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</si>
  <si>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</si>
  <si>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</si>
  <si>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</si>
  <si>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</si>
  <si>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</si>
  <si>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</si>
  <si>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</si>
  <si>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</si>
  <si>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</si>
  <si>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</si>
  <si>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</si>
  <si>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</si>
  <si>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</si>
  <si>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</si>
  <si>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</si>
  <si>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</si>
  <si>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</si>
  <si>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</si>
  <si>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</si>
  <si>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</si>
  <si>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</si>
  <si>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</si>
  <si>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</si>
  <si>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</si>
  <si>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</si>
  <si>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</si>
  <si>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</si>
  <si>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</si>
  <si>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</si>
  <si>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</si>
  <si>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</si>
  <si>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</si>
  <si>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</si>
  <si>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</si>
  <si>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</si>
  <si>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</si>
  <si>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</si>
  <si>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</si>
  <si>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</si>
  <si>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</si>
  <si>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</si>
  <si>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</si>
  <si>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</si>
  <si>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</si>
  <si>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</si>
  <si>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</si>
  <si>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</si>
  <si>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</si>
  <si>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</si>
  <si>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</si>
  <si>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</si>
  <si>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</si>
  <si>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</si>
  <si>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</si>
  <si>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</si>
  <si>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</si>
  <si>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</si>
  <si>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</si>
  <si>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</si>
  <si>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</si>
  <si>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</si>
  <si>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</si>
  <si>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</si>
  <si>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</si>
  <si>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</si>
  <si>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</si>
  <si>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</si>
  <si>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</si>
  <si>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</si>
  <si>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</si>
  <si>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</si>
  <si>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</si>
  <si>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</si>
  <si>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</si>
  <si>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</si>
  <si>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</si>
  <si>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</si>
  <si>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</si>
  <si>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</si>
  <si>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</si>
  <si>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</si>
  <si>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</si>
  <si>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</si>
  <si>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</si>
  <si>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</si>
  <si>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</si>
  <si>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</si>
  <si>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</si>
  <si>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</si>
  <si>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</si>
  <si>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</si>
  <si>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</si>
  <si>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</si>
  <si>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</si>
  <si>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</si>
  <si>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</si>
  <si>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</si>
  <si>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</si>
  <si>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</si>
  <si>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</si>
  <si>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</si>
  <si>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</si>
  <si>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</si>
  <si>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</si>
  <si>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</si>
  <si>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</si>
  <si>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</si>
  <si>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</si>
  <si>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</si>
  <si>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</si>
  <si>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</si>
  <si>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</si>
  <si>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</si>
  <si>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</si>
  <si>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</si>
  <si>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</si>
  <si>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</si>
  <si>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</si>
  <si>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</si>
  <si>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</si>
  <si>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</si>
  <si>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</si>
  <si>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</si>
  <si>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</si>
  <si>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</si>
  <si>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</si>
  <si>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</si>
  <si>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</si>
  <si>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</si>
  <si>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</si>
  <si>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</si>
  <si>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</si>
  <si>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</si>
  <si>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</si>
  <si>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</si>
  <si>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</si>
  <si>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</si>
  <si>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</si>
  <si>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</si>
  <si>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</si>
  <si>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</si>
  <si>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</si>
  <si>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</si>
  <si>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</si>
  <si>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</si>
  <si>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</si>
  <si>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</si>
  <si>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</si>
  <si>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</si>
  <si>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</si>
  <si>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</si>
  <si>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</si>
  <si>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</si>
  <si>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</si>
  <si>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</si>
  <si>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</si>
  <si>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</si>
  <si>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</si>
  <si>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</si>
  <si>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</si>
  <si>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</si>
  <si>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</si>
  <si>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</si>
  <si>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</si>
  <si>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</si>
  <si>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</si>
  <si>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</si>
  <si>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</si>
  <si>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</si>
  <si>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</si>
  <si>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</si>
  <si>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</si>
  <si>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</si>
  <si>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</si>
  <si>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</si>
  <si>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</si>
  <si>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</si>
  <si>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</si>
  <si>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</si>
  <si>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</si>
  <si>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</si>
  <si>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</si>
  <si>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</si>
  <si>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</si>
  <si>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</si>
  <si>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</si>
  <si>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</si>
  <si>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</si>
  <si>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</si>
  <si>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</si>
  <si>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</si>
  <si>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</si>
  <si>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</si>
  <si>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</si>
  <si>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</si>
  <si>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</si>
  <si>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</si>
  <si>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</si>
  <si>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</si>
  <si>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</si>
  <si>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</si>
  <si>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</si>
  <si>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</si>
  <si>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</si>
  <si>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</si>
  <si>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</si>
  <si>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</si>
  <si>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</si>
  <si>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</si>
  <si>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</si>
  <si>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</si>
  <si>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</si>
  <si>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</si>
  <si>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</si>
  <si>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</si>
  <si>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</si>
  <si>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</si>
  <si>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</si>
  <si>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</si>
  <si>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</si>
  <si>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</si>
  <si>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</si>
  <si>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</si>
  <si>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</si>
  <si>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</si>
  <si>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</si>
  <si>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</si>
  <si>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</si>
  <si>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</si>
  <si>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</si>
  <si>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</si>
  <si>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</si>
  <si>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</si>
  <si>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</si>
  <si>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</si>
  <si>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</si>
  <si>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</si>
  <si>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</si>
  <si>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</si>
  <si>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</si>
  <si>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</si>
  <si>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</si>
  <si>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</si>
  <si>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</si>
  <si>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</si>
  <si>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</si>
  <si>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</si>
  <si>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</si>
  <si>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</si>
  <si>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</si>
  <si>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</si>
  <si>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</si>
  <si>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</si>
  <si>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</si>
  <si>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</si>
  <si>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</si>
  <si>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</si>
  <si>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</si>
  <si>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</si>
  <si>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</si>
  <si>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</si>
  <si>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</si>
  <si>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</si>
  <si>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</si>
  <si>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</si>
  <si>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</si>
  <si>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</si>
  <si>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</si>
  <si>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</si>
  <si>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</si>
  <si>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</si>
  <si>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</si>
  <si>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</si>
  <si>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</si>
  <si>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</si>
  <si>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</si>
  <si>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</si>
  <si>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</si>
  <si>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</si>
  <si>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</si>
  <si>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</si>
  <si>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</si>
  <si>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</si>
  <si>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</si>
  <si>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</si>
  <si>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</si>
  <si>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</si>
  <si>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</si>
  <si>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</si>
  <si>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</si>
  <si>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</si>
  <si>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</si>
  <si>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</si>
  <si>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</si>
  <si>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</si>
  <si>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</si>
  <si>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</si>
  <si>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</si>
  <si>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</si>
  <si>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</si>
  <si>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</si>
  <si>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</si>
  <si>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</si>
  <si>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</si>
  <si>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</si>
  <si>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</si>
  <si>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</si>
  <si>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</si>
  <si>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</si>
  <si>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</si>
  <si>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</si>
  <si>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</si>
  <si>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</si>
  <si>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</si>
  <si>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</si>
  <si>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</si>
  <si>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</si>
  <si>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</si>
  <si>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</si>
  <si>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</si>
  <si>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</si>
  <si>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</si>
  <si>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</si>
  <si>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</si>
  <si>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</si>
  <si>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</si>
  <si>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</si>
  <si>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</si>
  <si>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</si>
  <si>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</si>
  <si>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</si>
  <si>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</si>
  <si>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</si>
  <si>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</si>
  <si>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</si>
  <si>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</si>
  <si>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</si>
  <si>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</si>
  <si>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</si>
  <si>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</si>
  <si>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</si>
  <si>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</si>
  <si>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</si>
  <si>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</si>
  <si>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</si>
  <si>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</si>
  <si>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</si>
  <si>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</si>
  <si>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</si>
  <si>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</si>
  <si>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</si>
  <si>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</si>
  <si>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</si>
  <si>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</si>
  <si>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</si>
  <si>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</si>
  <si>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</si>
  <si>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</si>
  <si>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</si>
  <si>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</si>
  <si>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</si>
  <si>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</si>
  <si>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</si>
  <si>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</si>
  <si>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</si>
  <si>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</si>
  <si>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</si>
  <si>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</si>
  <si>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</si>
  <si>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</si>
  <si>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</si>
  <si>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</si>
  <si>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</si>
  <si>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</si>
  <si>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</si>
  <si>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</si>
  <si>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</si>
  <si>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</si>
  <si>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</si>
  <si>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</si>
  <si>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</si>
  <si>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</si>
  <si>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</si>
  <si>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</si>
  <si>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</si>
  <si>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</si>
  <si>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</si>
  <si>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</si>
  <si>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</si>
  <si>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</si>
  <si>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</si>
  <si>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</si>
  <si>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</si>
  <si>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</si>
  <si>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</si>
  <si>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</si>
  <si>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</si>
  <si>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</si>
  <si>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</si>
  <si>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</si>
  <si>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</si>
  <si>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</si>
  <si>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</si>
  <si>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</si>
  <si>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</si>
  <si>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</si>
  <si>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</si>
  <si>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</si>
  <si>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</si>
  <si>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</si>
  <si>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</si>
  <si>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</si>
  <si>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</si>
  <si>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</si>
  <si>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</si>
  <si>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</si>
  <si>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</si>
  <si>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</si>
  <si>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</si>
  <si>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</si>
  <si>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</si>
  <si>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</si>
  <si>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</si>
  <si>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</si>
  <si>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</si>
  <si>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</si>
  <si>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</si>
  <si>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</si>
  <si>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</si>
  <si>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</si>
  <si>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</si>
  <si>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</si>
  <si>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</si>
  <si>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</si>
  <si>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</si>
  <si>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</si>
  <si>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</si>
  <si>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</si>
  <si>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</si>
  <si>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</si>
  <si>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</si>
  <si>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</si>
  <si>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</si>
  <si>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</si>
  <si>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</si>
  <si>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</si>
  <si>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</si>
  <si>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</si>
  <si>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</si>
  <si>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</si>
  <si>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</si>
  <si>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</si>
  <si>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</si>
  <si>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</si>
  <si>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</si>
  <si>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</si>
  <si>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</si>
  <si>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</si>
  <si>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</si>
  <si>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</si>
  <si>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</si>
  <si>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</si>
  <si>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</si>
  <si>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</si>
  <si>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</si>
  <si>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</si>
  <si>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</si>
  <si>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</si>
  <si>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</si>
  <si>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</si>
  <si>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</si>
  <si>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</si>
  <si>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</si>
  <si>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</si>
  <si>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</si>
  <si>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</si>
  <si>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</si>
  <si>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</si>
  <si>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</si>
  <si>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</si>
  <si>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</si>
  <si>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</si>
  <si>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</si>
  <si>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</si>
  <si>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</si>
  <si>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</si>
  <si>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</si>
  <si>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</si>
  <si>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</si>
  <si>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</si>
  <si>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</si>
  <si>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</si>
  <si>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</si>
  <si>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</si>
  <si>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</si>
  <si>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</si>
  <si>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</si>
  <si>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</si>
  <si>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</si>
  <si>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</si>
  <si>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</si>
  <si>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</si>
  <si>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</si>
  <si>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</si>
  <si>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</si>
  <si>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</si>
  <si>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</si>
  <si>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</si>
  <si>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</si>
  <si>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</si>
  <si>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</si>
  <si>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</si>
  <si>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</si>
  <si>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</si>
  <si>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</si>
  <si>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</si>
  <si>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</si>
  <si>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</si>
  <si>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</si>
  <si>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</si>
  <si>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</si>
  <si>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</si>
  <si>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</si>
  <si>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</si>
  <si>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</si>
  <si>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</si>
  <si>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</si>
  <si>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</si>
  <si>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</si>
  <si>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</si>
  <si>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</si>
  <si>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</si>
  <si>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</si>
  <si>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</si>
  <si>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</si>
  <si>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</si>
  <si>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</si>
  <si>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</si>
  <si>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</si>
  <si>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</si>
  <si>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</si>
  <si>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</si>
  <si>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</si>
  <si>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</si>
  <si>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</si>
  <si>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</si>
  <si>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</si>
  <si>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</si>
  <si>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</si>
  <si>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</si>
  <si>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</si>
  <si>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</si>
  <si>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</si>
  <si>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</si>
  <si>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</si>
  <si>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</si>
  <si>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</si>
  <si>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</si>
  <si>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</si>
  <si>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</si>
  <si>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</si>
  <si>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</si>
  <si>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</si>
  <si>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</si>
  <si>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</si>
  <si>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</si>
  <si>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</si>
  <si>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</si>
  <si>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</si>
  <si>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</si>
  <si>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</si>
  <si>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</si>
  <si>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</si>
  <si>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</si>
  <si>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</si>
  <si>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</si>
  <si>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</si>
  <si>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</si>
  <si>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</si>
  <si>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</si>
  <si>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</si>
  <si>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</si>
  <si>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</si>
  <si>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</si>
  <si>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</si>
  <si>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</si>
  <si>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</si>
  <si>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</si>
  <si>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</si>
  <si>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</si>
  <si>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</si>
  <si>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</si>
  <si>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</si>
  <si>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</si>
  <si>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</si>
  <si>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</si>
  <si>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</si>
  <si>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</si>
  <si>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</si>
  <si>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</si>
  <si>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</si>
  <si>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</si>
  <si>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</si>
  <si>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</si>
  <si>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</si>
  <si>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</si>
  <si>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</si>
  <si>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</si>
  <si>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</si>
  <si>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</si>
  <si>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</si>
  <si>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</si>
  <si>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</si>
  <si>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</si>
  <si>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</si>
  <si>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</si>
  <si>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</si>
  <si>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</si>
  <si>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</si>
  <si>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</si>
  <si>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</si>
  <si>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</si>
  <si>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</si>
  <si>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</si>
  <si>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</si>
  <si>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</si>
  <si>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</si>
  <si>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</si>
  <si>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</si>
  <si>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</si>
  <si>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</si>
  <si>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</si>
  <si>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</si>
  <si>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</si>
  <si>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</si>
  <si>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</si>
  <si>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</si>
  <si>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</si>
  <si>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</si>
  <si>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</si>
  <si>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</si>
  <si>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</si>
  <si>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</si>
  <si>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</si>
  <si>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</si>
  <si>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</si>
  <si>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</si>
  <si>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</si>
  <si>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</si>
  <si>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</si>
  <si>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</si>
  <si>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</si>
  <si>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</si>
  <si>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</si>
  <si>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</si>
  <si>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</si>
  <si>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</si>
  <si>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</si>
  <si>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</si>
  <si>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</si>
  <si>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</si>
  <si>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</si>
  <si>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</si>
  <si>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</si>
  <si>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</si>
  <si>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</si>
  <si>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</si>
  <si>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</si>
  <si>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</si>
  <si>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</si>
  <si>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</si>
  <si>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</si>
  <si>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</si>
  <si>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</si>
  <si>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</si>
  <si>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</si>
  <si>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</si>
  <si>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</si>
  <si>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</si>
  <si>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</si>
  <si>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</si>
  <si>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</si>
  <si>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</si>
  <si>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</si>
  <si>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</si>
  <si>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</si>
  <si>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</si>
  <si>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</si>
  <si>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</si>
  <si>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</si>
  <si>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</si>
  <si>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</si>
  <si>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</si>
  <si>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</si>
  <si>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</si>
  <si>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</si>
  <si>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</si>
  <si>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</si>
  <si>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</si>
  <si>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</si>
  <si>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</si>
  <si>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</si>
  <si>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</si>
  <si>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</si>
  <si>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</si>
  <si>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</si>
  <si>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</si>
  <si>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</si>
  <si>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</si>
  <si>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</si>
  <si>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</si>
  <si>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</si>
  <si>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</si>
  <si>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</si>
  <si>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</si>
  <si>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</si>
  <si>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</si>
  <si>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</si>
  <si>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</si>
  <si>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</si>
  <si>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</si>
  <si>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</si>
  <si>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</si>
  <si>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</si>
  <si>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</si>
  <si>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</si>
  <si>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</si>
  <si>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</si>
  <si>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</si>
  <si>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</si>
  <si>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</si>
  <si>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</si>
  <si>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</si>
  <si>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</si>
  <si>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</si>
  <si>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</si>
  <si>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</si>
  <si>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</si>
  <si>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</si>
  <si>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</si>
  <si>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</si>
  <si>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</si>
  <si>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</si>
  <si>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</si>
  <si>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</si>
  <si>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</si>
  <si>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</si>
  <si>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</si>
  <si>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</si>
  <si>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</si>
  <si>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</si>
  <si>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</si>
  <si>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</si>
  <si>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</si>
  <si>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</si>
  <si>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</si>
  <si>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</si>
  <si>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</si>
  <si>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</si>
  <si>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</si>
  <si>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</si>
  <si>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</si>
  <si>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</si>
  <si>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</si>
  <si>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</si>
  <si>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</si>
  <si>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</si>
  <si>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</si>
  <si>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</si>
  <si>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</si>
  <si>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</si>
  <si>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</si>
  <si>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</si>
  <si>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</si>
  <si>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</si>
  <si>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</si>
  <si>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</si>
  <si>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</si>
  <si>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</si>
  <si>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</si>
  <si>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</si>
  <si>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</si>
  <si>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</si>
  <si>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</si>
  <si>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</si>
  <si>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</si>
  <si>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</si>
  <si>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</si>
  <si>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</si>
  <si>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</si>
  <si>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</si>
  <si>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</si>
  <si>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</si>
  <si>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</si>
  <si>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</si>
  <si>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</si>
  <si>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</si>
  <si>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</si>
  <si>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</si>
  <si>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</si>
  <si>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</si>
  <si>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</si>
  <si>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</si>
  <si>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</si>
  <si>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</si>
  <si>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</si>
  <si>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</si>
  <si>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</si>
  <si>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</si>
  <si>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</si>
  <si>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</si>
  <si>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</si>
  <si>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</si>
  <si>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</si>
  <si>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</si>
  <si>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</si>
  <si>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</si>
  <si>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</si>
  <si>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</si>
  <si>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</si>
  <si>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</si>
  <si>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</si>
  <si>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</si>
  <si>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</si>
  <si>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</si>
  <si>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</si>
  <si>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</si>
  <si>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</si>
  <si>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</si>
  <si>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</si>
  <si>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</si>
  <si>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</si>
  <si>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</si>
  <si>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</si>
  <si>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</si>
  <si>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</si>
  <si>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</si>
  <si>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</si>
  <si>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</si>
  <si>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</si>
  <si>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</si>
  <si>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</si>
  <si>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</si>
  <si>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</si>
  <si>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</si>
  <si>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</si>
  <si>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</si>
  <si>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</si>
  <si>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</si>
  <si>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</si>
  <si>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</si>
  <si>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</si>
  <si>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</si>
  <si>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</si>
  <si>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</si>
  <si>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</si>
  <si>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</si>
  <si>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</si>
  <si>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</si>
  <si>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</si>
  <si>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</si>
  <si>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</si>
  <si>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</si>
  <si>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</si>
  <si>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</si>
  <si>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</si>
  <si>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</si>
  <si>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</si>
  <si>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</si>
  <si>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</si>
  <si>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</si>
  <si>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</si>
  <si>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</si>
  <si>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</si>
  <si>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</si>
  <si>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</si>
  <si>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</si>
  <si>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</si>
  <si>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</si>
  <si>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</si>
  <si>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</si>
  <si>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</si>
  <si>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</si>
  <si>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</si>
  <si>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</si>
  <si>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</si>
  <si>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</si>
  <si>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</si>
  <si>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</si>
  <si>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</si>
  <si>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</si>
  <si>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</si>
  <si>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</si>
  <si>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</si>
  <si>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</si>
  <si>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</si>
  <si>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</si>
  <si>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</si>
  <si>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</si>
  <si>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</si>
  <si>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</si>
  <si>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</si>
  <si>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</si>
  <si>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</si>
  <si>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</si>
  <si>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</si>
  <si>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</si>
  <si>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</si>
  <si>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</si>
  <si>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</si>
  <si>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</si>
  <si>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</si>
  <si>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</si>
  <si>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</si>
  <si>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</si>
  <si>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</si>
  <si>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</si>
  <si>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</si>
  <si>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</si>
  <si>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</si>
  <si>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</si>
  <si>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</si>
  <si>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</si>
  <si>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</si>
  <si>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</si>
  <si>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</si>
  <si>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</si>
  <si>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</si>
  <si>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</si>
  <si>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</si>
  <si>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</si>
  <si>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</si>
  <si>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</si>
  <si>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</si>
  <si>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</si>
  <si>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</si>
  <si>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</si>
  <si>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</si>
  <si>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</si>
  <si>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</si>
  <si>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</si>
  <si>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</si>
  <si>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</si>
  <si>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</si>
  <si>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</si>
  <si>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</si>
  <si>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</si>
  <si>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</si>
  <si>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</si>
  <si>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</si>
  <si>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</si>
  <si>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</si>
  <si>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</si>
  <si>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</si>
  <si>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</si>
  <si>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</si>
  <si>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</si>
  <si>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</si>
  <si>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</si>
  <si>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</si>
  <si>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</si>
  <si>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</si>
  <si>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</si>
  <si>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</si>
  <si>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</si>
  <si>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</si>
  <si>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</si>
  <si>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</si>
  <si>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</si>
  <si>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</si>
  <si>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</si>
  <si>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</si>
  <si>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</si>
  <si>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</si>
  <si>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</si>
  <si>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</si>
  <si>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</si>
  <si>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</si>
  <si>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</si>
  <si>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</si>
  <si>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</si>
  <si>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</si>
  <si>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</si>
  <si>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</si>
  <si>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</si>
  <si>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</si>
  <si>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</si>
  <si>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</si>
  <si>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</si>
  <si>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</si>
  <si>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</si>
  <si>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</si>
  <si>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</si>
  <si>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</si>
  <si>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</si>
  <si>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</si>
  <si>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</si>
  <si>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</si>
  <si>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</si>
  <si>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</si>
  <si>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</si>
  <si>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</si>
  <si>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</si>
  <si>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</si>
  <si>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</si>
  <si>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</si>
  <si>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</si>
  <si>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</si>
  <si>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</si>
  <si>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</si>
  <si>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</si>
  <si>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</si>
  <si>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</si>
  <si>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</si>
  <si>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</si>
  <si>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</si>
  <si>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</si>
  <si>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</si>
  <si>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</si>
  <si>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</si>
  <si>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</si>
  <si>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</si>
  <si>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</si>
  <si>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</si>
  <si>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</si>
  <si>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</si>
  <si>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</si>
  <si>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</si>
  <si>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</si>
  <si>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</si>
  <si>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</si>
  <si>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</si>
  <si>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</si>
  <si>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</si>
  <si>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</si>
  <si>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</si>
  <si>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</si>
  <si>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</si>
  <si>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</si>
  <si>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</si>
  <si>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</si>
  <si>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</si>
  <si>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</si>
  <si>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</si>
  <si>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</si>
  <si>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</si>
  <si>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</si>
  <si>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</si>
  <si>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</si>
  <si>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</si>
  <si>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</si>
  <si>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</si>
  <si>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</si>
  <si>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</si>
  <si>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</si>
  <si>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</si>
  <si>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</si>
  <si>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</si>
  <si>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</si>
  <si>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</si>
  <si>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</si>
  <si>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</si>
  <si>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</si>
  <si>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</si>
  <si>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</si>
  <si>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</si>
  <si>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</si>
  <si>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</si>
  <si>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</si>
  <si>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</si>
  <si>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</si>
  <si>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</si>
  <si>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</si>
  <si>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</si>
  <si>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</si>
  <si>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</si>
  <si>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</si>
  <si>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</si>
  <si>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</si>
  <si>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</si>
  <si>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</si>
  <si>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</si>
  <si>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</si>
  <si>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</si>
  <si>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</si>
  <si>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</si>
  <si>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</si>
  <si>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</si>
  <si>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</si>
  <si>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</si>
  <si>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</si>
  <si>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</si>
  <si>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</si>
  <si>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</si>
  <si>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</si>
  <si>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</si>
  <si>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</si>
  <si>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</si>
  <si>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</si>
  <si>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</si>
  <si>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</si>
  <si>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</si>
  <si>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</si>
  <si>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</si>
  <si>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</si>
  <si>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</si>
  <si>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</si>
  <si>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</si>
  <si>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</si>
  <si>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</si>
  <si>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</si>
  <si>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</si>
  <si>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</si>
  <si>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</si>
  <si>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</si>
  <si>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</si>
  <si>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</si>
  <si>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</si>
  <si>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</si>
  <si>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</si>
  <si>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</si>
  <si>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</si>
  <si>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</si>
  <si>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</si>
  <si>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</si>
  <si>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</si>
  <si>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</si>
  <si>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</si>
  <si>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</si>
  <si>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</si>
  <si>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</si>
  <si>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</si>
  <si>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</si>
  <si>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</si>
  <si>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</si>
  <si>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</si>
  <si>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</si>
  <si>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</si>
  <si>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</si>
  <si>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</si>
  <si>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</si>
  <si>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</si>
  <si>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</si>
  <si>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</si>
  <si>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</si>
  <si>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</si>
  <si>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</si>
  <si>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</si>
  <si>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</si>
  <si>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</si>
  <si>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</si>
  <si>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</si>
  <si>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</si>
  <si>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</si>
  <si>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</si>
  <si>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</si>
  <si>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</si>
  <si>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</si>
  <si>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</si>
  <si>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</si>
  <si>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</si>
  <si>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</si>
  <si>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</si>
  <si>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</si>
  <si>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</si>
  <si>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</si>
  <si>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</si>
  <si>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</si>
  <si>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</si>
  <si>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</si>
  <si>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</si>
  <si>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</si>
  <si>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</si>
  <si>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</si>
  <si>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</si>
  <si>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</si>
  <si>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</si>
  <si>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</si>
  <si>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</si>
  <si>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</si>
  <si>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</si>
  <si>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</si>
  <si>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</si>
  <si>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</si>
  <si>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</si>
  <si>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</si>
  <si>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</si>
  <si>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</si>
  <si>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</si>
  <si>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</si>
  <si>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</si>
  <si>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</si>
  <si>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</si>
  <si>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</si>
  <si>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</si>
  <si>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</si>
  <si>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</si>
  <si>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</si>
  <si>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</si>
  <si>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</si>
  <si>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</si>
  <si>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</si>
  <si>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</si>
  <si>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</si>
  <si>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</si>
  <si>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</si>
  <si>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</si>
  <si>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</si>
  <si>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</si>
  <si>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</si>
  <si>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</si>
  <si>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</si>
  <si>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</si>
  <si>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</si>
  <si>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</si>
  <si>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</si>
  <si>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</si>
  <si>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</si>
  <si>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</si>
  <si>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</si>
  <si>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</si>
  <si>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</si>
  <si>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</si>
  <si>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</si>
  <si>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</si>
  <si>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</si>
  <si>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</si>
  <si>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</si>
  <si>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</si>
  <si>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</si>
  <si>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</si>
  <si>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</si>
  <si>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</si>
  <si>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</si>
  <si>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</si>
  <si>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</si>
  <si>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</si>
  <si>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</si>
  <si>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</si>
  <si>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</si>
  <si>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</si>
  <si>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</si>
  <si>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</si>
  <si>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</si>
  <si>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</si>
  <si>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</si>
  <si>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</si>
  <si>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</si>
  <si>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</si>
  <si>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</si>
  <si>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</si>
  <si>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</si>
  <si>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</si>
  <si>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</si>
  <si>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</si>
  <si>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</si>
  <si>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</si>
  <si>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</si>
  <si>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</si>
  <si>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</si>
  <si>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</si>
  <si>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</si>
  <si>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</si>
  <si>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</si>
  <si>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</si>
  <si>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</si>
  <si>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</si>
  <si>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</si>
  <si>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</si>
  <si>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</si>
  <si>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</si>
  <si>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</si>
  <si>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</si>
  <si>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</si>
  <si>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</si>
  <si>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</si>
  <si>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</si>
  <si>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</si>
  <si>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</si>
  <si>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</si>
  <si>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</si>
  <si>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</si>
  <si>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</si>
  <si>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</si>
  <si>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</si>
  <si>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</si>
  <si>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</si>
  <si>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</si>
  <si>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</si>
  <si>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</si>
  <si>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</si>
  <si>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</si>
  <si>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</si>
  <si>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</si>
  <si>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</si>
  <si>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</si>
  <si>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</si>
  <si>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</si>
  <si>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</si>
  <si>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</si>
  <si>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</si>
  <si>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</si>
  <si>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</si>
  <si>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</si>
  <si>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</si>
  <si>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</si>
  <si>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</si>
  <si>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</si>
  <si>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</si>
  <si>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</si>
  <si>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</si>
  <si>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</si>
  <si>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</si>
  <si>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</si>
  <si>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</si>
  <si>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</si>
  <si>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</si>
  <si>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</si>
  <si>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</si>
  <si>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</si>
  <si>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</si>
  <si>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</si>
  <si>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</si>
  <si>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</si>
  <si>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</si>
  <si>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</si>
  <si>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</si>
  <si>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</si>
  <si>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</si>
  <si>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</si>
  <si>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</si>
  <si>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</si>
  <si>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</si>
  <si>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</si>
  <si>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</si>
  <si>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</si>
  <si>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</si>
  <si>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</si>
  <si>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</si>
  <si>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</si>
  <si>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</si>
  <si>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</si>
  <si>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</si>
  <si>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</si>
  <si>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</si>
  <si>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</si>
  <si>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</si>
  <si>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</si>
  <si>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</si>
  <si>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</si>
  <si>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</si>
  <si>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</si>
  <si>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</si>
  <si>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</si>
  <si>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</si>
  <si>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</si>
  <si>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</si>
  <si>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</si>
  <si>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</si>
  <si>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</si>
  <si>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</si>
  <si>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</si>
  <si>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</si>
  <si>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</si>
  <si>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</si>
  <si>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</si>
  <si>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</si>
  <si>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</si>
  <si>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</si>
  <si>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</si>
  <si>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</si>
  <si>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</si>
  <si>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</si>
  <si>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</si>
  <si>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</si>
  <si>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</si>
  <si>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</si>
  <si>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</si>
  <si>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</si>
  <si>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</si>
  <si>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</si>
  <si>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</si>
  <si>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</si>
  <si>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</si>
  <si>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</si>
  <si>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</si>
  <si>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</si>
  <si>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</si>
  <si>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</si>
  <si>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</si>
  <si>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</si>
  <si>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</si>
  <si>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</si>
  <si>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</si>
  <si>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</si>
  <si>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</si>
  <si>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</si>
  <si>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</si>
  <si>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</si>
  <si>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</si>
  <si>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</si>
  <si>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</si>
  <si>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</si>
  <si>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</si>
  <si>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</si>
  <si>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</si>
  <si>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</si>
  <si>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</si>
  <si>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</si>
  <si>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</si>
  <si>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</si>
  <si>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</si>
  <si>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</si>
  <si>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</si>
  <si>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</si>
  <si>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</si>
  <si>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</si>
  <si>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</si>
  <si>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</si>
  <si>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</si>
  <si>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</si>
  <si>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</si>
  <si>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</si>
  <si>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</si>
  <si>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</si>
  <si>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</si>
  <si>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</si>
  <si>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</si>
  <si>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</si>
  <si>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</si>
  <si>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</si>
  <si>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</si>
  <si>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</si>
  <si>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</si>
  <si>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</si>
  <si>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</si>
  <si>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</si>
  <si>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</si>
  <si>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</si>
  <si>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</si>
  <si>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</si>
  <si>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</si>
  <si>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</si>
  <si>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</si>
  <si>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</si>
  <si>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</si>
  <si>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</si>
  <si>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</si>
  <si>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</si>
  <si>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</si>
  <si>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</si>
  <si>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</si>
  <si>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</si>
  <si>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</si>
  <si>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</si>
  <si>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</si>
  <si>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</si>
  <si>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</si>
  <si>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</si>
  <si>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</si>
  <si>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</si>
  <si>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</si>
  <si>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</si>
  <si>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</si>
  <si>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</si>
  <si>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</si>
  <si>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</si>
  <si>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</si>
  <si>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</si>
  <si>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</si>
  <si>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</si>
  <si>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</si>
  <si>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</si>
  <si>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</si>
  <si>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</si>
  <si>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</si>
  <si>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</si>
  <si>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</si>
  <si>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</si>
  <si>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</si>
  <si>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</si>
  <si>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</si>
  <si>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</si>
  <si>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</si>
  <si>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</si>
  <si>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</si>
  <si>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</si>
  <si>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</si>
  <si>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</si>
  <si>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</si>
  <si>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</si>
  <si>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</si>
  <si>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</si>
  <si>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</si>
  <si>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</si>
  <si>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</si>
  <si>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</si>
  <si>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</si>
  <si>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</si>
  <si>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</si>
  <si>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</si>
  <si>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</si>
  <si>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</si>
  <si>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</si>
  <si>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</si>
  <si>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</si>
  <si>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</si>
  <si>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</si>
  <si>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</si>
  <si>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</si>
  <si>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</si>
  <si>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</si>
  <si>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</si>
  <si>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</si>
  <si>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</si>
  <si>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</si>
  <si>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</si>
  <si>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</si>
  <si>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</si>
  <si>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</si>
  <si>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</si>
  <si>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</si>
  <si>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</si>
  <si>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</si>
  <si>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</si>
  <si>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</si>
  <si>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</si>
  <si>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</si>
  <si>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</si>
  <si>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</si>
  <si>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</si>
  <si>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</si>
  <si>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</si>
  <si>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</si>
  <si>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</si>
  <si>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</si>
  <si>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</si>
  <si>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</si>
  <si>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</si>
  <si>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</si>
  <si>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</si>
  <si>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</si>
  <si>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</si>
  <si>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</si>
  <si>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</si>
  <si>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</si>
  <si>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</si>
  <si>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</si>
  <si>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</si>
  <si>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</si>
  <si>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</si>
  <si>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</si>
  <si>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</si>
  <si>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</si>
  <si>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</si>
  <si>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</si>
  <si>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</si>
  <si>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</si>
  <si>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</si>
  <si>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</si>
  <si>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</si>
  <si>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</si>
  <si>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</si>
  <si>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</si>
  <si>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</si>
  <si>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</si>
  <si>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</si>
  <si>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</si>
  <si>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</si>
  <si>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</si>
  <si>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</si>
  <si>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</si>
  <si>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</si>
  <si>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</si>
  <si>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</si>
  <si>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</si>
  <si>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</si>
  <si>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</si>
  <si>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</si>
  <si>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</si>
  <si>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</si>
  <si>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</si>
  <si>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</si>
  <si>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</si>
  <si>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</si>
  <si>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</si>
  <si>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</si>
  <si>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</si>
  <si>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</si>
  <si>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</si>
  <si>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</si>
  <si>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</si>
  <si>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</si>
  <si>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</si>
  <si>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</si>
  <si>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</si>
  <si>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</si>
  <si>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</si>
  <si>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</si>
  <si>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</si>
  <si>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</si>
  <si>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</si>
  <si>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</si>
  <si>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</si>
  <si>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</si>
  <si>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</si>
  <si>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</si>
  <si>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</si>
  <si>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</si>
  <si>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</si>
  <si>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</si>
  <si>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</si>
  <si>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</si>
  <si>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</si>
  <si>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</si>
  <si>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</si>
  <si>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</si>
  <si>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</si>
  <si>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</si>
  <si>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</si>
  <si>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</si>
  <si>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</si>
  <si>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</si>
  <si>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</si>
  <si>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</si>
  <si>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</si>
  <si>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</si>
  <si>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</si>
  <si>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</si>
  <si>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</si>
  <si>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</si>
  <si>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</si>
  <si>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</si>
  <si>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</si>
  <si>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</si>
  <si>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</si>
  <si>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</si>
  <si>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</si>
  <si>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</si>
  <si>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</si>
  <si>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</si>
  <si>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</si>
  <si>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</si>
  <si>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</si>
  <si>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</si>
  <si>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</si>
  <si>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</si>
  <si>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</si>
  <si>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</si>
  <si>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</si>
  <si>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</si>
  <si>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</si>
  <si>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</si>
  <si>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</si>
  <si>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</si>
  <si>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</si>
  <si>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</si>
  <si>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</si>
  <si>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</si>
  <si>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</si>
  <si>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</si>
  <si>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</si>
  <si>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</si>
  <si>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</si>
  <si>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</si>
  <si>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</si>
  <si>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</si>
  <si>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</si>
  <si>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</si>
  <si>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</si>
  <si>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</si>
  <si>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</si>
  <si>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</si>
  <si>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</si>
  <si>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</si>
  <si>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</si>
  <si>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</si>
  <si>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</si>
  <si>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</si>
  <si>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</si>
  <si>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</si>
  <si>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</si>
  <si>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</si>
  <si>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</si>
  <si>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</si>
  <si>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</si>
  <si>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</si>
  <si>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</si>
  <si>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</si>
  <si>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</si>
  <si>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</si>
  <si>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</si>
  <si>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</si>
  <si>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</si>
  <si>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</si>
  <si>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</si>
  <si>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</si>
  <si>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</si>
  <si>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</si>
  <si>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</si>
  <si>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</si>
  <si>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</si>
  <si>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</si>
  <si>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</si>
  <si>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</si>
  <si>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</si>
  <si>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</si>
  <si>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</si>
  <si>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</si>
  <si>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</si>
  <si>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</si>
  <si>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</si>
  <si>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</si>
  <si>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</si>
  <si>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</si>
  <si>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</si>
  <si>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</si>
  <si>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</si>
  <si>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</si>
  <si>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</si>
  <si>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</si>
  <si>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</si>
  <si>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</si>
  <si>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</si>
  <si>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</si>
  <si>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</si>
  <si>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</si>
  <si>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</si>
  <si>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</si>
  <si>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</si>
  <si>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</si>
  <si>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</si>
  <si>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</si>
  <si>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</si>
  <si>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</si>
  <si>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</si>
  <si>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</si>
  <si>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</si>
  <si>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</si>
  <si>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</si>
  <si>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</si>
  <si>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</si>
  <si>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</si>
  <si>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</si>
  <si>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</si>
  <si>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</si>
  <si>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</si>
  <si>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</si>
  <si>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</si>
  <si>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</si>
  <si>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</si>
  <si>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</si>
  <si>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</si>
  <si>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</si>
  <si>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</si>
  <si>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</si>
  <si>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</si>
  <si>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</si>
  <si>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</si>
  <si>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</si>
  <si>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</si>
  <si>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</si>
  <si>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</si>
  <si>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</si>
  <si>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</si>
  <si>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</si>
  <si>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</si>
  <si>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</si>
  <si>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</si>
  <si>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</si>
  <si>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</si>
  <si>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</si>
  <si>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</si>
  <si>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</si>
  <si>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</si>
  <si>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</si>
  <si>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</si>
  <si>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</si>
  <si>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</si>
  <si>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</si>
  <si>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</si>
  <si>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</si>
  <si>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</si>
  <si>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</si>
  <si>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</si>
  <si>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</si>
  <si>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</si>
  <si>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</si>
  <si>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</si>
  <si>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</si>
  <si>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</si>
  <si>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</si>
  <si>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</si>
  <si>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</si>
  <si>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</si>
  <si>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</si>
  <si>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</si>
  <si>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</si>
  <si>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</si>
  <si>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</si>
  <si>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</si>
  <si>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</si>
  <si>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</si>
  <si>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</si>
  <si>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</si>
  <si>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</si>
  <si>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</si>
  <si>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</si>
  <si>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</si>
  <si>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</si>
  <si>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</si>
  <si>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</si>
  <si>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</si>
  <si>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</si>
  <si>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</si>
  <si>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</si>
  <si>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</si>
  <si>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</si>
  <si>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</si>
  <si>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</si>
  <si>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</si>
  <si>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</si>
  <si>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</si>
  <si>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</si>
  <si>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</si>
  <si>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</si>
  <si>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</si>
  <si>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</si>
  <si>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</si>
  <si>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</si>
  <si>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</si>
  <si>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</si>
  <si>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</si>
  <si>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</si>
  <si>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</si>
  <si>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</si>
  <si>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</si>
  <si>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</si>
  <si>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</si>
  <si>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</si>
  <si>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</si>
  <si>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</si>
  <si>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</si>
  <si>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</si>
  <si>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</si>
  <si>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</si>
  <si>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</si>
  <si>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</si>
  <si>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</si>
  <si>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</si>
  <si>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</si>
  <si>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</si>
  <si>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</si>
  <si>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</si>
  <si>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</si>
  <si>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</si>
  <si>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</si>
  <si>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</si>
  <si>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</si>
  <si>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</si>
  <si>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</si>
  <si>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</si>
  <si>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</si>
  <si>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</si>
  <si>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</si>
  <si>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</si>
  <si>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</si>
  <si>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</si>
  <si>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</si>
  <si>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</si>
  <si>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</si>
  <si>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</si>
  <si>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</si>
  <si>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</si>
  <si>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</si>
  <si>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</si>
  <si>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</si>
  <si>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</si>
  <si>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</si>
  <si>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</si>
  <si>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</si>
  <si>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</si>
  <si>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</si>
  <si>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</si>
  <si>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</si>
  <si>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</si>
  <si>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</si>
  <si>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</si>
  <si>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</si>
  <si>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</si>
  <si>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</si>
  <si>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</si>
  <si>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</si>
  <si>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</si>
  <si>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</si>
  <si>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</si>
  <si>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</si>
  <si>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</si>
  <si>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</si>
  <si>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</si>
  <si>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</si>
  <si>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</si>
  <si>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</si>
  <si>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</si>
  <si>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</si>
  <si>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</si>
  <si>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</si>
  <si>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</si>
  <si>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</si>
  <si>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</si>
  <si>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</si>
  <si>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</si>
  <si>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</si>
  <si>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</si>
  <si>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</si>
  <si>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</si>
  <si>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</si>
  <si>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</si>
  <si>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</si>
  <si>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</si>
  <si>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</si>
  <si>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</si>
  <si>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</si>
  <si>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</si>
  <si>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</si>
  <si>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</si>
  <si>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</si>
  <si>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</si>
  <si>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</si>
  <si>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</si>
  <si>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</si>
  <si>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</si>
  <si>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</si>
  <si>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</si>
  <si>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</si>
  <si>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</si>
  <si>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</si>
  <si>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</si>
  <si>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</si>
  <si>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</si>
  <si>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</si>
  <si>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</si>
  <si>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</si>
  <si>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</si>
  <si>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</si>
  <si>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</si>
  <si>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</si>
  <si>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</si>
  <si>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</si>
  <si>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</si>
  <si>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</si>
  <si>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</si>
  <si>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</si>
  <si>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</si>
  <si>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</si>
  <si>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</si>
  <si>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</si>
  <si>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</si>
  <si>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</si>
  <si>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</si>
  <si>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</si>
  <si>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</si>
  <si>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</si>
  <si>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</si>
  <si>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</si>
  <si>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</si>
  <si>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</si>
  <si>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</si>
  <si>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</si>
  <si>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</si>
  <si>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</si>
  <si>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</si>
  <si>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</si>
  <si>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</si>
  <si>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</si>
  <si>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</si>
  <si>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</si>
  <si>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</si>
  <si>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</si>
  <si>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</si>
  <si>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</si>
  <si>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</si>
  <si>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</si>
  <si>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</si>
  <si>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</si>
  <si>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</si>
  <si>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</si>
  <si>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</si>
  <si>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</si>
  <si>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</si>
  <si>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</si>
  <si>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</si>
  <si>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</si>
  <si>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</si>
  <si>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</si>
  <si>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</si>
  <si>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</si>
  <si>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</si>
  <si>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</si>
  <si>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</si>
  <si>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</si>
  <si>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</si>
  <si>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</si>
  <si>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</si>
  <si>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</si>
  <si>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</si>
  <si>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</si>
  <si>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</si>
  <si>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</si>
  <si>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</si>
  <si>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</si>
  <si>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</si>
  <si>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</si>
  <si>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</si>
  <si>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</si>
  <si>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</si>
  <si>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</si>
  <si>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</si>
  <si>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</si>
  <si>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</si>
  <si>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</si>
  <si>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</si>
  <si>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</si>
  <si>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</si>
  <si>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</si>
  <si>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</si>
  <si>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</si>
  <si>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</si>
  <si>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</si>
  <si>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</si>
  <si>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</si>
  <si>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</si>
  <si>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</si>
  <si>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</si>
  <si>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</si>
  <si>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</si>
  <si>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</si>
  <si>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</si>
  <si>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</si>
  <si>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</si>
  <si>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</si>
  <si>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</si>
  <si>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</si>
  <si>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</si>
  <si>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</si>
  <si>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</si>
  <si>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</si>
  <si>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</si>
  <si>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</si>
  <si>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</si>
  <si>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</si>
  <si>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</si>
  <si>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</si>
  <si>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</si>
  <si>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</si>
  <si>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</si>
  <si>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</si>
  <si>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</si>
  <si>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</si>
  <si>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</si>
  <si>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</si>
  <si>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</si>
  <si>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</si>
  <si>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</si>
  <si>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</si>
  <si>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</si>
  <si>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</si>
  <si>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</si>
  <si>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</si>
  <si>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</si>
  <si>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</si>
  <si>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</si>
  <si>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</si>
  <si>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</si>
  <si>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</si>
  <si>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</si>
  <si>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</si>
  <si>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</si>
  <si>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</si>
  <si>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</si>
  <si>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</si>
  <si>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</si>
  <si>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</si>
  <si>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</si>
  <si>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</si>
  <si>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</si>
  <si>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</si>
  <si>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</si>
  <si>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</si>
  <si>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</si>
  <si>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</si>
  <si>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</si>
  <si>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</si>
  <si>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</si>
  <si>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</si>
  <si>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</si>
  <si>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</si>
  <si>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</si>
  <si>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</si>
  <si>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</si>
  <si>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</si>
  <si>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</si>
  <si>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</si>
  <si>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</si>
  <si>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</si>
  <si>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</si>
  <si>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</si>
  <si>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</si>
  <si>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</si>
  <si>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</si>
  <si>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</si>
  <si>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</si>
  <si>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</si>
  <si>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</si>
  <si>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</si>
  <si>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</si>
  <si>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</si>
  <si>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</si>
  <si>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</si>
  <si>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</si>
  <si>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</si>
  <si>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</si>
  <si>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</si>
  <si>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</si>
  <si>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</si>
  <si>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</si>
  <si>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</si>
  <si>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</si>
  <si>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</si>
  <si>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</si>
  <si>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</si>
  <si>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</si>
  <si>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</si>
  <si>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</si>
  <si>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</si>
  <si>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</si>
  <si>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</si>
  <si>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</si>
  <si>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</si>
  <si>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</si>
  <si>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</si>
  <si>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</si>
  <si>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</si>
  <si>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</si>
  <si>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</si>
  <si>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</si>
  <si>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</si>
  <si>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</si>
  <si>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</si>
  <si>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</si>
  <si>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</si>
  <si>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</si>
  <si>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</si>
  <si>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</si>
  <si>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</si>
  <si>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</si>
  <si>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</si>
  <si>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</si>
  <si>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</si>
  <si>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</si>
  <si>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</si>
  <si>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</si>
  <si>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</si>
  <si>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</si>
  <si>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</si>
  <si>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</si>
  <si>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</si>
  <si>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</si>
  <si>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</si>
  <si>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</si>
  <si>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</si>
  <si>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</si>
  <si>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</si>
  <si>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</si>
  <si>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</si>
  <si>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</si>
  <si>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</si>
  <si>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</si>
  <si>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</si>
  <si>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</si>
  <si>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</si>
  <si>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</si>
  <si>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</si>
  <si>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</si>
  <si>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</si>
  <si>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</si>
  <si>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</si>
  <si>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</si>
  <si>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</si>
  <si>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</si>
  <si>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</si>
  <si>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</si>
  <si>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</si>
  <si>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</si>
  <si>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</si>
  <si>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</si>
  <si>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</si>
  <si>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</si>
  <si>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</si>
  <si>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</si>
  <si>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</si>
  <si>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</si>
  <si>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</si>
  <si>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</si>
  <si>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</si>
  <si>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</si>
  <si>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</si>
  <si>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</si>
  <si>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</si>
  <si>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</si>
  <si>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</si>
  <si>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</si>
  <si>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</si>
  <si>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</si>
  <si>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</si>
  <si>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</si>
  <si>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</si>
  <si>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</si>
  <si>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</si>
  <si>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</si>
  <si>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</si>
  <si>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</si>
  <si>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</si>
  <si>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</si>
  <si>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</si>
  <si>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</si>
  <si>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</si>
  <si>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</si>
  <si>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</si>
  <si>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</si>
  <si>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</si>
  <si>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</si>
  <si>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</si>
  <si>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</si>
  <si>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</si>
  <si>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</si>
  <si>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</si>
  <si>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</si>
  <si>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</si>
  <si>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</si>
  <si>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</si>
  <si>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</si>
  <si>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</si>
  <si>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</si>
  <si>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</si>
  <si>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</si>
  <si>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</si>
  <si>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</si>
  <si>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</si>
  <si>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</si>
  <si>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</si>
  <si>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</si>
  <si>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</si>
  <si>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</si>
  <si>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</si>
  <si>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</si>
  <si>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</si>
  <si>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</si>
  <si>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</si>
  <si>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</si>
  <si>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</si>
  <si>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</si>
  <si>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</si>
  <si>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</si>
  <si>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</si>
  <si>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</si>
  <si>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</si>
  <si>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</si>
  <si>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</si>
  <si>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</si>
  <si>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</si>
  <si>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</si>
  <si>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</si>
  <si>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</si>
  <si>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</si>
  <si>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</si>
  <si>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</si>
  <si>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</si>
  <si>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</si>
  <si>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</si>
  <si>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</si>
  <si>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</si>
  <si>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</si>
  <si>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</si>
  <si>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</si>
  <si>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</si>
  <si>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</si>
  <si>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</si>
  <si>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</si>
  <si>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</si>
  <si>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</si>
  <si>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</si>
  <si>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</si>
  <si>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</si>
  <si>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</si>
  <si>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</si>
  <si>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</si>
  <si>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</si>
  <si>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</si>
  <si>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</si>
  <si>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</si>
  <si>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</si>
  <si>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</si>
  <si>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</si>
  <si>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</si>
  <si>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</si>
  <si>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</si>
  <si>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</si>
  <si>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</si>
  <si>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</si>
  <si>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</si>
  <si>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</si>
  <si>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</si>
  <si>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</si>
  <si>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</si>
  <si>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</si>
  <si>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</si>
  <si>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</si>
  <si>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</si>
  <si>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</si>
  <si>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</si>
  <si>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</si>
  <si>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</si>
  <si>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</si>
  <si>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</si>
  <si>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</si>
  <si>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</si>
  <si>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</si>
  <si>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</si>
  <si>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</si>
  <si>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</si>
  <si>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</si>
  <si>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</si>
  <si>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</si>
  <si>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</si>
  <si>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</si>
  <si>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</si>
  <si>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</si>
  <si>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</si>
  <si>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</si>
  <si>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</si>
  <si>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</si>
  <si>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</si>
  <si>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</si>
  <si>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</si>
  <si>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</si>
  <si>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</si>
  <si>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</si>
  <si>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</si>
  <si>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</si>
  <si>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</si>
  <si>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</si>
  <si>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</si>
  <si>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</si>
  <si>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</si>
  <si>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</si>
  <si>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</si>
  <si>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</si>
  <si>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</si>
  <si>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</si>
  <si>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</si>
  <si>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</si>
  <si>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</si>
  <si>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</si>
  <si>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</si>
  <si>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</si>
  <si>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</si>
  <si>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</si>
  <si>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</si>
  <si>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</si>
  <si>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</si>
  <si>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</si>
  <si>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</si>
  <si>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</si>
  <si>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</si>
  <si>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</si>
  <si>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</si>
  <si>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</si>
  <si>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</si>
  <si>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</si>
  <si>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</si>
  <si>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</si>
  <si>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</si>
  <si>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</si>
  <si>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</si>
  <si>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</si>
  <si>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</si>
  <si>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</si>
  <si>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</si>
  <si>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</si>
  <si>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</si>
  <si>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</si>
  <si>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</si>
  <si>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</si>
  <si>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</si>
  <si>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</si>
  <si>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</si>
  <si>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</si>
  <si>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</si>
  <si>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</si>
  <si>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</si>
  <si>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</si>
  <si>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</si>
  <si>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</si>
  <si>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</si>
  <si>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</si>
  <si>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</si>
  <si>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</si>
  <si>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</si>
  <si>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</si>
  <si>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</si>
  <si>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</si>
  <si>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</si>
  <si>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</si>
  <si>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</si>
  <si>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</si>
  <si>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</si>
  <si>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</si>
  <si>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</si>
  <si>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</si>
  <si>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</si>
  <si>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</si>
  <si>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</si>
  <si>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</si>
  <si>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</si>
  <si>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</si>
  <si>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1室1厅1卫1厨</t>
    <phoneticPr fontId="134" type="noConversion"/>
  </si>
  <si>
    <t>高楼层</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</si>
  <si>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</si>
  <si>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</si>
  <si>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</si>
  <si>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</si>
  <si>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</si>
  <si>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</si>
  <si>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</si>
  <si>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</si>
  <si>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户型结构</t>
    <phoneticPr fontId="24" type="noConversion"/>
  </si>
  <si>
    <t>三居</t>
    <phoneticPr fontId="3" type="noConversion"/>
  </si>
  <si>
    <t>两居</t>
    <phoneticPr fontId="3" type="noConversion"/>
  </si>
  <si>
    <t>一居</t>
    <phoneticPr fontId="3" type="noConversion"/>
  </si>
  <si>
    <t>一居</t>
    <phoneticPr fontId="24" type="noConversion"/>
  </si>
  <si>
    <t>两居</t>
    <phoneticPr fontId="24" type="noConversion"/>
  </si>
  <si>
    <t>天通东苑二区31号楼1304</t>
    <phoneticPr fontId="3" type="noConversion"/>
  </si>
  <si>
    <t>中楼层</t>
    <phoneticPr fontId="24" type="noConversion"/>
  </si>
  <si>
    <t>芳怡园</t>
    <phoneticPr fontId="134" type="noConversion"/>
  </si>
  <si>
    <t>市调</t>
    <phoneticPr fontId="134" type="noConversion"/>
  </si>
  <si>
    <t>西北旺三街14号院2号楼4单元902</t>
    <phoneticPr fontId="134" type="noConversion"/>
  </si>
  <si>
    <t>西北旺三街14号院2号楼5单元504</t>
    <phoneticPr fontId="134" type="noConversion"/>
  </si>
  <si>
    <t>西北旺三街14号院1号楼2单元704</t>
    <phoneticPr fontId="134" type="noConversion"/>
  </si>
  <si>
    <t>南</t>
  </si>
  <si>
    <t>南北</t>
  </si>
  <si>
    <t>周边有如园、景和园、冬晴园、百旺茉莉园等住宅小区，居住社区成熟度较好。</t>
    <phoneticPr fontId="40" type="noConversion"/>
  </si>
  <si>
    <t>周边有333路、908路、909路等多条公交线路及地铁16号线西北旺站，综合评价交通便捷度较好</t>
    <phoneticPr fontId="40" type="noConversion"/>
  </si>
  <si>
    <t>自然环境：百望山森林公园、中关村公园等自然景观；
综合评价环境状况较好。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</si>
  <si>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</si>
  <si>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24" type="noConversion"/>
  </si>
  <si>
    <t>西</t>
  </si>
  <si>
    <t>9/10</t>
    <phoneticPr fontId="24" type="noConversion"/>
  </si>
  <si>
    <t>5/10</t>
    <phoneticPr fontId="24" type="noConversion"/>
  </si>
  <si>
    <t>7/10</t>
    <phoneticPr fontId="24" type="noConversion"/>
  </si>
  <si>
    <t>高层板楼</t>
  </si>
  <si>
    <t>第二年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</si>
</sst>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0" fontId="269" fillId="5" borderId="0" xfId="0" applyFont="1" applyFill="1" applyAlignment="1">
      <alignment horizontal="center" vertical="center"/>
    </xf>
    <xf numFmtId="0" fontId="51" fillId="12" borderId="0" xfId="17"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0</xdr:colOff>
      <xdr:row>20</xdr:row>
      <xdr:rowOff>0</xdr:rowOff>
    </xdr:from>
    <xdr:to>
      <xdr:col>27</xdr:col>
      <xdr:colOff>373745</xdr:colOff>
      <xdr:row>22</xdr:row>
      <xdr:rowOff>166622</xdr:rowOff>
    </xdr:to>
    <xdr:pic>
      <xdr:nvPicPr>
        <xdr:cNvPr id="2" name="图片 1">
          <a:extLst>
            <a:ext uri="{FF2B5EF4-FFF2-40B4-BE49-F238E27FC236}">
              <a16:creationId xmlns:a16="http://schemas.microsoft.com/office/drawing/2014/main" id="{92DD327B-5C89-F1EF-B664-1BC8225F4D5B}"/>
            </a:ext>
          </a:extLst>
        </xdr:cNvPr>
        <xdr:cNvPicPr>
          <a:picLocks noChangeAspect="1"/>
        </xdr:cNvPicPr>
      </xdr:nvPicPr>
      <xdr:blipFill>
        <a:blip xmlns:r="http://schemas.openxmlformats.org/officeDocument/2006/relationships" r:embed="rId1"/>
        <a:stretch>
          <a:fillRect/>
        </a:stretch>
      </xdr:blipFill>
      <xdr:spPr>
        <a:xfrm>
          <a:off x="20621625" y="4238625"/>
          <a:ext cx="885714"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16</xdr:row>
      <xdr:rowOff>111256</xdr:rowOff>
    </xdr:from>
    <xdr:to>
      <xdr:col>15</xdr:col>
      <xdr:colOff>608505</xdr:colOff>
      <xdr:row>29</xdr:row>
      <xdr:rowOff>27911</xdr:rowOff>
    </xdr:to>
    <xdr:pic>
      <xdr:nvPicPr>
        <xdr:cNvPr id="14" name="图片 13">
          <a:extLst>
            <a:ext uri="{FF2B5EF4-FFF2-40B4-BE49-F238E27FC236}">
              <a16:creationId xmlns:a16="http://schemas.microsoft.com/office/drawing/2014/main" id="{8D0F544C-C2BD-2967-167D-4B4DC663E044}"/>
            </a:ext>
          </a:extLst>
        </xdr:cNvPr>
        <xdr:cNvPicPr>
          <a:picLocks noChangeAspect="1"/>
        </xdr:cNvPicPr>
      </xdr:nvPicPr>
      <xdr:blipFill>
        <a:blip xmlns:r="http://schemas.openxmlformats.org/officeDocument/2006/relationships" r:embed="rId2"/>
        <a:stretch>
          <a:fillRect/>
        </a:stretch>
      </xdr:blipFill>
      <xdr:spPr>
        <a:xfrm>
          <a:off x="7400925" y="4073656"/>
          <a:ext cx="6599730" cy="4002880"/>
        </a:xfrm>
        <a:prstGeom prst="rect">
          <a:avLst/>
        </a:prstGeom>
      </xdr:spPr>
    </xdr:pic>
    <xdr:clientData/>
  </xdr:twoCellAnchor>
  <xdr:twoCellAnchor editAs="oneCell">
    <xdr:from>
      <xdr:col>0</xdr:col>
      <xdr:colOff>47625</xdr:colOff>
      <xdr:row>4</xdr:row>
      <xdr:rowOff>58203</xdr:rowOff>
    </xdr:from>
    <xdr:to>
      <xdr:col>6</xdr:col>
      <xdr:colOff>548188</xdr:colOff>
      <xdr:row>21</xdr:row>
      <xdr:rowOff>76201</xdr:rowOff>
    </xdr:to>
    <xdr:pic>
      <xdr:nvPicPr>
        <xdr:cNvPr id="2" name="图片 1">
          <a:extLst>
            <a:ext uri="{FF2B5EF4-FFF2-40B4-BE49-F238E27FC236}">
              <a16:creationId xmlns:a16="http://schemas.microsoft.com/office/drawing/2014/main" id="{46D45363-D6CD-7DB2-0E9E-37512C6F1A78}"/>
            </a:ext>
          </a:extLst>
        </xdr:cNvPr>
        <xdr:cNvPicPr>
          <a:picLocks noChangeAspect="1"/>
        </xdr:cNvPicPr>
      </xdr:nvPicPr>
      <xdr:blipFill>
        <a:blip xmlns:r="http://schemas.openxmlformats.org/officeDocument/2006/relationships" r:embed="rId3"/>
        <a:stretch>
          <a:fillRect/>
        </a:stretch>
      </xdr:blipFill>
      <xdr:spPr>
        <a:xfrm>
          <a:off x="47625" y="1153578"/>
          <a:ext cx="7377613" cy="4456648"/>
        </a:xfrm>
        <a:prstGeom prst="rect">
          <a:avLst/>
        </a:prstGeom>
      </xdr:spPr>
    </xdr:pic>
    <xdr:clientData/>
  </xdr:twoCellAnchor>
  <xdr:twoCellAnchor editAs="oneCell">
    <xdr:from>
      <xdr:col>3</xdr:col>
      <xdr:colOff>190500</xdr:colOff>
      <xdr:row>5</xdr:row>
      <xdr:rowOff>153453</xdr:rowOff>
    </xdr:from>
    <xdr:to>
      <xdr:col>6</xdr:col>
      <xdr:colOff>285427</xdr:colOff>
      <xdr:row>19</xdr:row>
      <xdr:rowOff>29189</xdr:rowOff>
    </xdr:to>
    <xdr:pic>
      <xdr:nvPicPr>
        <xdr:cNvPr id="4" name="图片 3">
          <a:extLst>
            <a:ext uri="{FF2B5EF4-FFF2-40B4-BE49-F238E27FC236}">
              <a16:creationId xmlns:a16="http://schemas.microsoft.com/office/drawing/2014/main" id="{D042D330-6650-9226-0483-5CDA5BB9EF37}"/>
            </a:ext>
          </a:extLst>
        </xdr:cNvPr>
        <xdr:cNvPicPr>
          <a:picLocks noChangeAspect="1"/>
        </xdr:cNvPicPr>
      </xdr:nvPicPr>
      <xdr:blipFill>
        <a:blip xmlns:r="http://schemas.openxmlformats.org/officeDocument/2006/relationships" r:embed="rId4"/>
        <a:stretch>
          <a:fillRect/>
        </a:stretch>
      </xdr:blipFill>
      <xdr:spPr>
        <a:xfrm>
          <a:off x="4581525" y="1420278"/>
          <a:ext cx="2580952" cy="3514286"/>
        </a:xfrm>
        <a:prstGeom prst="rect">
          <a:avLst/>
        </a:prstGeom>
      </xdr:spPr>
    </xdr:pic>
    <xdr:clientData/>
  </xdr:twoCellAnchor>
  <xdr:twoCellAnchor editAs="oneCell">
    <xdr:from>
      <xdr:col>7</xdr:col>
      <xdr:colOff>142875</xdr:colOff>
      <xdr:row>5</xdr:row>
      <xdr:rowOff>94138</xdr:rowOff>
    </xdr:from>
    <xdr:to>
      <xdr:col>28</xdr:col>
      <xdr:colOff>416957</xdr:colOff>
      <xdr:row>11</xdr:row>
      <xdr:rowOff>47439</xdr:rowOff>
    </xdr:to>
    <xdr:pic>
      <xdr:nvPicPr>
        <xdr:cNvPr id="5" name="图片 4">
          <a:extLst>
            <a:ext uri="{FF2B5EF4-FFF2-40B4-BE49-F238E27FC236}">
              <a16:creationId xmlns:a16="http://schemas.microsoft.com/office/drawing/2014/main" id="{041059C9-FD60-7474-FDA6-E18CF01002DA}"/>
            </a:ext>
          </a:extLst>
        </xdr:cNvPr>
        <xdr:cNvPicPr>
          <a:picLocks noChangeAspect="1"/>
        </xdr:cNvPicPr>
      </xdr:nvPicPr>
      <xdr:blipFill>
        <a:blip xmlns:r="http://schemas.openxmlformats.org/officeDocument/2006/relationships" r:embed="rId5"/>
        <a:stretch>
          <a:fillRect/>
        </a:stretch>
      </xdr:blipFill>
      <xdr:spPr>
        <a:xfrm>
          <a:off x="7743825" y="1360963"/>
          <a:ext cx="15828407" cy="1363001"/>
        </a:xfrm>
        <a:prstGeom prst="rect">
          <a:avLst/>
        </a:prstGeom>
      </xdr:spPr>
    </xdr:pic>
    <xdr:clientData/>
  </xdr:twoCellAnchor>
  <xdr:twoCellAnchor editAs="oneCell">
    <xdr:from>
      <xdr:col>28</xdr:col>
      <xdr:colOff>457200</xdr:colOff>
      <xdr:row>5</xdr:row>
      <xdr:rowOff>85725</xdr:rowOff>
    </xdr:from>
    <xdr:to>
      <xdr:col>33</xdr:col>
      <xdr:colOff>123825</xdr:colOff>
      <xdr:row>11</xdr:row>
      <xdr:rowOff>43039</xdr:rowOff>
    </xdr:to>
    <xdr:pic>
      <xdr:nvPicPr>
        <xdr:cNvPr id="7" name="图片 6">
          <a:extLst>
            <a:ext uri="{FF2B5EF4-FFF2-40B4-BE49-F238E27FC236}">
              <a16:creationId xmlns:a16="http://schemas.microsoft.com/office/drawing/2014/main" id="{14E85BAB-59AB-6B4D-E8B3-C560A3D1F2BD}"/>
            </a:ext>
          </a:extLst>
        </xdr:cNvPr>
        <xdr:cNvPicPr>
          <a:picLocks noChangeAspect="1"/>
        </xdr:cNvPicPr>
      </xdr:nvPicPr>
      <xdr:blipFill>
        <a:blip xmlns:r="http://schemas.openxmlformats.org/officeDocument/2006/relationships" r:embed="rId6"/>
        <a:stretch>
          <a:fillRect/>
        </a:stretch>
      </xdr:blipFill>
      <xdr:spPr>
        <a:xfrm>
          <a:off x="23612475" y="1352550"/>
          <a:ext cx="3095625" cy="1367014"/>
        </a:xfrm>
        <a:prstGeom prst="rect">
          <a:avLst/>
        </a:prstGeom>
      </xdr:spPr>
    </xdr:pic>
    <xdr:clientData/>
  </xdr:twoCellAnchor>
  <xdr:twoCellAnchor editAs="oneCell">
    <xdr:from>
      <xdr:col>0</xdr:col>
      <xdr:colOff>276225</xdr:colOff>
      <xdr:row>22</xdr:row>
      <xdr:rowOff>95250</xdr:rowOff>
    </xdr:from>
    <xdr:to>
      <xdr:col>4</xdr:col>
      <xdr:colOff>458996</xdr:colOff>
      <xdr:row>60</xdr:row>
      <xdr:rowOff>36571</xdr:rowOff>
    </xdr:to>
    <xdr:pic>
      <xdr:nvPicPr>
        <xdr:cNvPr id="3" name="图片 2">
          <a:extLst>
            <a:ext uri="{FF2B5EF4-FFF2-40B4-BE49-F238E27FC236}">
              <a16:creationId xmlns:a16="http://schemas.microsoft.com/office/drawing/2014/main" id="{D8C62367-7E8A-AD0C-1EEA-DA19AA1C3566}"/>
            </a:ext>
          </a:extLst>
        </xdr:cNvPr>
        <xdr:cNvPicPr>
          <a:picLocks noChangeAspect="1"/>
        </xdr:cNvPicPr>
      </xdr:nvPicPr>
      <xdr:blipFill>
        <a:blip xmlns:r="http://schemas.openxmlformats.org/officeDocument/2006/relationships" r:embed="rId7"/>
        <a:stretch>
          <a:fillRect/>
        </a:stretch>
      </xdr:blipFill>
      <xdr:spPr>
        <a:xfrm>
          <a:off x="276225" y="5943600"/>
          <a:ext cx="5297696" cy="8599546"/>
        </a:xfrm>
        <a:prstGeom prst="rect">
          <a:avLst/>
        </a:prstGeom>
      </xdr:spPr>
    </xdr:pic>
    <xdr:clientData/>
  </xdr:twoCellAnchor>
  <xdr:twoCellAnchor editAs="oneCell">
    <xdr:from>
      <xdr:col>0</xdr:col>
      <xdr:colOff>0</xdr:colOff>
      <xdr:row>61</xdr:row>
      <xdr:rowOff>85726</xdr:rowOff>
    </xdr:from>
    <xdr:to>
      <xdr:col>4</xdr:col>
      <xdr:colOff>408709</xdr:colOff>
      <xdr:row>112</xdr:row>
      <xdr:rowOff>28576</xdr:rowOff>
    </xdr:to>
    <xdr:pic>
      <xdr:nvPicPr>
        <xdr:cNvPr id="6" name="图片 5">
          <a:extLst>
            <a:ext uri="{FF2B5EF4-FFF2-40B4-BE49-F238E27FC236}">
              <a16:creationId xmlns:a16="http://schemas.microsoft.com/office/drawing/2014/main" id="{A80CEFC8-DC2D-96D4-C124-CBE53134CBB6}"/>
            </a:ext>
          </a:extLst>
        </xdr:cNvPr>
        <xdr:cNvPicPr>
          <a:picLocks noChangeAspect="1"/>
        </xdr:cNvPicPr>
      </xdr:nvPicPr>
      <xdr:blipFill>
        <a:blip xmlns:r="http://schemas.openxmlformats.org/officeDocument/2006/relationships" r:embed="rId8"/>
        <a:stretch>
          <a:fillRect/>
        </a:stretch>
      </xdr:blipFill>
      <xdr:spPr>
        <a:xfrm>
          <a:off x="0" y="14763751"/>
          <a:ext cx="5523634" cy="8686800"/>
        </a:xfrm>
        <a:prstGeom prst="rect">
          <a:avLst/>
        </a:prstGeom>
      </xdr:spPr>
    </xdr:pic>
    <xdr:clientData/>
  </xdr:twoCellAnchor>
  <xdr:twoCellAnchor editAs="oneCell">
    <xdr:from>
      <xdr:col>37</xdr:col>
      <xdr:colOff>28575</xdr:colOff>
      <xdr:row>16</xdr:row>
      <xdr:rowOff>133350</xdr:rowOff>
    </xdr:from>
    <xdr:to>
      <xdr:col>39</xdr:col>
      <xdr:colOff>495070</xdr:colOff>
      <xdr:row>18</xdr:row>
      <xdr:rowOff>142795</xdr:rowOff>
    </xdr:to>
    <xdr:pic>
      <xdr:nvPicPr>
        <xdr:cNvPr id="8" name="图片 7">
          <a:extLst>
            <a:ext uri="{FF2B5EF4-FFF2-40B4-BE49-F238E27FC236}">
              <a16:creationId xmlns:a16="http://schemas.microsoft.com/office/drawing/2014/main" id="{39921B76-D203-F732-1704-6681E2143B79}"/>
            </a:ext>
          </a:extLst>
        </xdr:cNvPr>
        <xdr:cNvPicPr>
          <a:picLocks noChangeAspect="1"/>
        </xdr:cNvPicPr>
      </xdr:nvPicPr>
      <xdr:blipFill>
        <a:blip xmlns:r="http://schemas.openxmlformats.org/officeDocument/2006/relationships" r:embed="rId9"/>
        <a:stretch>
          <a:fillRect/>
        </a:stretch>
      </xdr:blipFill>
      <xdr:spPr>
        <a:xfrm>
          <a:off x="29356050" y="4095750"/>
          <a:ext cx="1838095" cy="638095"/>
        </a:xfrm>
        <a:prstGeom prst="rect">
          <a:avLst/>
        </a:prstGeom>
      </xdr:spPr>
    </xdr:pic>
    <xdr:clientData/>
  </xdr:twoCellAnchor>
  <xdr:twoCellAnchor editAs="oneCell">
    <xdr:from>
      <xdr:col>36</xdr:col>
      <xdr:colOff>133350</xdr:colOff>
      <xdr:row>1</xdr:row>
      <xdr:rowOff>190501</xdr:rowOff>
    </xdr:from>
    <xdr:to>
      <xdr:col>40</xdr:col>
      <xdr:colOff>333375</xdr:colOff>
      <xdr:row>6</xdr:row>
      <xdr:rowOff>415784</xdr:rowOff>
    </xdr:to>
    <xdr:pic>
      <xdr:nvPicPr>
        <xdr:cNvPr id="9" name="图片 8">
          <a:extLst>
            <a:ext uri="{FF2B5EF4-FFF2-40B4-BE49-F238E27FC236}">
              <a16:creationId xmlns:a16="http://schemas.microsoft.com/office/drawing/2014/main" id="{0FFAAB9E-BF92-E62B-A7EA-80B29CDAD6F2}"/>
            </a:ext>
          </a:extLst>
        </xdr:cNvPr>
        <xdr:cNvPicPr>
          <a:picLocks noChangeAspect="1"/>
        </xdr:cNvPicPr>
      </xdr:nvPicPr>
      <xdr:blipFill>
        <a:blip xmlns:r="http://schemas.openxmlformats.org/officeDocument/2006/relationships" r:embed="rId10"/>
        <a:stretch>
          <a:fillRect/>
        </a:stretch>
      </xdr:blipFill>
      <xdr:spPr>
        <a:xfrm>
          <a:off x="28775025" y="361951"/>
          <a:ext cx="2943225" cy="1492108"/>
        </a:xfrm>
        <a:prstGeom prst="rect">
          <a:avLst/>
        </a:prstGeom>
      </xdr:spPr>
    </xdr:pic>
    <xdr:clientData/>
  </xdr:twoCellAnchor>
  <xdr:twoCellAnchor editAs="oneCell">
    <xdr:from>
      <xdr:col>36</xdr:col>
      <xdr:colOff>238125</xdr:colOff>
      <xdr:row>7</xdr:row>
      <xdr:rowOff>133350</xdr:rowOff>
    </xdr:from>
    <xdr:to>
      <xdr:col>40</xdr:col>
      <xdr:colOff>135373</xdr:colOff>
      <xdr:row>15</xdr:row>
      <xdr:rowOff>142875</xdr:rowOff>
    </xdr:to>
    <xdr:pic>
      <xdr:nvPicPr>
        <xdr:cNvPr id="10" name="图片 9">
          <a:extLst>
            <a:ext uri="{FF2B5EF4-FFF2-40B4-BE49-F238E27FC236}">
              <a16:creationId xmlns:a16="http://schemas.microsoft.com/office/drawing/2014/main" id="{3C64FC53-56EF-A37A-835A-F3E9A2B1F88F}"/>
            </a:ext>
          </a:extLst>
        </xdr:cNvPr>
        <xdr:cNvPicPr>
          <a:picLocks noChangeAspect="1"/>
        </xdr:cNvPicPr>
      </xdr:nvPicPr>
      <xdr:blipFill>
        <a:blip xmlns:r="http://schemas.openxmlformats.org/officeDocument/2006/relationships" r:embed="rId11"/>
        <a:stretch>
          <a:fillRect/>
        </a:stretch>
      </xdr:blipFill>
      <xdr:spPr>
        <a:xfrm>
          <a:off x="28879800" y="2124075"/>
          <a:ext cx="2640448" cy="1666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估价对象为北京市房地产，为所有。根据《国有土地使用证》[]，估价对象（分摊）出让国有建设用地使用权面积为0平方米，建筑面积为49.92平方米。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估价对象为北京市房地产,属开发建设的，该项目尚在开发建设中。根据《国有土地使用证》[]，估价对象（分摊）出让国有建设用地使用权面积为0平方米，规划建筑面积为49.92平方米。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2024年10月18日（评估专业人员实地查勘之日）</v>
      </c>
    </row>
    <row r="13" spans="1:2">
      <c r="A13" s="1117" t="s">
        <v>529</v>
      </c>
      <c r="B13" s="1118" t="str">
        <f>'预评函-1'!A18</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49.92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45583</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2.16</v>
      </c>
      <c r="D5" s="2761">
        <f>IF(ISERROR(ROUND(POWER(1+E5,A5-C5)*(POWER(1+E5,C5)-1)/(POWER(1+E5,A5)-1),3)),0,ROUND(POWER(1+E5,A5-C5)*(POWER(1+E5,C5)-1)/(POWER(1+E5,A5)-1),4))</f>
        <v>0.1026</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12.17</v>
      </c>
      <c r="D6" s="2761">
        <f>IF(ISERROR(ROUND(POWER(1+E6,A6-C6)*(POWER(1+E6,C6)-1)/(POWER(1+E6,A6)-1),3)),0,ROUND(POWER(1+E6,A6-C6)*(POWER(1+E6,C6)-1)/(POWER(1+E6,A6)-1),4))</f>
        <v>0.44169999999999998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32.19</v>
      </c>
      <c r="D7" s="2761">
        <f>IF(ISERROR(ROUND(POWER(1+E7,A7-C7)*(POWER(1+E7,C7)-1)/(POWER(1+E7,A7)-1),3)),0,ROUND(POWER(1+E7,A7-C7)*(POWER(1+E7,C7)-1)/(POWER(1+E7,A7)-1),4))</f>
        <v>0.76629999999999998</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38" sqref="J38"/>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45583</v>
      </c>
      <c r="C3" s="2181" t="s">
        <v>2168</v>
      </c>
      <c r="D3" s="2180">
        <f>B3</f>
        <v>45583</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6" t="s">
        <v>2174</v>
      </c>
      <c r="E8" s="2197"/>
      <c r="F8" s="2198"/>
      <c r="G8" s="2436"/>
      <c r="H8" s="2436"/>
      <c r="I8" s="2436"/>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71151</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70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v>70</v>
      </c>
      <c r="G16" s="3247"/>
      <c r="H16" s="3247"/>
      <c r="I16" s="3248"/>
      <c r="J16" s="2240"/>
      <c r="K16" s="2397"/>
      <c r="L16" s="1668"/>
      <c r="M16" s="1668"/>
      <c r="N16" s="2240"/>
      <c r="O16" s="1668"/>
      <c r="P16" s="2240"/>
      <c r="Q16" s="2240"/>
      <c r="R16" s="2240"/>
    </row>
    <row r="17" spans="1:28">
      <c r="A17" s="304" t="s">
        <v>2192</v>
      </c>
      <c r="B17" s="293" t="s">
        <v>2193</v>
      </c>
      <c r="C17" s="8">
        <f>'数据-汇总表'!E3</f>
        <v>49.92</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303</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149</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45" sqref="N45"/>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49.92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49.92</v>
      </c>
      <c r="H5" s="13">
        <f t="shared" ref="H5:AT5" si="0">SUM(H13:H656)</f>
        <v>49.92</v>
      </c>
      <c r="I5" s="13">
        <f t="shared" si="0"/>
        <v>49.92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49.92</v>
      </c>
      <c r="BA5" s="15">
        <f t="shared" si="1"/>
        <v>49.92</v>
      </c>
      <c r="BB5" s="15">
        <f t="shared" si="1"/>
        <v>49.92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49.92</v>
      </c>
      <c r="H13" s="17">
        <f>SUMIF(I$12:AB$12,"总值",I13:AB13)</f>
        <v>49.92</v>
      </c>
      <c r="I13" s="1512">
        <v>49.92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49.92</v>
      </c>
      <c r="BA13" s="13">
        <f>SUM(BB13:BK13)</f>
        <v>49.92</v>
      </c>
      <c r="BB13" s="13">
        <f>IF($D13="是",I13-J13,0)</f>
        <v>49.92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49.92</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49.92</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49.92</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49.92</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49.92</v>
      </c>
      <c r="F19" s="2552">
        <f>'数据-基础表'!I13</f>
        <v>49.92</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49.92</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49.92</v>
      </c>
      <c r="F27" s="1071">
        <f>IF(SUM(F19:F26)=E8,SUM(F19:F26),"地上面积有误")</f>
        <v>49.92</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49.92</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49.92</v>
      </c>
      <c r="F31" s="643">
        <f>F27+F30</f>
        <v>49.92</v>
      </c>
      <c r="G31" s="644">
        <f>G27+G30</f>
        <v>0</v>
      </c>
      <c r="H31" s="2433"/>
      <c r="I31" s="2433"/>
      <c r="J31" s="2433"/>
      <c r="K31" s="2433"/>
      <c r="L31" s="2433"/>
      <c r="M31" s="2433"/>
      <c r="N31" s="2433"/>
      <c r="O31" s="2433"/>
      <c r="P31" s="2433"/>
    </row>
    <row r="32" spans="1:19">
      <c r="A32" s="1524"/>
      <c r="B32" s="1524" t="s">
        <v>1159</v>
      </c>
      <c r="C32" s="1524"/>
      <c r="D32" s="1524"/>
      <c r="E32" s="989">
        <f>SUMIF(C19:C26,"*住宅*",E19:E26)</f>
        <v>49.92</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45583</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71151</v>
      </c>
      <c r="F6" s="61">
        <f>SUMIF(项目基本情况!C$12:I$12,C6,项目基本情况!C$15:I$15)</f>
        <v>70</v>
      </c>
      <c r="G6" s="62">
        <f t="shared" ref="G6:G13" si="0">IF(ISERROR(ROUND(POWER(1+H6,D6-F6)*(POWER(1+H6,F6)-1)/(POWER(1+H6,D6)-1),3)),0,ROUND(POWER(1+H6,D6-F6)*(POWER(1+H6,F6)-1)/(POWER(1+H6,D6)-1),3))</f>
        <v>1</v>
      </c>
      <c r="H6" s="690">
        <v>0.03</v>
      </c>
      <c r="I6" s="690">
        <v>0.04</v>
      </c>
      <c r="J6" s="63">
        <v>0.05</v>
      </c>
      <c r="K6" s="969">
        <f>SUMIF('数据-汇总表'!C$19:C$33,A6,'数据-汇总表'!E$19:E$33)</f>
        <v>49.92</v>
      </c>
      <c r="L6" s="3183">
        <v>3500</v>
      </c>
      <c r="M6" s="64">
        <f t="shared" ref="M6:M14" si="1">ROUND(K6*L6/10000,0)</f>
        <v>17</v>
      </c>
      <c r="N6" s="3184">
        <v>0.95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6800</v>
      </c>
      <c r="V6" s="67">
        <v>0.02</v>
      </c>
      <c r="W6" s="67"/>
      <c r="X6" s="978"/>
      <c r="Y6" s="68">
        <f>N6</f>
        <v>0.95</v>
      </c>
      <c r="Z6" s="69">
        <v>6900</v>
      </c>
      <c r="AA6" s="63">
        <f>V6</f>
        <v>0.02</v>
      </c>
      <c r="AB6" s="63">
        <v>0.05</v>
      </c>
      <c r="AC6" s="978"/>
      <c r="AD6" s="70">
        <f>N6</f>
        <v>0.95</v>
      </c>
      <c r="AE6" s="979">
        <f ca="1">IF(AN6="",0,SUMIF(INDIRECT("'"&amp;AN6&amp;"'"&amp;"!E:E"),$AE$5,INDIRECT("'"&amp;AN6&amp;"'"&amp;"!F:F")))</f>
        <v>70</v>
      </c>
      <c r="AF6" s="74">
        <v>0.52</v>
      </c>
      <c r="AG6" s="129">
        <f ca="1">IF(AF6="",0,AE6-AF6)</f>
        <v>69.48</v>
      </c>
      <c r="AH6" s="71">
        <v>1</v>
      </c>
      <c r="AI6" s="73">
        <v>12</v>
      </c>
      <c r="AJ6" s="74"/>
      <c r="AK6" s="75">
        <v>1.4999999999999999E-2</v>
      </c>
      <c r="AL6" s="76">
        <v>1E-3</v>
      </c>
      <c r="AM6" s="77">
        <v>0.01</v>
      </c>
      <c r="AN6" s="1587" t="s">
        <v>3394</v>
      </c>
      <c r="AO6" s="50">
        <f ca="1">SUMIF(INDIRECT("'"&amp;AN6&amp;"'"&amp;"!A:A"),"总价",INDIRECT("'"&amp;AN6&amp;"'"&amp;"!B:B"))</f>
        <v>263.73759999999999</v>
      </c>
      <c r="AP6" s="1588">
        <f>IF(C6="住宅",K6*L6,0)</f>
        <v>174720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1</v>
      </c>
      <c r="H16" s="84">
        <f>ROUND(SUMPRODUCT(H6:H13,K6:K13)/SUMPRODUCT((H6:H13&gt;0)*(K6:K13)),3)</f>
        <v>0.03</v>
      </c>
      <c r="I16" s="85"/>
      <c r="J16" s="85"/>
      <c r="K16" s="86">
        <f>SUM(K6:K15)</f>
        <v>49.92</v>
      </c>
      <c r="L16" s="87">
        <f>ROUND(M16*10000/SUM(K6:K14),0)</f>
        <v>3405</v>
      </c>
      <c r="M16" s="87">
        <f>SUM(M6:M14)</f>
        <v>17</v>
      </c>
      <c r="N16" s="88">
        <f>ROUND(SUMPRODUCT(M6:M14,N6:N14)/M16,3)</f>
        <v>0.95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0">
        <v>2</v>
      </c>
      <c r="C20" s="2556" t="s">
        <v>2298</v>
      </c>
      <c r="D20" s="2446"/>
      <c r="E20" s="2433"/>
      <c r="F20" s="2433"/>
      <c r="G20" s="2433"/>
      <c r="H20" s="2433"/>
      <c r="I20" s="2433"/>
      <c r="J20" s="2433"/>
      <c r="K20" s="2444"/>
      <c r="L20" s="2444"/>
      <c r="M20" s="3149">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0">
        <f>B20</f>
        <v>2</v>
      </c>
      <c r="C21" s="2433"/>
      <c r="D21" s="2446"/>
      <c r="E21" s="2433"/>
      <c r="F21" s="2433"/>
      <c r="G21" s="2433"/>
      <c r="H21" s="2433"/>
      <c r="I21" s="2433"/>
      <c r="J21" s="2433"/>
      <c r="K21" s="2444"/>
      <c r="L21" s="2444"/>
      <c r="M21" s="3150">
        <f>1-(M20)/60</f>
        <v>0.91666666666666663</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0.95</v>
      </c>
      <c r="N22" s="3139">
        <f>ROUND(M21*0.3+M22*0.7,3)</f>
        <v>0.94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f>U6*(1+V6)</f>
        <v>6936</v>
      </c>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7987</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3483</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5" t="s">
        <v>3484</v>
      </c>
      <c r="D6" s="2260"/>
      <c r="E6" s="2264"/>
      <c r="F6" s="314" t="s">
        <v>2260</v>
      </c>
      <c r="G6" s="2265" t="s">
        <v>2261</v>
      </c>
      <c r="H6" s="750"/>
      <c r="I6" s="750"/>
      <c r="J6" s="750"/>
      <c r="K6" s="750"/>
      <c r="L6" s="750"/>
      <c r="M6" s="750"/>
      <c r="N6" s="750"/>
      <c r="O6" s="750"/>
      <c r="P6" s="750"/>
      <c r="Q6" s="750"/>
    </row>
    <row r="7" spans="1:29" ht="144.75" thickBot="1">
      <c r="A7" s="2243"/>
      <c r="B7" s="314" t="s">
        <v>2257</v>
      </c>
      <c r="C7" s="3155" t="s">
        <v>3486</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36">
      <c r="A9" s="2243"/>
      <c r="B9" s="314" t="s">
        <v>2264</v>
      </c>
      <c r="C9" s="3158" t="s">
        <v>3485</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周边有如园、景和园、冬晴园、百旺茉莉园等住宅小区，居住社区成熟度较好。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周边有333路、908路、909路等多条公交线路及地铁16号线西北旺站，综合评价交通便捷度较好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自然环境：百望山森林公园、中关村公园等自然景观；
综合评价环境状况较好。</v>
      </c>
      <c r="D20" s="2240"/>
      <c r="E20" s="2248"/>
      <c r="F20" s="314" t="s">
        <v>2260</v>
      </c>
      <c r="G20" s="2288" t="str">
        <f>G6</f>
        <v>估价对象所在区域基础设施水平</v>
      </c>
    </row>
    <row r="21" spans="1:17" ht="153">
      <c r="A21" s="2247"/>
      <c r="B21" s="314" t="s">
        <v>2257</v>
      </c>
      <c r="C21" s="2288" t="str">
        <f>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49.92</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45583</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355.82479999999998</v>
      </c>
      <c r="C5" s="2294" t="e">
        <f ca="1">IF(B5=D14,结果表!H102,ROUND(B5*10000/$B$1,0))</f>
        <v>#N/A</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49.92</v>
      </c>
      <c r="C14" s="2300"/>
      <c r="D14" s="2300">
        <f ca="1">ROUND(E14*B14/10000,4)</f>
        <v>355.82479999999998</v>
      </c>
      <c r="E14" s="2300">
        <f ca="1">结果表!G20</f>
        <v>71279</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28" sqref="D2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49.92</v>
      </c>
      <c r="M18" s="293">
        <f>IF(C1="",'数据-汇总表'!E3,SUMIF(项目类型,C1,'数据-汇总表'!E17:E26))</f>
        <v>49.92</v>
      </c>
    </row>
    <row r="19" spans="1:36" ht="15">
      <c r="A19" s="1628" t="s">
        <v>1290</v>
      </c>
      <c r="B19" s="1629" t="s">
        <v>1291</v>
      </c>
      <c r="C19" s="125">
        <f ca="1">SUMIF(INDIRECT("'"&amp;C4&amp;"'"&amp;"!A:A"),结果表!B19,INDIRECT("'"&amp;C4&amp;"'"&amp;"!B:B"))</f>
        <v>263.73759999999999</v>
      </c>
      <c r="D19" s="126">
        <f ca="1">SUMIF(INDIRECT("'"&amp;D4&amp;"'"&amp;"!A:A"),结果表!B19,INDIRECT("'"&amp;D4&amp;"'"&amp;"!B:B"))</f>
        <v>378.84789999999998</v>
      </c>
      <c r="E19" s="1628" t="s">
        <v>1292</v>
      </c>
      <c r="F19" s="1629" t="s">
        <v>1291</v>
      </c>
      <c r="G19" s="3162">
        <f ca="1">ROUND((G20*'数据-基础表'!I13)/10000,4)</f>
        <v>355.82479999999998</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52832</v>
      </c>
      <c r="D20" s="129">
        <f ca="1">SUMIF(INDIRECT("'"&amp;D4&amp;"'"&amp;"!A:A"),结果表!B20,INDIRECT("'"&amp;D4&amp;"'"&amp;"!B:B"))</f>
        <v>75891</v>
      </c>
      <c r="E20" s="1631"/>
      <c r="F20" s="43" t="s">
        <v>1295</v>
      </c>
      <c r="G20" s="130">
        <f ca="1">ROUND(C20*$C$18+D20*$D$18,0)</f>
        <v>71279</v>
      </c>
      <c r="H20" s="759" t="s">
        <v>1296</v>
      </c>
      <c r="I20" s="120">
        <f ca="1">G19/J20</f>
        <v>0.93638105263157889</v>
      </c>
      <c r="J20" s="683">
        <v>380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0.43645767611444097</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355.82479999999998</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49.92</v>
      </c>
      <c r="C27" s="133"/>
      <c r="D27" s="134">
        <f ca="1">ROUND(G19*10000*3%,0)</f>
        <v>106747</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69141</v>
      </c>
      <c r="D30" s="3165">
        <f ca="1">ROUND((G19*10000-D27)/10000,4)</f>
        <v>345.15010000000001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71279</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45583</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263.73759999999999</v>
      </c>
      <c r="D102" s="2366">
        <f ca="1">IF(D32="楼面单价",ROUND(D19,0),D19)</f>
        <v>378.84789999999998</v>
      </c>
      <c r="E102" s="3286"/>
      <c r="F102" s="3287"/>
      <c r="G102" s="1685" t="s">
        <v>1434</v>
      </c>
      <c r="H102" s="2335" t="e">
        <f ca="1">I118</f>
        <v>#REF!</v>
      </c>
      <c r="I102" s="120"/>
    </row>
    <row r="103" spans="1:35" ht="42.75" customHeight="1">
      <c r="A103" s="3318"/>
      <c r="B103" s="2364" t="s">
        <v>1434</v>
      </c>
      <c r="C103" s="2367">
        <f ca="1">C20</f>
        <v>52832</v>
      </c>
      <c r="D103" s="2368">
        <f ca="1">D20</f>
        <v>75891</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49.92</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11486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2300881</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7987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7987</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49.92</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49.92</v>
      </c>
      <c r="E19" s="202">
        <f>'数据-取费表'!B31</f>
        <v>200</v>
      </c>
      <c r="F19" s="222"/>
      <c r="G19" s="1712"/>
    </row>
    <row r="20" spans="1:7" s="205" customFormat="1" ht="13.5" customHeight="1">
      <c r="A20" s="246" t="s">
        <v>1493</v>
      </c>
      <c r="B20" s="201" t="s">
        <v>1494</v>
      </c>
      <c r="C20" s="223">
        <f ca="1">ROUND((C5+C19)*F20,0)</f>
        <v>160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785</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777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8</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1630</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1630</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11460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17</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49.92</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4</v>
      </c>
      <c r="D45" s="226">
        <f ca="1">C47</f>
        <v>4.0000000000000001E-3</v>
      </c>
      <c r="E45" s="227" t="s">
        <v>1539</v>
      </c>
      <c r="F45" s="237">
        <f ca="1">F27</f>
        <v>0.2</v>
      </c>
      <c r="G45" s="238" t="s">
        <v>1548</v>
      </c>
    </row>
    <row r="46" spans="1:7" s="205" customFormat="1" ht="13.5" customHeight="1">
      <c r="A46" s="733" t="s">
        <v>346</v>
      </c>
      <c r="B46" s="239" t="s">
        <v>1549</v>
      </c>
      <c r="C46" s="240">
        <f ca="1">ROUND((C33+C39)*F27,0)</f>
        <v>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27</v>
      </c>
      <c r="D49" s="223"/>
      <c r="E49" s="223"/>
      <c r="F49" s="255"/>
      <c r="G49" s="225" t="s">
        <v>1554</v>
      </c>
    </row>
    <row r="50" spans="1:7" s="249" customFormat="1" ht="24">
      <c r="A50" s="246" t="s">
        <v>1555</v>
      </c>
      <c r="B50" s="201" t="s">
        <v>1556</v>
      </c>
      <c r="C50" s="223"/>
      <c r="D50" s="223"/>
      <c r="E50" s="223"/>
      <c r="F50" s="255">
        <f>IF('数据-取费表'!B24=0,'数据-取费表'!N16,1)</f>
        <v>0.95</v>
      </c>
      <c r="G50" s="238" t="s">
        <v>1557</v>
      </c>
    </row>
    <row r="51" spans="1:7" ht="16.5" customHeight="1">
      <c r="A51" s="246" t="s">
        <v>1558</v>
      </c>
      <c r="B51" s="201" t="s">
        <v>1559</v>
      </c>
      <c r="C51" s="223">
        <f ca="1">ROUND(C49*F50,0)</f>
        <v>26</v>
      </c>
      <c r="D51" s="223"/>
      <c r="E51" s="223"/>
      <c r="F51" s="255"/>
      <c r="G51" s="225" t="s">
        <v>1560</v>
      </c>
    </row>
    <row r="52" spans="1:7" s="199" customFormat="1" ht="16.5" thickBot="1">
      <c r="A52" s="256" t="s">
        <v>1561</v>
      </c>
      <c r="B52" s="257"/>
      <c r="C52" s="258">
        <f ca="1">C31+C51</f>
        <v>11486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9500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1903045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49.92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49.92</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-7986</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49.92</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-7986</v>
      </c>
      <c r="D21" s="766"/>
      <c r="E21" s="272"/>
      <c r="F21" s="272"/>
      <c r="G21" s="122" t="s">
        <v>1629</v>
      </c>
      <c r="H21" s="758"/>
      <c r="I21" s="758"/>
      <c r="J21" s="758"/>
      <c r="K21" s="759"/>
    </row>
    <row r="22" spans="1:33" s="754" customFormat="1" ht="13.5" customHeight="1">
      <c r="A22" s="743" t="s">
        <v>1601</v>
      </c>
      <c r="B22" s="764" t="s">
        <v>1630</v>
      </c>
      <c r="C22" s="765">
        <f ca="1">ROUND(C21*F22,0)</f>
        <v>-160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-1629</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-1629</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9500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zoomScale="90" zoomScaleNormal="70" zoomScaleSheetLayoutView="90" workbookViewId="0">
      <selection activeCell="F50" sqref="F5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70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263.73759999999999</v>
      </c>
      <c r="C2" s="1287" t="s">
        <v>879</v>
      </c>
      <c r="D2" s="1373">
        <f ca="1">C40+J29+L46</f>
        <v>2637376</v>
      </c>
      <c r="E2" s="1293" t="s">
        <v>880</v>
      </c>
      <c r="F2" s="1294"/>
      <c r="G2" s="2473"/>
      <c r="H2" s="2463"/>
      <c r="I2" s="2463"/>
      <c r="J2" s="2463"/>
      <c r="K2" s="2464"/>
      <c r="L2" s="2463"/>
      <c r="M2" s="2463"/>
    </row>
    <row r="3" spans="1:37" ht="18" customHeight="1" thickBot="1">
      <c r="A3" s="1295" t="s">
        <v>881</v>
      </c>
      <c r="B3" s="1296">
        <f ca="1">IF(ISERROR(D2/F43),0,ROUND(D2/F43,0))</f>
        <v>52832</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81702</v>
      </c>
      <c r="D5" s="1271" t="s">
        <v>889</v>
      </c>
      <c r="E5" s="1007"/>
      <c r="F5" s="1008"/>
      <c r="G5" s="1290"/>
      <c r="H5" s="290">
        <v>1</v>
      </c>
      <c r="I5" s="291" t="s">
        <v>888</v>
      </c>
      <c r="J5" s="1006">
        <f ca="1">J6+J10+J12</f>
        <v>78758</v>
      </c>
      <c r="K5" s="1271" t="s">
        <v>889</v>
      </c>
      <c r="L5" s="1007"/>
      <c r="M5" s="1008"/>
    </row>
    <row r="6" spans="1:37" ht="18" customHeight="1">
      <c r="A6" s="1005" t="s">
        <v>398</v>
      </c>
      <c r="B6" s="3378" t="s">
        <v>694</v>
      </c>
      <c r="C6" s="1010">
        <f ca="1">ROUND(F6*F8*F7*(1-F9),0)</f>
        <v>81600</v>
      </c>
      <c r="D6" s="146" t="s">
        <v>2103</v>
      </c>
      <c r="E6" s="293" t="s">
        <v>696</v>
      </c>
      <c r="F6" s="294">
        <f ca="1">INDIRECT("'数据-取费表'!u"&amp;$G$1)</f>
        <v>6800</v>
      </c>
      <c r="G6" s="1290"/>
      <c r="H6" s="1005" t="s">
        <v>398</v>
      </c>
      <c r="I6" s="3378" t="s">
        <v>694</v>
      </c>
      <c r="J6" s="292">
        <f ca="1">ROUND(M6*M8*M7*(1-M9),0)</f>
        <v>78660</v>
      </c>
      <c r="K6" s="1282" t="s">
        <v>2104</v>
      </c>
      <c r="L6" s="293" t="s">
        <v>696</v>
      </c>
      <c r="M6" s="294">
        <f ca="1">INDIRECT("'数据-取费表'!z"&amp;$G$1)</f>
        <v>6900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0.05</v>
      </c>
    </row>
    <row r="10" spans="1:37" ht="18" customHeight="1">
      <c r="A10" s="1005" t="s">
        <v>402</v>
      </c>
      <c r="B10" s="1272" t="s">
        <v>700</v>
      </c>
      <c r="C10" s="307">
        <f ca="1">ROUND(IF(F10="押一",C6/12*F11,IF(F10="押二",C6/12*2*F11,IF(F10="押三",C6/12*3*F11,C11*F11))),0)</f>
        <v>102</v>
      </c>
      <c r="D10" s="149" t="s">
        <v>2113</v>
      </c>
      <c r="E10" s="304" t="s">
        <v>701</v>
      </c>
      <c r="F10" s="1052" t="s">
        <v>3395</v>
      </c>
      <c r="G10" s="1290"/>
      <c r="H10" s="1005" t="s">
        <v>402</v>
      </c>
      <c r="I10" s="1272" t="s">
        <v>700</v>
      </c>
      <c r="J10" s="292">
        <f ca="1">ROUND(IF(M10="押一",J6/12*M11,IF(M10="押二",J6/12*2*M11,IF(M10="押三",J6/12*3*M11,J11*M11))),0)</f>
        <v>98</v>
      </c>
      <c r="K10" s="1283" t="s">
        <v>2115</v>
      </c>
      <c r="L10" s="304" t="s">
        <v>701</v>
      </c>
      <c r="M10" s="1052" t="s">
        <v>3395</v>
      </c>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264013</v>
      </c>
      <c r="D13" s="1017" t="s">
        <v>705</v>
      </c>
      <c r="E13" s="1017" t="s">
        <v>706</v>
      </c>
      <c r="F13" s="1018">
        <f ca="1">INDIRECT("'数据-取费表'!y"&amp;$G$1)</f>
        <v>0.95</v>
      </c>
      <c r="G13" s="1290"/>
      <c r="H13" s="1015">
        <v>2</v>
      </c>
      <c r="I13" s="1016" t="s">
        <v>704</v>
      </c>
      <c r="J13" s="1004">
        <f ca="1">ROUND(J14*J15,0)</f>
        <v>264013</v>
      </c>
      <c r="K13" s="1023" t="s">
        <v>705</v>
      </c>
      <c r="L13" s="1297"/>
      <c r="M13" s="1298"/>
    </row>
    <row r="14" spans="1:37" ht="18" customHeight="1">
      <c r="A14" s="927" t="s">
        <v>397</v>
      </c>
      <c r="B14" s="293" t="s">
        <v>707</v>
      </c>
      <c r="C14" s="309">
        <f ca="1">ROUND(INDIRECT("'数据-取费表'!l"&amp;$G$1)*F43+'数据-取费表'!L14*INDIRECT("'数据-取费表'!S"&amp;$G$1),0)</f>
        <v>174720</v>
      </c>
      <c r="D14" s="1255" t="s">
        <v>708</v>
      </c>
      <c r="E14" s="1253"/>
      <c r="F14" s="310"/>
      <c r="G14" s="1290"/>
      <c r="H14" s="927" t="s">
        <v>398</v>
      </c>
      <c r="I14" s="293" t="s">
        <v>709</v>
      </c>
      <c r="J14" s="21">
        <f ca="1">C29</f>
        <v>277908</v>
      </c>
      <c r="K14" s="12"/>
      <c r="L14" s="758"/>
      <c r="M14" s="759"/>
    </row>
    <row r="15" spans="1:37" s="1302" customFormat="1" ht="18" customHeight="1" thickBot="1">
      <c r="A15" s="927" t="s">
        <v>399</v>
      </c>
      <c r="B15" s="293" t="s">
        <v>710</v>
      </c>
      <c r="C15" s="21">
        <f ca="1">ROUND(C14*F15,0)</f>
        <v>5242</v>
      </c>
      <c r="D15" s="311" t="s">
        <v>711</v>
      </c>
      <c r="E15" s="311" t="s">
        <v>712</v>
      </c>
      <c r="F15" s="312">
        <f>'数据-取费表'!B33</f>
        <v>0.03</v>
      </c>
      <c r="G15" s="1301"/>
      <c r="H15" s="1025" t="s">
        <v>402</v>
      </c>
      <c r="I15" s="1026" t="s">
        <v>706</v>
      </c>
      <c r="J15" s="1035">
        <f ca="1">INDIRECT("'数据-取费表'!ad"&amp;$G$1)</f>
        <v>0.95</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8736</v>
      </c>
      <c r="D16" s="293" t="s">
        <v>711</v>
      </c>
      <c r="E16" s="293" t="s">
        <v>712</v>
      </c>
      <c r="F16" s="313">
        <f ca="1">IF(INDIRECT("'数据-取费表'!c"&amp;$G$1)="住宅",'数据-取费表'!B34,0)</f>
        <v>0.05</v>
      </c>
      <c r="G16" s="1290"/>
      <c r="H16" s="1015" t="s">
        <v>393</v>
      </c>
      <c r="I16" s="1016" t="s">
        <v>714</v>
      </c>
      <c r="J16" s="301">
        <f ca="1">ROUND(J17+J22+J23+J24,0)</f>
        <v>7094</v>
      </c>
      <c r="K16" s="1023" t="s">
        <v>715</v>
      </c>
      <c r="L16" s="1024"/>
      <c r="M16" s="1008"/>
    </row>
    <row r="17" spans="1:37" s="1302" customFormat="1" ht="18" customHeight="1">
      <c r="A17" s="927" t="s">
        <v>681</v>
      </c>
      <c r="B17" s="293" t="s">
        <v>716</v>
      </c>
      <c r="C17" s="21">
        <f ca="1">ROUND(F17*(F43+INDIRECT("'数据-取费表'!S"&amp;$G$1)),0)</f>
        <v>9984</v>
      </c>
      <c r="D17" s="293" t="s">
        <v>717</v>
      </c>
      <c r="E17" s="293" t="s">
        <v>718</v>
      </c>
      <c r="F17" s="23">
        <f>'数据-取费表'!B35</f>
        <v>200</v>
      </c>
      <c r="G17" s="1301"/>
      <c r="H17" s="927" t="s">
        <v>398</v>
      </c>
      <c r="I17" s="293" t="s">
        <v>719</v>
      </c>
      <c r="J17" s="2135">
        <f ca="1">ROUND(IF(AND(项目基本情况!B11="自然人",项目基本情况!B10="北京市"),J6*M17/(1+'数据-取费表'!C42),J18+J19+J20),0)</f>
        <v>1873</v>
      </c>
      <c r="K17" s="1255" t="s">
        <v>720</v>
      </c>
      <c r="L17" s="1254" t="s">
        <v>721</v>
      </c>
      <c r="M17" s="2134">
        <f ca="1">IF(项目基本情况!B11="企业","",IF(M47="住宅",IF(M6*M7*M8/12/(1+'数据-取费表'!F30)&gt;100000,4%,2.5%),IF(M6*M7*M8/12/(1+'数据-取费表'!F30)&gt;100000,12%,7%)))</f>
        <v>2.5000000000000001E-2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2621</v>
      </c>
      <c r="D18" s="293" t="s">
        <v>711</v>
      </c>
      <c r="E18" s="293" t="s">
        <v>712</v>
      </c>
      <c r="F18" s="313">
        <f>'数据-取费表'!B36</f>
        <v>1.4999999999999999E-2</v>
      </c>
      <c r="G18" s="1301"/>
      <c r="H18" s="927" t="s">
        <v>397</v>
      </c>
      <c r="I18" s="293" t="s">
        <v>723</v>
      </c>
      <c r="J18" s="21">
        <f ca="1">ROUND(J6*M18/(1+'数据-取费表'!C42),0)</f>
        <v>4195</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201303</v>
      </c>
      <c r="D19" s="122" t="s">
        <v>726</v>
      </c>
      <c r="E19" s="1267"/>
      <c r="F19" s="23"/>
      <c r="G19" s="1290"/>
      <c r="H19" s="927" t="s">
        <v>399</v>
      </c>
      <c r="I19" s="293" t="s">
        <v>727</v>
      </c>
      <c r="J19" s="21">
        <f ca="1">IF(K19="按租金收入计税",ROUND(J6*M19/(1+'数据-取费表'!C42),0),ROUND(C29*M19*0.7,0))</f>
        <v>8990</v>
      </c>
      <c r="K19" s="1276" t="s">
        <v>3336</v>
      </c>
      <c r="L19" s="293" t="s">
        <v>712</v>
      </c>
      <c r="M19" s="313">
        <f>IF(K19="按租金收入计税",'数据-取费表'!B51,'数据-取费表'!B50)</f>
        <v>0.12</v>
      </c>
    </row>
    <row r="20" spans="1:37" s="1302" customFormat="1" ht="18" customHeight="1">
      <c r="A20" s="927" t="s">
        <v>402</v>
      </c>
      <c r="B20" s="293" t="s">
        <v>728</v>
      </c>
      <c r="C20" s="21">
        <f ca="1">ROUND(C19*F20,0)</f>
        <v>4026</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4169</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9753</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264</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788</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71664</v>
      </c>
      <c r="K25" s="1031" t="s">
        <v>753</v>
      </c>
      <c r="L25" s="1032"/>
      <c r="M25" s="1033"/>
    </row>
    <row r="26" spans="1:37" ht="18" customHeight="1">
      <c r="A26" s="927" t="s">
        <v>397</v>
      </c>
      <c r="B26" s="293" t="s">
        <v>754</v>
      </c>
      <c r="C26" s="21">
        <f ca="1">ROUND((C19+C20)*F26,0)</f>
        <v>41066</v>
      </c>
      <c r="D26" s="314" t="s">
        <v>755</v>
      </c>
      <c r="E26" s="304" t="s">
        <v>756</v>
      </c>
      <c r="F26" s="303">
        <f ca="1">INDIRECT("'数据-取费表'!q"&amp;$G$1)</f>
        <v>0.2</v>
      </c>
      <c r="G26" s="1290"/>
      <c r="H26" s="290" t="s">
        <v>395</v>
      </c>
      <c r="I26" s="291" t="s">
        <v>757</v>
      </c>
      <c r="J26" s="292">
        <f ca="1">IF(J5&lt;&gt;0,ROUND(J25*(1-((1+M28)/(1+M26))^M27)/(M26-M28),0),0)</f>
        <v>2653518</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69.48</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277908</v>
      </c>
      <c r="D29" s="1028"/>
      <c r="E29" s="1026"/>
      <c r="F29" s="1029"/>
      <c r="G29" s="1301"/>
      <c r="H29" s="324" t="s">
        <v>396</v>
      </c>
      <c r="I29" s="325" t="s">
        <v>768</v>
      </c>
      <c r="J29" s="326">
        <f ca="1">ROUND(J26/(1+F40)^F41,0)</f>
        <v>2599948</v>
      </c>
      <c r="K29" s="327" t="s">
        <v>769</v>
      </c>
      <c r="L29" s="328"/>
      <c r="M29" s="329">
        <f ca="1">INDIRECT("'数据-取费表'!k"&amp;$G$1)</f>
        <v>49.92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7193</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1943</v>
      </c>
      <c r="D31" s="1255" t="s">
        <v>720</v>
      </c>
      <c r="E31" s="1254" t="s">
        <v>770</v>
      </c>
      <c r="F31" s="2134">
        <f ca="1">IF(项目基本情况!B11="企业","——",IF(M47="住宅",IF(F6*F7*F8/12/(1+'数据-取费表'!F30)&gt;100000,4%,2.5%),IF(F6*F7*F8/12/(1+'数据-取费表'!F30)&gt;100000,12%,7%)))</f>
        <v>2.5000000000000001E-2</v>
      </c>
      <c r="G31" s="1290"/>
      <c r="H31" s="3187"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4169</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264</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817</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74509</v>
      </c>
      <c r="D39" s="1031" t="s">
        <v>773</v>
      </c>
      <c r="E39" s="1032"/>
      <c r="F39" s="1033"/>
      <c r="G39" s="1290"/>
      <c r="H39" s="2468"/>
      <c r="I39" s="1303"/>
      <c r="J39" s="1304"/>
      <c r="K39" s="2466"/>
      <c r="L39" s="2468"/>
      <c r="M39" s="2468"/>
    </row>
    <row r="40" spans="1:18" ht="18" customHeight="1">
      <c r="A40" s="290" t="s">
        <v>395</v>
      </c>
      <c r="B40" s="291" t="s">
        <v>774</v>
      </c>
      <c r="C40" s="292">
        <f ca="1">ROUND(C39*(1-((1+F42)/(1+F40))^F41)/(F40-F42),0)</f>
        <v>37428</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0.52</v>
      </c>
      <c r="G41" s="1290"/>
      <c r="H41" s="120"/>
      <c r="I41" s="1303"/>
      <c r="J41" s="1304"/>
      <c r="K41" s="2325"/>
      <c r="L41" s="120"/>
      <c r="M41" s="120"/>
    </row>
    <row r="42" spans="1:18" ht="18" customHeight="1">
      <c r="A42" s="299"/>
      <c r="B42" s="300"/>
      <c r="C42" s="301"/>
      <c r="D42" s="318"/>
      <c r="E42" s="293" t="s">
        <v>766</v>
      </c>
      <c r="F42" s="303">
        <f ca="1">INDIRECT("'数据-取费表'!v"&amp;$G$1)</f>
        <v>0.02</v>
      </c>
      <c r="G42" s="1290"/>
      <c r="H42" s="120"/>
      <c r="I42" s="1303"/>
      <c r="J42" s="1304"/>
      <c r="K42" s="2325"/>
      <c r="L42" s="120"/>
      <c r="M42" s="120"/>
    </row>
    <row r="43" spans="1:18" ht="18" customHeight="1" thickBot="1">
      <c r="A43" s="324" t="s">
        <v>396</v>
      </c>
      <c r="B43" s="325" t="s">
        <v>776</v>
      </c>
      <c r="C43" s="326">
        <f ca="1">ROUND(C40/F43,0)</f>
        <v>750</v>
      </c>
      <c r="D43" s="327" t="s">
        <v>777</v>
      </c>
      <c r="E43" s="328" t="s">
        <v>778</v>
      </c>
      <c r="F43" s="329">
        <f ca="1">INDIRECT("'数据-取费表'!k"&amp;$G$1)</f>
        <v>49.92</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-3.9655</v>
      </c>
      <c r="D45" s="3124" t="s">
        <v>3353</v>
      </c>
      <c r="E45" s="1305"/>
      <c r="F45" s="1305"/>
      <c r="O45" s="1308" t="s">
        <v>808</v>
      </c>
      <c r="P45" s="1364"/>
      <c r="Q45" s="1364"/>
      <c r="R45" s="1364"/>
    </row>
    <row r="46" spans="1:18" s="1290" customFormat="1" ht="13.5" thickBot="1">
      <c r="A46" s="1309" t="s">
        <v>809</v>
      </c>
      <c r="C46" s="1310">
        <f ca="1">ROUND(C45,0)</f>
        <v>-4</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2637376</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70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277908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1359037</v>
      </c>
      <c r="M51" s="1339"/>
      <c r="O51" s="1332" t="s">
        <v>407</v>
      </c>
      <c r="P51" s="1324" t="s">
        <v>831</v>
      </c>
      <c r="Q51" s="1335">
        <f>J52</f>
        <v>5.5E-2</v>
      </c>
      <c r="R51" s="1325"/>
    </row>
    <row r="52" spans="1:18" s="1290" customFormat="1" ht="13.5" thickBot="1">
      <c r="A52" s="922"/>
      <c r="B52" s="924"/>
      <c r="C52" s="925"/>
      <c r="D52" s="898"/>
      <c r="E52" s="926" t="s">
        <v>699</v>
      </c>
      <c r="F52" s="990">
        <f ca="1">M9</f>
        <v>0.05</v>
      </c>
      <c r="I52" s="1340" t="s">
        <v>832</v>
      </c>
      <c r="J52" s="1341">
        <v>5.5E-2</v>
      </c>
      <c r="K52" s="1340" t="s">
        <v>833</v>
      </c>
      <c r="L52" s="1341"/>
      <c r="O52" s="1332" t="s">
        <v>408</v>
      </c>
      <c r="P52" s="1324" t="s">
        <v>834</v>
      </c>
      <c r="Q52" s="1325">
        <f ca="1">J53</f>
        <v>70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t="s">
        <v>3395</v>
      </c>
      <c r="I53" s="1342" t="s">
        <v>836</v>
      </c>
      <c r="J53" s="2001">
        <f ca="1">IF(M47="住宅",IF(D1="——",MAX(J51,L48),MAX(J51,L48-'数据-取费表'!B24)),IF(D1="——",MIN(J51,L48),MIN(J51,L48-'数据-取费表'!B24)))</f>
        <v>70</v>
      </c>
      <c r="K53" s="3376" t="s">
        <v>837</v>
      </c>
      <c r="L53" s="3377"/>
      <c r="O53" s="1323" t="s">
        <v>409</v>
      </c>
      <c r="P53" s="1324" t="s">
        <v>838</v>
      </c>
      <c r="Q53" s="1325">
        <f ca="1">Q47+Q48</f>
        <v>2637376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264013</v>
      </c>
      <c r="D56" s="1350"/>
      <c r="E56" s="1351"/>
      <c r="F56" s="1343"/>
      <c r="I56" s="1352" t="s">
        <v>842</v>
      </c>
      <c r="J56" s="1353" t="s">
        <v>3398</v>
      </c>
      <c r="K56" s="1326" t="s">
        <v>843</v>
      </c>
      <c r="L56" s="1329">
        <f ca="1">IF(L48&lt;J51,"——",L48-J51)</f>
        <v>33</v>
      </c>
      <c r="O56" s="1323" t="s">
        <v>403</v>
      </c>
      <c r="P56" s="1324" t="s">
        <v>817</v>
      </c>
      <c r="Q56" s="1325">
        <f ca="1">C40+J29</f>
        <v>2637376</v>
      </c>
      <c r="R56" s="1325" t="s">
        <v>818</v>
      </c>
    </row>
    <row r="57" spans="1:18" s="1290" customFormat="1" ht="24.75" thickBot="1">
      <c r="A57" s="1354"/>
      <c r="B57" s="895" t="s">
        <v>767</v>
      </c>
      <c r="C57" s="229">
        <f ca="1">C29</f>
        <v>277908</v>
      </c>
      <c r="D57" s="1355"/>
      <c r="E57" s="1356"/>
      <c r="F57" s="1357"/>
      <c r="I57" s="1358" t="s">
        <v>844</v>
      </c>
      <c r="J57" s="1359" t="str">
        <f ca="1">IF(OR(M47="住宅",J51&lt;L48,J56="是"),"——",J51-L48)</f>
        <v>——</v>
      </c>
      <c r="K57" s="1326" t="s">
        <v>892</v>
      </c>
      <c r="L57" s="1329">
        <f ca="1">IF(L48&lt;J51,"——",IF(L55="比较法",L49,IF(L55="基准地价",L50,L51)))</f>
        <v>1359037</v>
      </c>
      <c r="O57" s="1323" t="s">
        <v>404</v>
      </c>
      <c r="P57" s="1324" t="s">
        <v>893</v>
      </c>
      <c r="Q57" s="1325">
        <f ca="1">L60</f>
        <v>0</v>
      </c>
      <c r="R57" s="1325" t="s">
        <v>894</v>
      </c>
    </row>
    <row r="58" spans="1:18" s="1290" customFormat="1" ht="24.75" thickBot="1">
      <c r="A58" s="306" t="s">
        <v>393</v>
      </c>
      <c r="B58" s="903" t="s">
        <v>714</v>
      </c>
      <c r="C58" s="307">
        <f ca="1">ROUND(C59+C64+C65+C66,0)</f>
        <v>4433</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IF(项目基本情况!B11="企业","——",IF(M47="住宅",IF(F49*F50*F51/12/(1+'数据-取费表'!F30)&gt;100000,4%,2.5%),IF(F49*F50*F51/12/(1+'数据-取费表'!F30)&gt;100000,12%,7%)))</f>
        <v>2.5000000000000001E-2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2637376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4169</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264</v>
      </c>
      <c r="D65" s="909" t="s">
        <v>743</v>
      </c>
      <c r="E65" s="895" t="s">
        <v>744</v>
      </c>
      <c r="F65" s="320">
        <f t="shared" ca="1" si="0"/>
        <v>1E-3</v>
      </c>
      <c r="I65" s="1365" t="s">
        <v>867</v>
      </c>
      <c r="J65" s="609">
        <v>40</v>
      </c>
      <c r="K65" s="609">
        <v>30</v>
      </c>
      <c r="L65" s="609">
        <v>50</v>
      </c>
      <c r="M65" s="1367">
        <v>0.02</v>
      </c>
      <c r="O65" s="1323" t="s">
        <v>403</v>
      </c>
      <c r="P65" s="1324" t="s">
        <v>868</v>
      </c>
      <c r="Q65" s="1325">
        <f ca="1">C40+J29</f>
        <v>2637376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-4433</v>
      </c>
      <c r="D67" s="908" t="s">
        <v>753</v>
      </c>
      <c r="E67" s="913"/>
      <c r="F67" s="914"/>
      <c r="O67" s="1332" t="s">
        <v>405</v>
      </c>
      <c r="P67" s="1324" t="s">
        <v>850</v>
      </c>
      <c r="Q67" s="1368">
        <f ca="1">L51</f>
        <v>1359037</v>
      </c>
      <c r="R67" s="1325" t="s">
        <v>870</v>
      </c>
    </row>
    <row r="68" spans="1:18" s="1290" customFormat="1" ht="16.5" thickBot="1">
      <c r="A68" s="892" t="s">
        <v>395</v>
      </c>
      <c r="B68" s="893" t="s">
        <v>774</v>
      </c>
      <c r="C68" s="292">
        <f ca="1">ROUND(C67*(1-((1+F70)/(1+F68))^F69)/(F68-F70),0)</f>
        <v>-2227</v>
      </c>
      <c r="D68" s="910" t="s">
        <v>758</v>
      </c>
      <c r="E68" s="895" t="s">
        <v>759</v>
      </c>
      <c r="F68" s="303">
        <f ca="1">F40</f>
        <v>0.04</v>
      </c>
      <c r="O68" s="1332" t="s">
        <v>406</v>
      </c>
      <c r="P68" s="1369" t="s">
        <v>871</v>
      </c>
      <c r="Q68" s="1325">
        <f ca="1">ROUND(Q69-Q70*Q71,0)</f>
        <v>61308</v>
      </c>
      <c r="R68" s="1325" t="s">
        <v>414</v>
      </c>
    </row>
    <row r="69" spans="1:18" s="1290" customFormat="1" ht="13.5" thickBot="1">
      <c r="A69" s="896"/>
      <c r="B69" s="897"/>
      <c r="C69" s="297"/>
      <c r="D69" s="915" t="s">
        <v>762</v>
      </c>
      <c r="E69" s="895" t="s">
        <v>763</v>
      </c>
      <c r="F69" s="323">
        <f ca="1">F41</f>
        <v>0.52</v>
      </c>
      <c r="O69" s="1332" t="s">
        <v>411</v>
      </c>
      <c r="P69" s="1369" t="s">
        <v>872</v>
      </c>
      <c r="Q69" s="1325">
        <f ca="1">C39</f>
        <v>74509</v>
      </c>
      <c r="R69" s="1325" t="s">
        <v>818</v>
      </c>
    </row>
    <row r="70" spans="1:18" s="1290" customFormat="1" ht="13.5" thickBot="1">
      <c r="A70" s="899"/>
      <c r="B70" s="900"/>
      <c r="C70" s="301"/>
      <c r="D70" s="911"/>
      <c r="E70" s="895" t="s">
        <v>766</v>
      </c>
      <c r="F70" s="990">
        <f ca="1">M28</f>
        <v>0.02</v>
      </c>
      <c r="O70" s="1332" t="s">
        <v>412</v>
      </c>
      <c r="P70" s="1369" t="s">
        <v>873</v>
      </c>
      <c r="Q70" s="1325">
        <f ca="1">C13</f>
        <v>264013</v>
      </c>
      <c r="R70" s="1325" t="s">
        <v>818</v>
      </c>
    </row>
    <row r="71" spans="1:18" s="1290" customFormat="1" ht="13.5" thickBot="1">
      <c r="A71" s="916" t="s">
        <v>396</v>
      </c>
      <c r="B71" s="917" t="s">
        <v>776</v>
      </c>
      <c r="C71" s="326">
        <f ca="1">ROUND(C68/F71,0)</f>
        <v>-45</v>
      </c>
      <c r="D71" s="918" t="s">
        <v>777</v>
      </c>
      <c r="E71" s="919" t="s">
        <v>778</v>
      </c>
      <c r="F71" s="329">
        <f ca="1">F43</f>
        <v>49.92</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13201</v>
      </c>
      <c r="D75" s="1290"/>
      <c r="E75" s="1290"/>
      <c r="F75" s="1290"/>
      <c r="K75" s="1307"/>
      <c r="L75" s="1290"/>
      <c r="O75" s="1323" t="s">
        <v>409</v>
      </c>
      <c r="P75" s="1324" t="s">
        <v>838</v>
      </c>
      <c r="Q75" s="1325">
        <f ca="1">Q65+Q66</f>
        <v>2637376</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0.82299999999999995</v>
      </c>
    </row>
    <row r="80" spans="1:18">
      <c r="B80" s="330" t="s">
        <v>800</v>
      </c>
      <c r="C80" s="265">
        <f ca="1">ROUND(C75/C39,3)</f>
        <v>0.17699999999999999</v>
      </c>
    </row>
    <row r="81" spans="2:3">
      <c r="B81" s="261" t="s">
        <v>801</v>
      </c>
      <c r="C81" s="229"/>
    </row>
    <row r="82" spans="2:3">
      <c r="B82" s="264" t="s">
        <v>802</v>
      </c>
      <c r="C82" s="266">
        <f ca="1">1-C83</f>
        <v>-6.0540000000000003</v>
      </c>
    </row>
    <row r="83" spans="2:3">
      <c r="B83" s="264" t="s">
        <v>803</v>
      </c>
      <c r="C83" s="265">
        <f ca="1">ROUND(C13/C40,3)</f>
        <v>7.0540000000000003</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263.73759999999999</v>
      </c>
      <c r="C2" s="1727" t="s">
        <v>1651</v>
      </c>
      <c r="D2" s="1728" t="s">
        <v>1652</v>
      </c>
      <c r="E2" s="2387">
        <f>SUM(E6:E13)</f>
        <v>49.92</v>
      </c>
      <c r="F2" s="2474"/>
      <c r="G2" s="458"/>
      <c r="H2" s="458"/>
      <c r="I2" s="458"/>
      <c r="J2" s="458"/>
      <c r="K2" s="458"/>
      <c r="L2" s="458"/>
      <c r="M2" s="458"/>
      <c r="N2" s="458"/>
      <c r="O2" s="458"/>
      <c r="P2" s="458"/>
      <c r="Q2" s="458"/>
      <c r="R2" s="458"/>
      <c r="S2" s="458"/>
    </row>
    <row r="3" spans="1:22" ht="15.75">
      <c r="A3" s="1726" t="s">
        <v>686</v>
      </c>
      <c r="B3" s="2381">
        <f ca="1">ROUND(B2*10000/E2,0)</f>
        <v>52832</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263.73759999999999</v>
      </c>
      <c r="C6" s="1727" t="s">
        <v>1651</v>
      </c>
      <c r="D6" s="2474"/>
      <c r="E6" s="2386">
        <f>IF(OR(A6=0,F6="否"),0,'数据-取费表'!K6+'数据-取费表'!S6)</f>
        <v>49.92</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A18" sqref="A18:XFD1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378.84789999999998</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75891</v>
      </c>
      <c r="C3" s="343" t="s">
        <v>1665</v>
      </c>
      <c r="D3" s="342">
        <f>IF(D1="",'数据-汇总表'!E3,SUMIF('数据-汇总表'!$C19:$C33,D1,'数据-汇总表'!$E19:$E33))</f>
        <v>49.92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芳怡园</v>
      </c>
      <c r="F5" s="3412"/>
      <c r="G5" s="3417" t="str">
        <f>案例!C3</f>
        <v>芳怡园</v>
      </c>
      <c r="H5" s="3414"/>
      <c r="I5" s="3417" t="str">
        <f>案例!C4</f>
        <v>芳怡园</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f>案例!L2</f>
        <v>45576</v>
      </c>
      <c r="F7" s="356">
        <f>SUMIF(58:58,YEAR(E7)&amp;"-"&amp;MONTH(E7),59:59)</f>
        <v>100</v>
      </c>
      <c r="G7" s="355">
        <f>案例!L3</f>
        <v>45499</v>
      </c>
      <c r="H7" s="354">
        <f>SUMIF(58:58,YEAR(G7)&amp;"-"&amp;MONTH(G7),59:59)</f>
        <v>101</v>
      </c>
      <c r="I7" s="355">
        <f>案例!L4</f>
        <v>45493</v>
      </c>
      <c r="J7" s="354">
        <f>SUMIF(58:58,YEAR(I7)&amp;"-"&amp;MONTH(I7),59:59)</f>
        <v>101</v>
      </c>
      <c r="K7" s="3175"/>
      <c r="L7" s="2483"/>
      <c r="M7" s="2434"/>
      <c r="N7" s="2434"/>
      <c r="O7" s="2434"/>
      <c r="P7" s="3405" t="s">
        <v>1680</v>
      </c>
      <c r="Q7" s="3434"/>
      <c r="R7" s="663" t="s">
        <v>20</v>
      </c>
      <c r="S7" s="664">
        <f t="shared" ref="S7:S15" si="0">F7</f>
        <v>100</v>
      </c>
      <c r="T7" s="663" t="s">
        <v>20</v>
      </c>
      <c r="U7" s="664">
        <f t="shared" ref="U7:U15" si="1">H7</f>
        <v>101</v>
      </c>
      <c r="V7" s="663" t="s">
        <v>20</v>
      </c>
      <c r="W7" s="664">
        <f t="shared" ref="W7:W15" si="2">J7</f>
        <v>101</v>
      </c>
      <c r="X7" s="665"/>
      <c r="Y7" s="3405" t="s">
        <v>1680</v>
      </c>
      <c r="Z7" s="3406"/>
      <c r="AA7" s="50">
        <f>D7/F7</f>
        <v>1</v>
      </c>
      <c r="AB7" s="50">
        <f>D7/H7</f>
        <v>0.99009900990099009</v>
      </c>
      <c r="AC7" s="50">
        <f>D7/J7</f>
        <v>0.99009900990099009</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3" t="s">
        <v>3453</v>
      </c>
      <c r="C10" s="3179" t="s">
        <v>3455</v>
      </c>
      <c r="D10" s="118">
        <v>100</v>
      </c>
      <c r="E10" s="3176" t="s">
        <v>3454</v>
      </c>
      <c r="F10" s="363">
        <f>SUMIF(65:65,E10,66:66)-SUMIF(65:65,C10,66:66)+100</f>
        <v>100</v>
      </c>
      <c r="G10" s="3176" t="s">
        <v>3454</v>
      </c>
      <c r="H10" s="118">
        <f>SUMIF(65:65,G10,66:66)-SUMIF(65:65,C10,66:66)+100</f>
        <v>100</v>
      </c>
      <c r="I10" s="3176" t="s">
        <v>3454</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周边有如园、景和园、冬晴园、百旺茉莉园等住宅小区，居住社区成熟度较好。</v>
      </c>
      <c r="D15" s="379">
        <v>100</v>
      </c>
      <c r="E15" s="3156" t="str">
        <f>估价对象房地状况!C3</f>
        <v>周边有如园、景和园、冬晴园、百旺茉莉园等住宅小区，居住社区成熟度较好。</v>
      </c>
      <c r="F15" s="379">
        <f>SUMIF(76:76,E16,77:77)-SUMIF(76:76,C16,77:77)+100</f>
        <v>100</v>
      </c>
      <c r="G15" s="3156" t="str">
        <f>C15</f>
        <v>周边有如园、景和园、冬晴园、百旺茉莉园等住宅小区，居住社区成熟度较好。</v>
      </c>
      <c r="H15" s="379">
        <f>SUMIF(76:76,G16,77:77)-SUMIF(76:76,C16,77:77)+100</f>
        <v>100</v>
      </c>
      <c r="I15" s="3156" t="str">
        <f>G15</f>
        <v>周边有如园、景和园、冬晴园、百旺茉莉园等住宅小区，居住社区成熟度较好。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周边有333路、908路、909路等多条公交线路及地铁16号线西北旺站，综合评价交通便捷度较好</v>
      </c>
      <c r="D17" s="388">
        <v>100</v>
      </c>
      <c r="E17" s="3169" t="str">
        <f>C17</f>
        <v>周边有333路、908路、909路等多条公交线路及地铁16号线西北旺站，综合评价交通便捷度较好</v>
      </c>
      <c r="F17" s="388">
        <f>SUMIF(78:78,E18,79:79)-SUMIF(78:78,C18,79:79)+100</f>
        <v>100</v>
      </c>
      <c r="G17" s="3169" t="str">
        <f>E17</f>
        <v>周边有333路、908路、909路等多条公交线路及地铁16号线西北旺站，综合评价交通便捷度较好</v>
      </c>
      <c r="H17" s="393">
        <f>SUMIF(78:78,G18,79:79)-SUMIF(78:78,C18,79:79)+100</f>
        <v>100</v>
      </c>
      <c r="I17" s="3170" t="str">
        <f>E17</f>
        <v>周边有333路、908路、909路等多条公交线路及地铁16号线西北旺站，综合评价交通便捷度较好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171" t="s">
        <v>3487</v>
      </c>
      <c r="F19" s="393">
        <f>SUMIF(80:80,E20,81:81)-SUMIF(80:80,C20,81:81)+100</f>
        <v>100</v>
      </c>
      <c r="G19" s="3171" t="s">
        <v>3487</v>
      </c>
      <c r="H19" s="388">
        <f>SUMIF(80:80,G20,81:81)-SUMIF(80:80,C20,81:81)+100</f>
        <v>100</v>
      </c>
      <c r="I19" s="3171" t="s">
        <v>3487</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71.25">
      <c r="A23" s="366"/>
      <c r="B23" s="389" t="s">
        <v>1261</v>
      </c>
      <c r="C23" s="1751" t="str">
        <f>估价对象房地状况!C9</f>
        <v>自然环境：百望山森林公园、中关村公园等自然景观；
综合评价环境状况较好。</v>
      </c>
      <c r="D23" s="388">
        <v>100</v>
      </c>
      <c r="E23" s="3170" t="str">
        <f>C23</f>
        <v>自然环境：百望山森林公园、中关村公园等自然景观；
综合评价环境状况较好。</v>
      </c>
      <c r="F23" s="388">
        <f>SUMIF(84:84,E24,85:85)-SUMIF(84:84,C24,85:85)+100</f>
        <v>100</v>
      </c>
      <c r="G23" s="3170" t="str">
        <f>C23</f>
        <v>自然环境：百望山森林公园、中关村公园等自然景观；
综合评价环境状况较好。</v>
      </c>
      <c r="H23" s="388">
        <f>SUMIF(84:84,G24,85:85)-SUMIF(84:84,C24,85:85)+100</f>
        <v>100</v>
      </c>
      <c r="I23" s="3170" t="str">
        <f>C23</f>
        <v>自然环境：百望山森林公园、中关村公园等自然景观；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3488</v>
      </c>
      <c r="D26" s="373">
        <v>100</v>
      </c>
      <c r="E26" s="1757" t="s">
        <v>3481</v>
      </c>
      <c r="F26" s="373">
        <f>SUMIF(88:88,E26,89:89)-SUMIF(88:88,C26,89:89)+100</f>
        <v>102.5</v>
      </c>
      <c r="G26" s="1757" t="s">
        <v>3481</v>
      </c>
      <c r="H26" s="373">
        <f>SUMIF(88:88,G26,89:89)-SUMIF(88:88,C26,89:89)+100</f>
        <v>102.5</v>
      </c>
      <c r="I26" s="1758" t="s">
        <v>3482</v>
      </c>
      <c r="J26" s="373">
        <f>SUMIF(88:88,I26,89:89)-SUMIF(88:88,C26,89:89)+100</f>
        <v>103</v>
      </c>
      <c r="K26" s="364">
        <v>0.5</v>
      </c>
      <c r="L26" s="2487"/>
      <c r="M26" s="2482"/>
      <c r="N26" s="2482"/>
      <c r="O26" s="2482"/>
      <c r="P26" s="3447"/>
      <c r="Q26" s="1261" t="str">
        <f t="shared" si="8"/>
        <v>朝向</v>
      </c>
      <c r="R26" s="666" t="s">
        <v>18</v>
      </c>
      <c r="S26" s="667">
        <f t="shared" si="9"/>
        <v>102.5</v>
      </c>
      <c r="T26" s="666" t="s">
        <v>18</v>
      </c>
      <c r="U26" s="667">
        <f t="shared" si="10"/>
        <v>102.5</v>
      </c>
      <c r="V26" s="666" t="s">
        <v>18</v>
      </c>
      <c r="W26" s="667">
        <f t="shared" si="11"/>
        <v>103</v>
      </c>
      <c r="X26" s="1263"/>
      <c r="Y26" s="3440"/>
      <c r="Z26" s="1262" t="str">
        <f>Q26</f>
        <v>朝向</v>
      </c>
      <c r="AA26" s="1262">
        <f t="shared" si="12"/>
        <v>0.97560975609756095</v>
      </c>
      <c r="AB26" s="1262">
        <f t="shared" si="13"/>
        <v>0.97560975609756095</v>
      </c>
      <c r="AC26" s="1262">
        <f t="shared" si="14"/>
        <v>0.970873786407767</v>
      </c>
    </row>
    <row r="27" spans="1:29" s="101" customFormat="1" ht="15">
      <c r="A27" s="369"/>
      <c r="B27" s="3141" t="s">
        <v>3392</v>
      </c>
      <c r="C27" s="3172" t="s">
        <v>3459</v>
      </c>
      <c r="D27" s="400">
        <v>100</v>
      </c>
      <c r="E27" s="3172" t="s">
        <v>3459</v>
      </c>
      <c r="F27" s="400">
        <f>C91</f>
        <v>100</v>
      </c>
      <c r="G27" s="3172" t="s">
        <v>3475</v>
      </c>
      <c r="H27" s="400">
        <f>D91</f>
        <v>97</v>
      </c>
      <c r="I27" s="3172" t="s">
        <v>3459</v>
      </c>
      <c r="J27" s="400">
        <f>F27</f>
        <v>100</v>
      </c>
      <c r="K27" s="1745"/>
      <c r="L27" s="2483"/>
      <c r="M27" s="2434"/>
      <c r="N27" s="2434"/>
      <c r="O27" s="2434"/>
      <c r="P27" s="3447"/>
      <c r="Q27" s="529" t="str">
        <f t="shared" si="8"/>
        <v>楼层</v>
      </c>
      <c r="R27" s="663" t="s">
        <v>18</v>
      </c>
      <c r="S27" s="664">
        <f t="shared" si="9"/>
        <v>100</v>
      </c>
      <c r="T27" s="663" t="s">
        <v>18</v>
      </c>
      <c r="U27" s="664">
        <f t="shared" si="10"/>
        <v>97</v>
      </c>
      <c r="V27" s="663" t="s">
        <v>18</v>
      </c>
      <c r="W27" s="664">
        <f t="shared" si="11"/>
        <v>100</v>
      </c>
      <c r="X27" s="665"/>
      <c r="Y27" s="3440"/>
      <c r="Z27" s="50" t="str">
        <f>Q27</f>
        <v>楼层</v>
      </c>
      <c r="AA27" s="1262">
        <f t="shared" si="12"/>
        <v>1</v>
      </c>
      <c r="AB27" s="1262">
        <f t="shared" si="13"/>
        <v>1.0309278350515463</v>
      </c>
      <c r="AC27" s="1262">
        <f t="shared" si="14"/>
        <v>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172" t="s">
        <v>3489</v>
      </c>
      <c r="D29" s="373">
        <v>100</v>
      </c>
      <c r="E29" s="3172" t="s">
        <v>3489</v>
      </c>
      <c r="F29" s="373">
        <f>SUMIF(94:94,E29,95:95)-SUMIF(94:94,C29,95:95)+100</f>
        <v>100</v>
      </c>
      <c r="G29" s="3172" t="s">
        <v>3490</v>
      </c>
      <c r="H29" s="373">
        <f>SUMIF(94:94,G29,95:95)-SUMIF(94:94,C29,95:95)+100</f>
        <v>100</v>
      </c>
      <c r="I29" s="3172" t="s">
        <v>3491</v>
      </c>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8" t="s">
        <v>3492</v>
      </c>
      <c r="D32" s="404">
        <v>100</v>
      </c>
      <c r="E32" s="3168" t="s">
        <v>3492</v>
      </c>
      <c r="F32" s="399">
        <f>SUMIF(100:100,E32,101:101)-SUMIF(100:100,C32,101:101)+100</f>
        <v>100</v>
      </c>
      <c r="G32" s="3168" t="s">
        <v>3492</v>
      </c>
      <c r="H32" s="404">
        <f>SUMIF(100:100,G32,101:101)-SUMIF(100:100,C32,101:101)+100</f>
        <v>100</v>
      </c>
      <c r="I32" s="3168" t="s">
        <v>3492</v>
      </c>
      <c r="J32" s="373">
        <f>SUMIF(100:100,I32,101:101)-SUMIF(100:100,C32,101:101)+100</f>
        <v>100</v>
      </c>
      <c r="K32" s="364">
        <v>2</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49.92</v>
      </c>
      <c r="D33" s="118">
        <v>100</v>
      </c>
      <c r="E33" s="3168">
        <f>案例!$E$2</f>
        <v>81.12</v>
      </c>
      <c r="F33" s="399">
        <f>G104</f>
        <v>92</v>
      </c>
      <c r="G33" s="3168">
        <f>案例!$E$3</f>
        <v>49.66</v>
      </c>
      <c r="H33" s="404">
        <f>C104</f>
        <v>100</v>
      </c>
      <c r="I33" s="1761">
        <f>案例!$E$4</f>
        <v>70.5</v>
      </c>
      <c r="J33" s="3166">
        <f>F104</f>
        <v>94</v>
      </c>
      <c r="K33" s="1745"/>
      <c r="L33" s="2486"/>
      <c r="M33" s="2488"/>
      <c r="N33" s="2488"/>
      <c r="O33" s="2488"/>
      <c r="P33" s="3442"/>
      <c r="Q33" s="530" t="str">
        <f t="shared" si="8"/>
        <v>项目建筑规模</v>
      </c>
      <c r="R33" s="668" t="s">
        <v>18</v>
      </c>
      <c r="S33" s="669">
        <f t="shared" si="9"/>
        <v>92</v>
      </c>
      <c r="T33" s="668" t="s">
        <v>18</v>
      </c>
      <c r="U33" s="669">
        <f t="shared" si="10"/>
        <v>100</v>
      </c>
      <c r="V33" s="668" t="s">
        <v>18</v>
      </c>
      <c r="W33" s="669">
        <f t="shared" si="11"/>
        <v>94</v>
      </c>
      <c r="X33" s="670"/>
      <c r="Y33" s="3444"/>
      <c r="Z33" s="671" t="str">
        <f t="shared" si="15"/>
        <v>项目建筑规模</v>
      </c>
      <c r="AA33" s="1262">
        <f t="shared" si="12"/>
        <v>1.0869565217391304</v>
      </c>
      <c r="AB33" s="1262">
        <f t="shared" si="13"/>
        <v>1</v>
      </c>
      <c r="AC33" s="1262">
        <f t="shared" si="14"/>
        <v>1.0638297872340425</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3185" t="s">
        <v>3464</v>
      </c>
      <c r="D36" s="373">
        <v>100</v>
      </c>
      <c r="E36" s="3185" t="s">
        <v>3464</v>
      </c>
      <c r="F36" s="399">
        <f>SUMIF(109:109,E36,110:110)-SUMIF(109:109,C36,110:110)+100</f>
        <v>100</v>
      </c>
      <c r="G36" s="3185" t="s">
        <v>3464</v>
      </c>
      <c r="H36" s="373">
        <f>SUMIF(109:109,G36,110:110)-SUMIF(109:109,C36,110:110)+100</f>
        <v>100</v>
      </c>
      <c r="I36" s="3185" t="s">
        <v>3464</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3" t="s">
        <v>3451</v>
      </c>
      <c r="C37" s="3174">
        <v>2019</v>
      </c>
      <c r="D37" s="118">
        <v>100</v>
      </c>
      <c r="E37" s="3174">
        <f>案例!I2</f>
        <v>2019</v>
      </c>
      <c r="F37" s="118">
        <f>H37</f>
        <v>100</v>
      </c>
      <c r="G37" s="3174">
        <f>案例!I3</f>
        <v>2019</v>
      </c>
      <c r="H37" s="118">
        <f>LOOKUP(G37,112:112,113:113)-LOOKUP(C37,112:112,113:113)+100</f>
        <v>100</v>
      </c>
      <c r="I37" s="3174">
        <f>案例!I4</f>
        <v>2019</v>
      </c>
      <c r="J37" s="118">
        <f>LOOKUP(I37,112:112,113:113)-LOOKUP(E37,112:112,113:113)+100</f>
        <v>100</v>
      </c>
      <c r="K37" s="364">
        <v>0.5</v>
      </c>
      <c r="L37" s="2483"/>
      <c r="M37" s="2434"/>
      <c r="N37" s="2434"/>
      <c r="O37" s="2434"/>
      <c r="P37" s="3442"/>
      <c r="Q37" s="529" t="str">
        <f t="shared" si="8"/>
        <v>建成年代</v>
      </c>
      <c r="R37" s="663" t="s">
        <v>18</v>
      </c>
      <c r="S37" s="664">
        <f t="shared" si="9"/>
        <v>100</v>
      </c>
      <c r="T37" s="663" t="s">
        <v>18</v>
      </c>
      <c r="U37" s="664">
        <f t="shared" si="10"/>
        <v>100</v>
      </c>
      <c r="V37" s="663" t="s">
        <v>18</v>
      </c>
      <c r="W37" s="664">
        <f t="shared" si="11"/>
        <v>100</v>
      </c>
      <c r="X37" s="665"/>
      <c r="Y37" s="3444"/>
      <c r="Z37" s="50" t="str">
        <f t="shared" si="15"/>
        <v>建成年代</v>
      </c>
      <c r="AA37" s="50">
        <f t="shared" si="12"/>
        <v>1</v>
      </c>
      <c r="AB37" s="50">
        <f t="shared" si="13"/>
        <v>1</v>
      </c>
      <c r="AC37" s="50">
        <f t="shared" si="14"/>
        <v>1</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3464</v>
      </c>
      <c r="D42" s="373">
        <v>100</v>
      </c>
      <c r="E42" s="1757" t="s">
        <v>3464</v>
      </c>
      <c r="F42" s="399">
        <f>SUMIF(122:122,E42,123:123)-SUMIF(122:122,C42,123:123)+100</f>
        <v>100</v>
      </c>
      <c r="G42" s="1757" t="s">
        <v>3464</v>
      </c>
      <c r="H42" s="373">
        <f>SUMIF(122:122,G42,123:123)-SUMIF(122:122,C42,123:123)+100</f>
        <v>100</v>
      </c>
      <c r="I42" s="1757" t="s">
        <v>3464</v>
      </c>
      <c r="J42" s="373">
        <f>SUMIF(122:122,I42,123:123)-SUMIF(122:122,C42,123:123)+100</f>
        <v>100</v>
      </c>
      <c r="K42" s="364">
        <v>0.5</v>
      </c>
      <c r="L42" s="2487"/>
      <c r="M42" s="2482"/>
      <c r="N42" s="2482"/>
      <c r="O42" s="2482"/>
      <c r="P42" s="3442"/>
      <c r="Q42" s="1261" t="str">
        <f t="shared" si="8"/>
        <v>内部装修</v>
      </c>
      <c r="R42" s="666" t="s">
        <v>18</v>
      </c>
      <c r="S42" s="667">
        <f t="shared" si="9"/>
        <v>100</v>
      </c>
      <c r="T42" s="666" t="s">
        <v>18</v>
      </c>
      <c r="U42" s="667">
        <f t="shared" si="10"/>
        <v>100</v>
      </c>
      <c r="V42" s="666" t="s">
        <v>18</v>
      </c>
      <c r="W42" s="667">
        <f t="shared" si="11"/>
        <v>100</v>
      </c>
      <c r="X42" s="1263"/>
      <c r="Y42" s="3444"/>
      <c r="Z42" s="1262" t="str">
        <f t="shared" si="15"/>
        <v>内部装修</v>
      </c>
      <c r="AA42" s="1262">
        <f t="shared" si="12"/>
        <v>1</v>
      </c>
      <c r="AB42" s="1262">
        <f t="shared" si="13"/>
        <v>1</v>
      </c>
      <c r="AC42" s="1262">
        <f t="shared" si="14"/>
        <v>1</v>
      </c>
    </row>
    <row r="43" spans="1:29" ht="15" hidden="1">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hidden="1">
      <c r="A44" s="409"/>
      <c r="B44" s="3141" t="s">
        <v>3468</v>
      </c>
      <c r="C44" s="1757" t="s">
        <v>3407</v>
      </c>
      <c r="D44" s="118">
        <v>100</v>
      </c>
      <c r="E44" s="1757" t="s">
        <v>3406</v>
      </c>
      <c r="F44" s="363">
        <f>SUMIF(126:126,E44,127:127)-SUMIF(126:126,C44,127:127)+100</f>
        <v>100</v>
      </c>
      <c r="G44" s="1757" t="s">
        <v>3406</v>
      </c>
      <c r="H44" s="118">
        <f>SUMIF(126:126,G44,127:127)-SUMIF(126:126,C44,127:127)+100</f>
        <v>100</v>
      </c>
      <c r="I44" s="1757" t="s">
        <v>3406</v>
      </c>
      <c r="J44" s="118">
        <f>SUMIF(126:126,I44,127:127)-SUMIF(126:126,C44,127:127)+100</f>
        <v>100</v>
      </c>
      <c r="K44" s="1745"/>
      <c r="L44" s="2483"/>
      <c r="M44" s="2434"/>
      <c r="N44" s="2434"/>
      <c r="O44" s="2434"/>
      <c r="P44" s="3442"/>
      <c r="Q44" s="529" t="str">
        <f t="shared" si="8"/>
        <v>户型结构</v>
      </c>
      <c r="R44" s="663" t="s">
        <v>18</v>
      </c>
      <c r="S44" s="664">
        <f t="shared" si="9"/>
        <v>100</v>
      </c>
      <c r="T44" s="663" t="s">
        <v>18</v>
      </c>
      <c r="U44" s="664">
        <f t="shared" si="10"/>
        <v>100</v>
      </c>
      <c r="V44" s="663" t="s">
        <v>18</v>
      </c>
      <c r="W44" s="664">
        <f t="shared" si="11"/>
        <v>100</v>
      </c>
      <c r="X44" s="665"/>
      <c r="Y44" s="3444"/>
      <c r="Z44" s="50" t="str">
        <f t="shared" si="15"/>
        <v>户型结构</v>
      </c>
      <c r="AA44" s="50">
        <f t="shared" si="12"/>
        <v>1</v>
      </c>
      <c r="AB44" s="50">
        <f t="shared" si="13"/>
        <v>1</v>
      </c>
      <c r="AC44" s="50">
        <f t="shared" si="14"/>
        <v>1</v>
      </c>
    </row>
    <row r="45" spans="1:29" ht="15">
      <c r="A45" s="408"/>
      <c r="B45" s="3141" t="s">
        <v>3468</v>
      </c>
      <c r="C45" s="3143" t="s">
        <v>3472</v>
      </c>
      <c r="D45" s="373">
        <v>100</v>
      </c>
      <c r="E45" s="3143" t="s">
        <v>3473</v>
      </c>
      <c r="F45" s="399">
        <f>D127</f>
        <v>102</v>
      </c>
      <c r="G45" s="3143" t="s">
        <v>3472</v>
      </c>
      <c r="H45" s="373">
        <f>E127</f>
        <v>100</v>
      </c>
      <c r="I45" s="3143" t="s">
        <v>3473</v>
      </c>
      <c r="J45" s="373">
        <f>F45</f>
        <v>102</v>
      </c>
      <c r="K45" s="1745"/>
      <c r="L45" s="2487"/>
      <c r="M45" s="2482"/>
      <c r="N45" s="2482"/>
      <c r="O45" s="2482"/>
      <c r="P45" s="3442"/>
      <c r="Q45" s="1261" t="str">
        <f t="shared" si="8"/>
        <v>户型结构</v>
      </c>
      <c r="R45" s="666" t="s">
        <v>18</v>
      </c>
      <c r="S45" s="667">
        <f t="shared" si="9"/>
        <v>102</v>
      </c>
      <c r="T45" s="666" t="s">
        <v>18</v>
      </c>
      <c r="U45" s="667">
        <f t="shared" si="10"/>
        <v>100</v>
      </c>
      <c r="V45" s="666" t="s">
        <v>18</v>
      </c>
      <c r="W45" s="667">
        <f t="shared" si="11"/>
        <v>102</v>
      </c>
      <c r="X45" s="1263"/>
      <c r="Y45" s="3444"/>
      <c r="Z45" s="1262" t="str">
        <f t="shared" si="15"/>
        <v>户型结构</v>
      </c>
      <c r="AA45" s="1262">
        <f t="shared" si="12"/>
        <v>0.98039215686274506</v>
      </c>
      <c r="AB45" s="1262">
        <f t="shared" si="13"/>
        <v>1</v>
      </c>
      <c r="AC45" s="1262">
        <f t="shared" si="14"/>
        <v>0.98039215686274506</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76430</v>
      </c>
      <c r="F47" s="419"/>
      <c r="G47" s="420">
        <f>案例!$J$3</f>
        <v>72292</v>
      </c>
      <c r="H47" s="421"/>
      <c r="I47" s="418">
        <f>案例!$J$4</f>
        <v>76028</v>
      </c>
      <c r="J47" s="421"/>
      <c r="K47" s="1762"/>
      <c r="L47" s="2489"/>
      <c r="M47" s="2482"/>
      <c r="N47" s="2482"/>
      <c r="O47" s="2482"/>
      <c r="P47" s="3438" t="str">
        <f>A47</f>
        <v>成交单价（元/平方米）</v>
      </c>
      <c r="Q47" s="3438"/>
      <c r="R47" s="3433">
        <f>E47</f>
        <v>76430</v>
      </c>
      <c r="S47" s="3433"/>
      <c r="T47" s="3433">
        <f>G47</f>
        <v>72292</v>
      </c>
      <c r="U47" s="3433"/>
      <c r="V47" s="3433">
        <f>I47</f>
        <v>76028</v>
      </c>
      <c r="W47" s="3433"/>
      <c r="X47" s="384"/>
      <c r="Y47" s="672"/>
      <c r="Z47" s="384"/>
      <c r="AA47" s="384"/>
      <c r="AB47" s="384"/>
      <c r="AC47" s="384"/>
    </row>
    <row r="48" spans="1:29" ht="15.75" thickBot="1">
      <c r="A48" s="422" t="s">
        <v>1707</v>
      </c>
      <c r="B48" s="423"/>
      <c r="C48" s="1081">
        <f>R49</f>
        <v>75891</v>
      </c>
      <c r="D48" s="2136" t="s">
        <v>2135</v>
      </c>
      <c r="E48" s="1082">
        <f>R48</f>
        <v>79461</v>
      </c>
      <c r="F48" s="2137"/>
      <c r="G48" s="1081">
        <f>T48</f>
        <v>71990</v>
      </c>
      <c r="H48" s="2137"/>
      <c r="I48" s="1082">
        <f>V48</f>
        <v>76223</v>
      </c>
      <c r="J48" s="2137"/>
      <c r="K48" s="2138">
        <f>F48+H48+J48</f>
        <v>0</v>
      </c>
      <c r="L48" s="2489"/>
      <c r="M48" s="2482"/>
      <c r="N48" s="2482"/>
      <c r="O48" s="2482"/>
      <c r="P48" s="3438" t="str">
        <f>A48</f>
        <v>比较价值（元/平方米）</v>
      </c>
      <c r="Q48" s="3438"/>
      <c r="R48" s="3433">
        <f>IF(F1="售价",ROUND(PRODUCT(R47,AA7:AA46),0),ROUND(PRODUCT(R47,AA7:AA46),1))</f>
        <v>79461</v>
      </c>
      <c r="S48" s="3433"/>
      <c r="T48" s="3433">
        <f>IF(F1="售价",ROUND(PRODUCT(T47,AB7:AB46),0),ROUND(PRODUCT(T47,AB7:AB46),1))</f>
        <v>71990</v>
      </c>
      <c r="U48" s="3433"/>
      <c r="V48" s="3433">
        <f>IF(F1="售价",ROUND(PRODUCT(V47,AC7:AC46),0),ROUND(PRODUCT(V47,AC7:AC46),1))</f>
        <v>76223</v>
      </c>
      <c r="W48" s="3433"/>
      <c r="X48" s="384"/>
      <c r="Y48" s="384"/>
      <c r="Z48" s="384"/>
      <c r="AA48" s="384"/>
      <c r="AB48" s="384"/>
      <c r="AC48" s="384"/>
    </row>
    <row r="49" spans="1:29" ht="15.75" thickBot="1">
      <c r="A49" s="426" t="s">
        <v>1708</v>
      </c>
      <c r="B49" s="427"/>
      <c r="C49" s="1083">
        <f>R49</f>
        <v>75891</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75891</v>
      </c>
      <c r="S49" s="3437"/>
      <c r="T49" s="3437"/>
      <c r="U49" s="3437"/>
      <c r="V49" s="3437"/>
      <c r="W49" s="3437"/>
      <c r="X49" s="384"/>
      <c r="Y49" s="384"/>
      <c r="Z49" s="384"/>
      <c r="AA49" s="384"/>
      <c r="AB49" s="384"/>
      <c r="AC49" s="384"/>
    </row>
    <row r="50" spans="1:29">
      <c r="A50" s="2482"/>
      <c r="B50" s="2482"/>
      <c r="C50" s="2482"/>
      <c r="D50" s="2482"/>
      <c r="E50" s="2482"/>
      <c r="F50" s="2482"/>
      <c r="G50" s="3190">
        <f>G47*G33/10000</f>
        <v>359.002072</v>
      </c>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3.9657202669108882E-2</v>
      </c>
      <c r="F52" s="434" t="str">
        <f>IF(OR(E52&gt;=0.3,E52&lt;=-0.3),"超过30%","")</f>
        <v/>
      </c>
      <c r="G52" s="433">
        <f>IF(G47&lt;G48,G48/G47-1,G47/G48-1)</f>
        <v>4.1950270870954043E-3</v>
      </c>
      <c r="H52" s="434" t="str">
        <f>IF(OR(G52&gt;=0.3,G52&lt;=-0.3),"超过30%","")</f>
        <v/>
      </c>
      <c r="I52" s="433">
        <f>IF(I47&lt;I48,I48/I47-1,I47/I48-1)</f>
        <v>2.5648445309622847E-3</v>
      </c>
      <c r="J52" s="434" t="str">
        <f>IF(OR(I52&gt;=0.3,I52&lt;=-0.3),"超过30%","")</f>
        <v/>
      </c>
      <c r="K52" s="2494"/>
      <c r="L52" s="2490"/>
      <c r="M52" s="2482"/>
      <c r="N52" s="2482"/>
      <c r="O52" s="2482"/>
    </row>
    <row r="53" spans="1:29" ht="13.5" customHeight="1">
      <c r="A53" s="2482"/>
      <c r="B53" s="2482"/>
      <c r="C53" s="431" t="s">
        <v>1710</v>
      </c>
      <c r="D53" s="435"/>
      <c r="E53" s="433">
        <f>IF(E48&lt;G48,G48/E48-1,E48/G48-1)</f>
        <v>0.10377830254201981</v>
      </c>
      <c r="F53" s="434" t="str">
        <f>IF(OR(E53&gt;=0.2,E53&lt;=-0.2),"超过20%","")</f>
        <v/>
      </c>
      <c r="G53" s="433">
        <f>IF(G48&lt;I48,I48/G48-1,G48/I48-1)</f>
        <v>5.8799833310182015E-2</v>
      </c>
      <c r="H53" s="434" t="str">
        <f>IF(OR(G53&gt;=0.2,G53&lt;=-0.2),"超过20%","")</f>
        <v/>
      </c>
      <c r="I53" s="433">
        <f>IF(I48&lt;E48,E48/I48-1,I48/E48-1)</f>
        <v>4.2480616087007927E-2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5.7240081890112426E-2</v>
      </c>
      <c r="F54" s="434" t="str">
        <f>IF(OR(E54&gt;=0.3,E54&lt;=-0.3),"超过30%","")</f>
        <v/>
      </c>
      <c r="G54" s="433">
        <f>IF(G47&lt;I47,I47/G47-1,G47/I47-1)</f>
        <v>5.1679300614175805E-2</v>
      </c>
      <c r="H54" s="434" t="str">
        <f>IF(OR(G54&gt;=0.3,G54&lt;=-0.3),"超过30%","")</f>
        <v/>
      </c>
      <c r="I54" s="433">
        <f>IF(I47&lt;E47,E47/I47-1,I47/E47-1)</f>
        <v>5.2875256484452571E-3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2024-10</v>
      </c>
      <c r="D58" s="1102">
        <f>EDATE(C58,-1)</f>
        <v>45536</v>
      </c>
      <c r="E58" s="1102">
        <f>EDATE(D58,-1)</f>
        <v>45505</v>
      </c>
      <c r="F58" s="1102">
        <f t="shared" ref="F58:O58" si="16">EDATE(E58,-1)</f>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 t="shared" si="16"/>
        <v>45200</v>
      </c>
      <c r="P58" s="3144">
        <f t="shared" ref="P58:AB58" si="17">EDATE(O58,-1)</f>
        <v>45170</v>
      </c>
      <c r="Q58" s="3144">
        <f t="shared" si="17"/>
        <v>45139</v>
      </c>
      <c r="R58" s="3144">
        <f t="shared" si="17"/>
        <v>45108</v>
      </c>
      <c r="S58" s="3144">
        <f t="shared" si="17"/>
        <v>45078</v>
      </c>
      <c r="T58" s="3144">
        <f t="shared" si="17"/>
        <v>45047</v>
      </c>
      <c r="U58" s="3144">
        <f t="shared" si="17"/>
        <v>45017</v>
      </c>
      <c r="V58" s="3144">
        <f t="shared" si="17"/>
        <v>44986</v>
      </c>
      <c r="W58" s="3144">
        <f t="shared" si="17"/>
        <v>44958</v>
      </c>
      <c r="X58" s="3144">
        <f t="shared" si="17"/>
        <v>44927</v>
      </c>
      <c r="Y58" s="3144">
        <f t="shared" si="17"/>
        <v>44896</v>
      </c>
      <c r="Z58" s="3144">
        <f t="shared" si="17"/>
        <v>44866</v>
      </c>
      <c r="AA58" s="3144">
        <f t="shared" si="17"/>
        <v>44835</v>
      </c>
      <c r="AB58" s="3144">
        <f t="shared" si="17"/>
        <v>44805</v>
      </c>
    </row>
    <row r="59" spans="1:29" s="101" customFormat="1" ht="15">
      <c r="A59" s="442"/>
      <c r="B59" s="1767"/>
      <c r="C59" s="1100">
        <v>100</v>
      </c>
      <c r="D59" s="445">
        <f>C59+$C$60</f>
        <v>101</v>
      </c>
      <c r="E59" s="445">
        <f>D59</f>
        <v>101</v>
      </c>
      <c r="F59" s="445">
        <f>E59</f>
        <v>101</v>
      </c>
      <c r="G59" s="445">
        <f>F59+$C$60</f>
        <v>102</v>
      </c>
      <c r="H59" s="445">
        <f>G59</f>
        <v>102</v>
      </c>
      <c r="I59" s="445">
        <f>G59</f>
        <v>102</v>
      </c>
      <c r="J59" s="445">
        <f>I59+$C$60</f>
        <v>103</v>
      </c>
      <c r="K59" s="446">
        <f>J59</f>
        <v>103</v>
      </c>
      <c r="L59" s="446">
        <f>K59</f>
        <v>103</v>
      </c>
      <c r="M59" s="446">
        <f>L59</f>
        <v>103</v>
      </c>
      <c r="N59" s="445"/>
      <c r="O59" s="446"/>
      <c r="P59" s="446">
        <f>O59-C60</f>
        <v>-1</v>
      </c>
      <c r="Q59" s="446">
        <f>P59</f>
        <v>-1</v>
      </c>
      <c r="R59" s="101">
        <f>P59</f>
        <v>-1</v>
      </c>
      <c r="S59" s="101">
        <f>R59-C60</f>
        <v>-2</v>
      </c>
      <c r="T59" s="101">
        <f>S59</f>
        <v>-2</v>
      </c>
      <c r="U59" s="101">
        <f>T59</f>
        <v>-2</v>
      </c>
      <c r="V59" s="101">
        <f>U59-C60</f>
        <v>-3</v>
      </c>
      <c r="W59" s="101">
        <f>V59</f>
        <v>-3</v>
      </c>
      <c r="X59" s="101">
        <f>V59</f>
        <v>-3</v>
      </c>
      <c r="Y59" s="101">
        <f>X59-C60</f>
        <v>-4</v>
      </c>
      <c r="Z59" s="101">
        <f>Y59</f>
        <v>-4</v>
      </c>
      <c r="AA59" s="101">
        <f>Y59</f>
        <v>-4</v>
      </c>
      <c r="AB59" s="101">
        <f>AA59-C60</f>
        <v>-5</v>
      </c>
    </row>
    <row r="60" spans="1:29" s="101" customFormat="1" ht="15.75" thickBot="1">
      <c r="A60" s="448" t="s">
        <v>1714</v>
      </c>
      <c r="B60" s="449"/>
      <c r="C60" s="450">
        <v>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3455</v>
      </c>
      <c r="D65" s="3146" t="s">
        <v>3456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2" t="s">
        <v>3460</v>
      </c>
      <c r="D90" s="3172" t="s">
        <v>3461</v>
      </c>
      <c r="E90" s="3172" t="s">
        <v>3462</v>
      </c>
      <c r="F90" s="3172" t="s">
        <v>3467</v>
      </c>
      <c r="G90" s="3172"/>
      <c r="H90" s="3172"/>
      <c r="I90" s="485"/>
      <c r="J90" s="485"/>
      <c r="K90" s="485"/>
      <c r="L90" s="486"/>
      <c r="M90" s="487"/>
      <c r="N90" s="880"/>
      <c r="O90" s="880"/>
      <c r="P90" s="1771"/>
      <c r="Q90" s="489"/>
    </row>
    <row r="91" spans="1:17" s="407" customFormat="1" ht="15.75" thickBot="1">
      <c r="A91" s="483"/>
      <c r="B91" s="473"/>
      <c r="C91" s="407">
        <v>100</v>
      </c>
      <c r="D91" s="407">
        <f>C91-$J$91</f>
        <v>97</v>
      </c>
      <c r="E91" s="407">
        <f>D91-$J$91</f>
        <v>94</v>
      </c>
      <c r="F91" s="407">
        <f>E91-$J$91</f>
        <v>91</v>
      </c>
      <c r="G91" s="490"/>
      <c r="I91" s="492"/>
      <c r="J91" s="492">
        <v>3</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4">
        <f t="shared" si="22"/>
        <v>80</v>
      </c>
      <c r="N101" s="879"/>
      <c r="O101" s="879"/>
      <c r="P101" s="1770"/>
      <c r="Q101" s="438"/>
    </row>
    <row r="102" spans="1:17" ht="15.75" thickTop="1">
      <c r="A102" s="366"/>
      <c r="B102" s="468" t="s">
        <v>1735</v>
      </c>
      <c r="C102" s="508" t="str">
        <f>C103&amp;"(含)"&amp;"-"&amp;D103</f>
        <v>0(含)-50</v>
      </c>
      <c r="D102" s="508" t="str">
        <f t="shared" ref="D102:L102" si="23">D103&amp;"(含)"&amp;"-"&amp;E103</f>
        <v>50(含)-60</v>
      </c>
      <c r="E102" s="508" t="str">
        <f t="shared" si="23"/>
        <v>60(含)-70</v>
      </c>
      <c r="F102" s="508" t="str">
        <f t="shared" si="23"/>
        <v>70(含)-80</v>
      </c>
      <c r="G102" s="508" t="str">
        <f t="shared" si="23"/>
        <v>80(含)-90</v>
      </c>
      <c r="H102" s="508" t="str">
        <f t="shared" si="23"/>
        <v>90(含)-100</v>
      </c>
      <c r="I102" s="508" t="str">
        <f t="shared" si="23"/>
        <v>100(含)-</v>
      </c>
      <c r="J102" s="508" t="str">
        <f t="shared" si="23"/>
        <v>(含)-</v>
      </c>
      <c r="K102" s="508" t="str">
        <f>K103&amp;"(含)"&amp;"-"&amp;L103</f>
        <v>(含)-2</v>
      </c>
      <c r="L102" s="508" t="str">
        <f t="shared" si="23"/>
        <v>2(含)-</v>
      </c>
      <c r="M102" s="508" t="str">
        <f>M103&amp;"(含)"&amp;"-"&amp;P103</f>
        <v>(含)-</v>
      </c>
      <c r="N102" s="877"/>
      <c r="O102" s="877"/>
      <c r="P102" s="1770"/>
      <c r="Q102" s="438"/>
    </row>
    <row r="103" spans="1:17" s="407" customFormat="1">
      <c r="A103" s="405"/>
      <c r="B103" s="522"/>
      <c r="C103" s="6">
        <v>0</v>
      </c>
      <c r="D103" s="6">
        <v>50</v>
      </c>
      <c r="E103" s="6">
        <v>60</v>
      </c>
      <c r="F103" s="6">
        <v>70</v>
      </c>
      <c r="G103" s="6">
        <v>80</v>
      </c>
      <c r="H103" s="6">
        <v>90</v>
      </c>
      <c r="I103" s="6">
        <v>100</v>
      </c>
      <c r="J103" s="523"/>
      <c r="K103" s="523"/>
      <c r="L103" s="523">
        <v>2</v>
      </c>
      <c r="M103" s="525"/>
      <c r="N103" s="880"/>
      <c r="O103" s="880"/>
      <c r="P103" s="1771"/>
      <c r="Q103" s="489"/>
    </row>
    <row r="104" spans="1:17" s="407" customFormat="1" ht="15.75" thickBot="1">
      <c r="A104" s="483"/>
      <c r="B104" s="473"/>
      <c r="C104" s="466">
        <v>100</v>
      </c>
      <c r="D104" s="466">
        <f>C104-$L$103</f>
        <v>98</v>
      </c>
      <c r="E104" s="466">
        <f t="shared" ref="E104:I104" si="24">D104-$L$103</f>
        <v>96</v>
      </c>
      <c r="F104" s="466">
        <f t="shared" si="24"/>
        <v>94</v>
      </c>
      <c r="G104" s="466">
        <f t="shared" si="24"/>
        <v>92</v>
      </c>
      <c r="H104" s="466">
        <f t="shared" si="24"/>
        <v>90</v>
      </c>
      <c r="I104" s="466">
        <f t="shared" si="24"/>
        <v>88</v>
      </c>
      <c r="J104" s="466"/>
      <c r="K104" s="466"/>
      <c r="L104" s="466"/>
      <c r="M104" s="466"/>
      <c r="N104" s="879"/>
      <c r="O104" s="879"/>
      <c r="P104" s="1771"/>
      <c r="Q104" s="489"/>
    </row>
    <row r="105" spans="1:17" ht="15" thickTop="1">
      <c r="A105" s="408"/>
      <c r="B105" s="468" t="s">
        <v>1736</v>
      </c>
      <c r="C105" s="3140" t="s">
        <v>3412</v>
      </c>
      <c r="D105" s="3140" t="s">
        <v>3442</v>
      </c>
      <c r="E105" s="3146" t="s">
        <v>3457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3413</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户型结构</v>
      </c>
      <c r="C126" s="3188" t="s">
        <v>3469</v>
      </c>
      <c r="D126" s="3188" t="s">
        <v>3470</v>
      </c>
      <c r="E126" s="3188" t="s">
        <v>3471</v>
      </c>
      <c r="F126" s="508"/>
      <c r="G126" s="508"/>
      <c r="H126" s="485"/>
      <c r="I126" s="485">
        <v>2</v>
      </c>
      <c r="J126" s="485"/>
      <c r="K126" s="485"/>
      <c r="L126" s="486"/>
      <c r="M126" s="487"/>
      <c r="N126" s="880"/>
      <c r="O126" s="880"/>
      <c r="P126" s="1771"/>
      <c r="Q126" s="489"/>
    </row>
    <row r="127" spans="1:17" s="407" customFormat="1" ht="15.75" thickBot="1">
      <c r="A127" s="483"/>
      <c r="B127" s="473"/>
      <c r="C127" s="466">
        <f>D127+$I$126</f>
        <v>104</v>
      </c>
      <c r="D127" s="466">
        <f>E127+$I$126</f>
        <v>102</v>
      </c>
      <c r="E127" s="466">
        <v>100</v>
      </c>
      <c r="F127" s="466">
        <f>E127-$I$126</f>
        <v>98</v>
      </c>
      <c r="G127" s="490">
        <v>101</v>
      </c>
      <c r="H127" s="492"/>
      <c r="I127" s="492"/>
      <c r="J127" s="492"/>
      <c r="K127" s="492"/>
      <c r="L127" s="492"/>
      <c r="M127" s="493"/>
      <c r="N127" s="880"/>
      <c r="O127" s="880"/>
      <c r="P127" s="1771"/>
      <c r="Q127" s="489"/>
    </row>
    <row r="128" spans="1:17" ht="15" thickTop="1">
      <c r="A128" s="408"/>
      <c r="B128" s="468" t="str">
        <f>B45</f>
        <v>户型结构</v>
      </c>
      <c r="C128" s="484">
        <v>2005</v>
      </c>
      <c r="D128" s="484">
        <v>2004</v>
      </c>
      <c r="E128" s="484">
        <v>2003</v>
      </c>
      <c r="F128" s="484">
        <v>2002</v>
      </c>
      <c r="G128" s="512">
        <v>2001</v>
      </c>
      <c r="H128" s="512"/>
      <c r="I128" s="3186">
        <v>0.5</v>
      </c>
      <c r="J128" s="512"/>
      <c r="K128" s="513"/>
      <c r="L128" s="514"/>
      <c r="M128" s="515"/>
      <c r="N128" s="878"/>
      <c r="O128" s="878"/>
      <c r="P128" s="1770"/>
      <c r="Q128" s="438"/>
    </row>
    <row r="129" spans="1:17" ht="15.75" thickBot="1">
      <c r="A129" s="366"/>
      <c r="B129" s="473"/>
      <c r="C129" s="490">
        <v>100</v>
      </c>
      <c r="D129" s="490">
        <f>C129-$I$128</f>
        <v>99.5</v>
      </c>
      <c r="E129" s="490">
        <f t="shared" ref="E129:G129" si="31">D129-$I$128</f>
        <v>99</v>
      </c>
      <c r="F129" s="490">
        <f t="shared" si="31"/>
        <v>98.5</v>
      </c>
      <c r="G129" s="490">
        <f t="shared" si="31"/>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49.92</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45583</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估价对象房地状况!C6</f>
        <v>周边有333路、908路、909路等多条公交线路及地铁16号线西北旺站，综合评价交通便捷度较好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 r="A19" s="366"/>
      <c r="B19" s="389" t="s">
        <v>1775</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85.5">
      <c r="A23" s="366"/>
      <c r="B23" s="389" t="s">
        <v>1261</v>
      </c>
      <c r="C23" s="1801" t="str">
        <f>估价对象房地状况!C9</f>
        <v>自然环境：百望山森林公园、中关村公园等自然景观；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2024-10</v>
      </c>
      <c r="D58" s="1102">
        <f>EDATE(C58,-1)</f>
        <v>45536</v>
      </c>
      <c r="E58" s="1102">
        <f t="shared" ref="E58:N58" si="13">EDATE(D58,-1)</f>
        <v>45505</v>
      </c>
      <c r="F58" s="1102">
        <f t="shared" si="13"/>
        <v>45474</v>
      </c>
      <c r="G58" s="1102">
        <f t="shared" si="13"/>
        <v>45444</v>
      </c>
      <c r="H58" s="1102">
        <f t="shared" si="13"/>
        <v>45413</v>
      </c>
      <c r="I58" s="1102">
        <f t="shared" si="13"/>
        <v>45383</v>
      </c>
      <c r="J58" s="1102">
        <f t="shared" si="13"/>
        <v>45352</v>
      </c>
      <c r="K58" s="1102">
        <f t="shared" si="13"/>
        <v>45323</v>
      </c>
      <c r="L58" s="1102">
        <f t="shared" si="13"/>
        <v>45292</v>
      </c>
      <c r="M58" s="1102">
        <f t="shared" si="13"/>
        <v>45261</v>
      </c>
      <c r="N58" s="1102">
        <f t="shared" si="13"/>
        <v>45231</v>
      </c>
      <c r="O58" s="1102">
        <f>EDATE(N58,-1)</f>
        <v>45200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49.92</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45583</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85.5">
      <c r="A17" s="366"/>
      <c r="B17" s="555" t="s">
        <v>1259</v>
      </c>
      <c r="C17" s="1808" t="str">
        <f>估价对象房地状况!C6</f>
        <v>周边有333路、908路、909路等多条公交线路及地铁16号线西北旺站，综合评价交通便捷度较好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56.5">
      <c r="A19" s="366"/>
      <c r="B19" s="555" t="s">
        <v>1809</v>
      </c>
      <c r="C19" s="1808"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71.25">
      <c r="A23" s="366"/>
      <c r="B23" s="555" t="s">
        <v>1811</v>
      </c>
      <c r="C23" s="1808" t="str">
        <f>估价对象房地状况!C9</f>
        <v>自然环境：百望山森林公园、中关村公园等自然景观；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2024-10</v>
      </c>
      <c r="D59" s="1102">
        <f>EDATE(C59,-1)</f>
        <v>45536</v>
      </c>
      <c r="E59" s="1102">
        <f>EDATE(D59,-1)</f>
        <v>45505</v>
      </c>
      <c r="F59" s="1102">
        <f t="shared" ref="F59:O59" si="13">EDATE(E59,-1)</f>
        <v>45474</v>
      </c>
      <c r="G59" s="1102">
        <f t="shared" si="13"/>
        <v>45444</v>
      </c>
      <c r="H59" s="1102">
        <f t="shared" si="13"/>
        <v>45413</v>
      </c>
      <c r="I59" s="1102">
        <f t="shared" si="13"/>
        <v>45383</v>
      </c>
      <c r="J59" s="1102">
        <f t="shared" si="13"/>
        <v>45352</v>
      </c>
      <c r="K59" s="1102">
        <f t="shared" si="13"/>
        <v>45323</v>
      </c>
      <c r="L59" s="1102">
        <f t="shared" si="13"/>
        <v>45292</v>
      </c>
      <c r="M59" s="1102">
        <f t="shared" si="13"/>
        <v>45261</v>
      </c>
      <c r="N59" s="1102">
        <f t="shared" si="13"/>
        <v>45231</v>
      </c>
      <c r="O59" s="1102">
        <f t="shared" si="13"/>
        <v>45200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3">EDATE(D52,-1)</f>
        <v>45505</v>
      </c>
      <c r="F52" s="1102">
        <f t="shared" si="13"/>
        <v>45474</v>
      </c>
      <c r="G52" s="1102">
        <f t="shared" si="13"/>
        <v>45444</v>
      </c>
      <c r="H52" s="1102">
        <f t="shared" si="13"/>
        <v>45413</v>
      </c>
      <c r="I52" s="1102">
        <f t="shared" si="13"/>
        <v>45383</v>
      </c>
      <c r="J52" s="1102">
        <f t="shared" si="13"/>
        <v>45352</v>
      </c>
      <c r="K52" s="1102">
        <f t="shared" si="13"/>
        <v>45323</v>
      </c>
      <c r="L52" s="1102">
        <f t="shared" si="13"/>
        <v>45292</v>
      </c>
      <c r="M52" s="1102">
        <f t="shared" si="13"/>
        <v>45261</v>
      </c>
      <c r="N52" s="1102">
        <f t="shared" si="13"/>
        <v>45231</v>
      </c>
      <c r="O52" s="1102">
        <f t="shared" si="13"/>
        <v>45200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周边有333路、908路、909路等多条公交线路及地铁16号线西北旺站，综合评价交通便捷度较好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299.25">
      <c r="A16" s="347"/>
      <c r="B16" s="555"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85.5">
      <c r="A20" s="347"/>
      <c r="B20" s="555" t="s">
        <v>1831</v>
      </c>
      <c r="C20" s="1751" t="str">
        <f>IF(B1="工业",估价对象房地状况!G7,估价对象房地状况!C9)</f>
        <v>自然环境：百望山森林公园、中关村公园等自然景观；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2024-10</v>
      </c>
      <c r="D48" s="1102">
        <f>EDATE(C48,-1)</f>
        <v>45536</v>
      </c>
      <c r="E48" s="1102">
        <f t="shared" ref="E48:O48" si="13">EDATE(D48,-1)</f>
        <v>45505</v>
      </c>
      <c r="F48" s="1102">
        <f t="shared" si="13"/>
        <v>45474</v>
      </c>
      <c r="G48" s="1102">
        <f t="shared" si="13"/>
        <v>45444</v>
      </c>
      <c r="H48" s="1102">
        <f t="shared" si="13"/>
        <v>45413</v>
      </c>
      <c r="I48" s="1102">
        <f t="shared" si="13"/>
        <v>45383</v>
      </c>
      <c r="J48" s="1102">
        <f t="shared" si="13"/>
        <v>45352</v>
      </c>
      <c r="K48" s="1102">
        <f t="shared" si="13"/>
        <v>45323</v>
      </c>
      <c r="L48" s="1102">
        <f t="shared" si="13"/>
        <v>45292</v>
      </c>
      <c r="M48" s="1102">
        <f t="shared" si="13"/>
        <v>45261</v>
      </c>
      <c r="N48" s="1102">
        <f t="shared" si="13"/>
        <v>45231</v>
      </c>
      <c r="O48" s="1102">
        <f t="shared" si="13"/>
        <v>45200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估价对象为北京市房地产，为所有。根据《国有土地使用证》[]，估价对象（分摊）出让国有建设用地使用权面积为0平方米，建筑面积为49.92平方米。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估价对象为北京市房地产,属开发建设的，该项目尚在开发建设中。根据《国有土地使用证》[]，估价对象（分摊）出让国有建设用地使用权面积为0平方米，规划建筑面积为49.92平方米。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2024年10月18日（评估专业人员实地查勘之日）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周边有333路、908路、909路等多条公交线路及地铁16号线西北旺站，综合评价交通便捷度较好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299.25">
      <c r="A16" s="366"/>
      <c r="B16" s="389"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85.5">
      <c r="A20" s="366"/>
      <c r="B20" s="389" t="s">
        <v>1831</v>
      </c>
      <c r="C20" s="1751" t="str">
        <f>IF(B1="工业",估价对象房地状况!G7,估价对象房地状况!C9)</f>
        <v>自然环境：百望山森林公园、中关村公园等自然景观；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2024-10</v>
      </c>
      <c r="D46" s="1102">
        <f>EDATE(C46,-1)</f>
        <v>45536</v>
      </c>
      <c r="E46" s="1102">
        <f t="shared" ref="E46:O46" si="13">EDATE(D46,-1)</f>
        <v>45505</v>
      </c>
      <c r="F46" s="1102">
        <f t="shared" si="13"/>
        <v>45474</v>
      </c>
      <c r="G46" s="1102">
        <f t="shared" si="13"/>
        <v>45444</v>
      </c>
      <c r="H46" s="1102">
        <f t="shared" si="13"/>
        <v>45413</v>
      </c>
      <c r="I46" s="1102">
        <f t="shared" si="13"/>
        <v>45383</v>
      </c>
      <c r="J46" s="1102">
        <f t="shared" si="13"/>
        <v>45352</v>
      </c>
      <c r="K46" s="1102">
        <f t="shared" si="13"/>
        <v>45323</v>
      </c>
      <c r="L46" s="1102">
        <f t="shared" si="13"/>
        <v>45292</v>
      </c>
      <c r="M46" s="1102">
        <f t="shared" si="13"/>
        <v>45261</v>
      </c>
      <c r="N46" s="1102">
        <f t="shared" si="13"/>
        <v>45231</v>
      </c>
      <c r="O46" s="1102">
        <f t="shared" si="13"/>
        <v>45200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71.25">
      <c r="A15" s="378" t="s">
        <v>1690</v>
      </c>
      <c r="B15" s="58" t="s">
        <v>1257</v>
      </c>
      <c r="C15" s="1747" t="str">
        <f>估价对象房地状况!C15</f>
        <v>周边有如园、景和园、冬晴园、百旺茉莉园等住宅小区，居住社区成熟度较好。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85.5">
      <c r="A21" s="366"/>
      <c r="B21" s="389" t="s">
        <v>1830</v>
      </c>
      <c r="C21" s="1751" t="str">
        <f>估价对象房地状况!C18</f>
        <v>周边有333路、908路、909路等多条公交线路及地铁16号线西北旺站，综合评价交通便捷度较好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85.5">
      <c r="A25" s="347"/>
      <c r="B25" s="585" t="s">
        <v>1869</v>
      </c>
      <c r="C25" s="1801" t="str">
        <f>估价对象房地状况!C20</f>
        <v>自然环境：百望山森林公园、中关村公园等自然景观；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299.25">
      <c r="A27" s="442"/>
      <c r="B27" s="585" t="s">
        <v>1775</v>
      </c>
      <c r="C27" s="1751"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49.92</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五级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49.92</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2024-10-1</v>
      </c>
      <c r="D67" s="655">
        <f>EDATE(C67,-3)</f>
        <v>45474</v>
      </c>
      <c r="E67" s="655">
        <f>EDATE(D67,-3)</f>
        <v>45383</v>
      </c>
      <c r="F67" s="655">
        <f t="shared" ref="F67:O67" si="17">EDATE(E67,-3)</f>
        <v>45292</v>
      </c>
      <c r="G67" s="655">
        <f t="shared" si="17"/>
        <v>45200</v>
      </c>
      <c r="H67" s="655">
        <f t="shared" si="17"/>
        <v>45108</v>
      </c>
      <c r="I67" s="655">
        <f t="shared" si="17"/>
        <v>45017</v>
      </c>
      <c r="J67" s="655">
        <f t="shared" si="17"/>
        <v>44927</v>
      </c>
      <c r="K67" s="655">
        <f t="shared" si="17"/>
        <v>44835</v>
      </c>
      <c r="L67" s="655">
        <f t="shared" si="17"/>
        <v>44743</v>
      </c>
      <c r="M67" s="655">
        <f t="shared" si="17"/>
        <v>44652</v>
      </c>
      <c r="N67" s="655">
        <f t="shared" si="17"/>
        <v>44562</v>
      </c>
      <c r="O67" s="655">
        <f t="shared" si="17"/>
        <v>44470</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45583</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49.92</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五级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2024-10-1</v>
      </c>
      <c r="D63" s="655">
        <f>EDATE(C63,-3)</f>
        <v>45474</v>
      </c>
      <c r="E63" s="655">
        <f>EDATE(D63,-3)</f>
        <v>45383</v>
      </c>
      <c r="F63" s="655">
        <f t="shared" ref="F63:O63" si="17">EDATE(E63,-3)</f>
        <v>45292</v>
      </c>
      <c r="G63" s="655">
        <f t="shared" si="17"/>
        <v>45200</v>
      </c>
      <c r="H63" s="655">
        <f t="shared" si="17"/>
        <v>45108</v>
      </c>
      <c r="I63" s="655">
        <f t="shared" si="17"/>
        <v>45017</v>
      </c>
      <c r="J63" s="655">
        <f t="shared" si="17"/>
        <v>44927</v>
      </c>
      <c r="K63" s="655">
        <f t="shared" si="17"/>
        <v>44835</v>
      </c>
      <c r="L63" s="655">
        <f t="shared" si="17"/>
        <v>44743</v>
      </c>
      <c r="M63" s="655">
        <f t="shared" si="17"/>
        <v>44652</v>
      </c>
      <c r="N63" s="655">
        <f t="shared" si="17"/>
        <v>44562</v>
      </c>
      <c r="O63" s="655">
        <f t="shared" si="17"/>
        <v>44470</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49.92</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49.92</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45583</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115"/>
  <sheetViews>
    <sheetView topLeftCell="A10" workbookViewId="0">
      <selection activeCell="I48" sqref="I48"/>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31">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31" ht="24.75" customHeight="1">
      <c r="A2" s="3147">
        <v>1</v>
      </c>
      <c r="B2" s="1446" t="s">
        <v>3478</v>
      </c>
      <c r="C2" s="1446" t="s">
        <v>3476</v>
      </c>
      <c r="D2" s="1446" t="s">
        <v>3421</v>
      </c>
      <c r="E2" s="3142">
        <v>81.12</v>
      </c>
      <c r="F2" s="3178" t="s">
        <v>3466</v>
      </c>
      <c r="G2" s="1446">
        <v>10</v>
      </c>
      <c r="H2" s="3142">
        <v>9</v>
      </c>
      <c r="I2" s="1446">
        <v>2019</v>
      </c>
      <c r="J2" s="3142">
        <v>76430</v>
      </c>
      <c r="K2" s="3142">
        <v>76449</v>
      </c>
      <c r="L2" s="3152">
        <v>45576</v>
      </c>
      <c r="M2" s="3178" t="s">
        <v>3426</v>
      </c>
      <c r="N2" s="3178" t="s">
        <v>3465</v>
      </c>
      <c r="O2" s="1446" t="s">
        <v>3423</v>
      </c>
      <c r="AE2" s="3189" t="s">
        <v>3477</v>
      </c>
    </row>
    <row r="3" spans="1:31" ht="34.5" customHeight="1">
      <c r="A3" s="3138">
        <v>2</v>
      </c>
      <c r="B3" s="1446" t="s">
        <v>3479</v>
      </c>
      <c r="C3" s="1446" t="s">
        <v>3476</v>
      </c>
      <c r="D3" s="1446" t="s">
        <v>3421</v>
      </c>
      <c r="E3" s="3142">
        <v>49.66</v>
      </c>
      <c r="F3" s="3178" t="s">
        <v>3458</v>
      </c>
      <c r="G3" s="1446">
        <v>10</v>
      </c>
      <c r="H3" s="3142">
        <v>5</v>
      </c>
      <c r="I3" s="1446">
        <v>2019</v>
      </c>
      <c r="J3" s="3142">
        <v>72292</v>
      </c>
      <c r="K3" s="1446">
        <v>72433</v>
      </c>
      <c r="L3" s="3152">
        <v>45499</v>
      </c>
      <c r="M3" s="3178" t="s">
        <v>3426</v>
      </c>
      <c r="N3" s="3178" t="s">
        <v>3465</v>
      </c>
      <c r="O3" s="1446" t="s">
        <v>3423</v>
      </c>
    </row>
    <row r="4" spans="1:31">
      <c r="A4" s="3142">
        <v>3</v>
      </c>
      <c r="B4" s="1446" t="s">
        <v>3480</v>
      </c>
      <c r="C4" s="1446" t="s">
        <v>3476</v>
      </c>
      <c r="D4" s="1446" t="s">
        <v>3421</v>
      </c>
      <c r="E4" s="3142">
        <v>70.5</v>
      </c>
      <c r="F4" s="3178" t="s">
        <v>3466</v>
      </c>
      <c r="G4" s="1446">
        <v>10</v>
      </c>
      <c r="H4" s="3142">
        <v>7</v>
      </c>
      <c r="I4" s="1446">
        <v>2019</v>
      </c>
      <c r="J4" s="3142">
        <v>76028</v>
      </c>
      <c r="K4" s="1446">
        <v>76238</v>
      </c>
      <c r="L4" s="3152">
        <v>45493</v>
      </c>
      <c r="M4" s="3178" t="s">
        <v>3425</v>
      </c>
      <c r="N4" s="3178" t="s">
        <v>3465</v>
      </c>
      <c r="O4" s="1446" t="s">
        <v>3423</v>
      </c>
    </row>
    <row r="6" spans="1:31">
      <c r="A6" s="3147"/>
    </row>
    <row r="7" spans="1:31" ht="43.5" customHeight="1">
      <c r="A7" s="3138"/>
    </row>
    <row r="14" spans="1:31" ht="24.75" customHeight="1"/>
    <row r="15" spans="1:31" ht="24.75" customHeight="1"/>
    <row r="16" spans="1:31" ht="24.75" customHeight="1"/>
    <row r="17" spans="7:9" ht="24.75" customHeight="1"/>
    <row r="18" spans="7:9" ht="24.75" customHeight="1"/>
    <row r="19" spans="7:9" ht="24.75" customHeight="1"/>
    <row r="20" spans="7:9" ht="24.75" customHeight="1"/>
    <row r="21" spans="7:9" ht="24.75" customHeight="1"/>
    <row r="22" spans="7:9" ht="24.75" customHeight="1"/>
    <row r="23" spans="7:9" ht="24.75" customHeight="1"/>
    <row r="24" spans="7:9" ht="24.75" customHeight="1"/>
    <row r="25" spans="7:9" ht="24.75" customHeight="1"/>
    <row r="26" spans="7:9" ht="24.75" customHeight="1"/>
    <row r="27" spans="7:9" ht="24.75" customHeight="1"/>
    <row r="28" spans="7:9" ht="24.75" customHeight="1"/>
    <row r="29" spans="7:9" ht="24.75" customHeight="1"/>
    <row r="30" spans="7:9" ht="24.75" customHeight="1"/>
    <row r="31" spans="7:9" ht="24.75" customHeight="1">
      <c r="G31" s="3142">
        <v>39.04</v>
      </c>
      <c r="H31" s="3142">
        <v>6490</v>
      </c>
      <c r="I31" s="3177">
        <f>ROUND(H31/G31,2)</f>
        <v>166.24</v>
      </c>
    </row>
    <row r="32" spans="7:9" ht="24.75" customHeight="1">
      <c r="G32" s="3142">
        <v>39.04</v>
      </c>
      <c r="H32" s="3142">
        <v>6460</v>
      </c>
      <c r="I32" s="3177">
        <f t="shared" ref="I32:I44" si="0">ROUND(H32/G32,2)</f>
        <v>165.47</v>
      </c>
    </row>
    <row r="33" spans="7:10" ht="24.75" customHeight="1">
      <c r="G33" s="3142">
        <v>50</v>
      </c>
      <c r="H33" s="3142">
        <v>6500</v>
      </c>
      <c r="I33" s="3177">
        <f t="shared" si="0"/>
        <v>130</v>
      </c>
    </row>
    <row r="34" spans="7:10" ht="24.75" customHeight="1">
      <c r="G34" s="3142">
        <v>80</v>
      </c>
      <c r="H34" s="3142">
        <v>8600</v>
      </c>
      <c r="I34" s="3177">
        <f t="shared" si="0"/>
        <v>107.5</v>
      </c>
    </row>
    <row r="35" spans="7:10" ht="24.75" customHeight="1">
      <c r="G35" s="3142">
        <v>72</v>
      </c>
      <c r="H35" s="3142">
        <v>8000</v>
      </c>
      <c r="I35" s="3177">
        <f t="shared" si="0"/>
        <v>111.11</v>
      </c>
    </row>
    <row r="36" spans="7:10" ht="24.75" customHeight="1">
      <c r="G36" s="3142">
        <v>81.33</v>
      </c>
      <c r="H36" s="3142">
        <v>8000</v>
      </c>
      <c r="I36" s="3177">
        <f t="shared" si="0"/>
        <v>98.36</v>
      </c>
    </row>
    <row r="37" spans="7:10" ht="24.75" customHeight="1">
      <c r="G37" s="3142">
        <v>80</v>
      </c>
      <c r="H37" s="3142">
        <v>8000</v>
      </c>
      <c r="I37" s="3177">
        <f t="shared" si="0"/>
        <v>100</v>
      </c>
    </row>
    <row r="38" spans="7:10">
      <c r="G38" s="3142">
        <v>40</v>
      </c>
      <c r="H38" s="3142">
        <v>5500</v>
      </c>
      <c r="I38" s="3177">
        <f t="shared" si="0"/>
        <v>137.5</v>
      </c>
    </row>
    <row r="39" spans="7:10">
      <c r="G39" s="3142">
        <v>81</v>
      </c>
      <c r="H39" s="3142">
        <v>8400</v>
      </c>
      <c r="I39" s="3177">
        <f t="shared" si="0"/>
        <v>103.7</v>
      </c>
    </row>
    <row r="40" spans="7:10">
      <c r="G40" s="3142">
        <v>39.51</v>
      </c>
      <c r="H40" s="3142">
        <v>6000</v>
      </c>
      <c r="I40" s="3177">
        <f t="shared" si="0"/>
        <v>151.86000000000001</v>
      </c>
    </row>
    <row r="41" spans="7:10">
      <c r="G41" s="3142">
        <v>81</v>
      </c>
      <c r="H41" s="3142">
        <v>8200</v>
      </c>
      <c r="I41" s="3142">
        <f t="shared" si="0"/>
        <v>101.23</v>
      </c>
    </row>
    <row r="42" spans="7:10">
      <c r="G42" s="3142">
        <v>55</v>
      </c>
      <c r="H42" s="3142">
        <v>6900</v>
      </c>
      <c r="I42" s="3142">
        <f t="shared" si="0"/>
        <v>125.45</v>
      </c>
    </row>
    <row r="43" spans="7:10">
      <c r="G43" s="3142">
        <v>80.58</v>
      </c>
      <c r="H43" s="3142">
        <v>8600</v>
      </c>
      <c r="I43" s="3142">
        <f t="shared" si="0"/>
        <v>106.73</v>
      </c>
    </row>
    <row r="44" spans="7:10">
      <c r="G44" s="3142">
        <v>81</v>
      </c>
      <c r="H44" s="3142">
        <v>8500</v>
      </c>
      <c r="I44" s="3142">
        <f t="shared" si="0"/>
        <v>104.94</v>
      </c>
    </row>
    <row r="46" spans="7:10">
      <c r="I46" s="3177">
        <f>AVERAGE(I31:I35,I38,I40,I42)</f>
        <v>136.89125000000001</v>
      </c>
      <c r="J46" s="3142">
        <f>I46*'数据-基础表'!I13</f>
        <v>6833.6112000000012</v>
      </c>
    </row>
    <row r="48" spans="7:10">
      <c r="I48" s="1446" t="s">
        <v>3493</v>
      </c>
      <c r="J48" s="3142">
        <f>6800*1.03</f>
        <v>7004</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27.5471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5518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7987</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7987</v>
      </c>
      <c r="D8" s="213"/>
      <c r="E8" s="211"/>
      <c r="F8" s="212"/>
      <c r="G8" s="1712" t="s">
        <v>3409</v>
      </c>
    </row>
    <row r="9" spans="1:8" s="205" customFormat="1" ht="13.5" customHeight="1">
      <c r="A9" s="732" t="s">
        <v>355</v>
      </c>
      <c r="B9" s="215" t="s">
        <v>1478</v>
      </c>
      <c r="C9" s="216">
        <f ca="1">ROUND(D9*E9,0)</f>
        <v>7987</v>
      </c>
      <c r="D9" s="794">
        <f ca="1">IF(B1="",'数据-汇总表'!E5,IF(INDIRECT("'数据-取费表'!c"&amp;$G$1)="住宅",INDIRECT("'数据-取费表'!k"&amp;$G$1),0))</f>
        <v>49.92</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49.92</v>
      </c>
      <c r="E19" s="202">
        <f>'数据-取费表'!B31</f>
        <v>200</v>
      </c>
      <c r="F19" s="222"/>
      <c r="G19" s="1712" t="s">
        <v>3410</v>
      </c>
    </row>
    <row r="20" spans="1:7" s="205" customFormat="1" ht="13.5" customHeight="1">
      <c r="A20" s="246" t="s">
        <v>1574</v>
      </c>
      <c r="B20" s="201" t="s">
        <v>1575</v>
      </c>
      <c r="C20" s="223">
        <f ca="1">ROUND((C5+C19)*F20,0)</f>
        <v>160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785</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8</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1629</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1629</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11458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201303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174720</v>
      </c>
      <c r="D34" s="208"/>
      <c r="E34" s="211"/>
      <c r="F34" s="248"/>
      <c r="G34" s="210"/>
    </row>
    <row r="35" spans="1:7" ht="13.5" customHeight="1">
      <c r="A35" s="733" t="s">
        <v>351</v>
      </c>
      <c r="B35" s="206" t="s">
        <v>1527</v>
      </c>
      <c r="C35" s="211">
        <f ca="1">ROUND(C34*F35,0)</f>
        <v>5242</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8736</v>
      </c>
      <c r="D36" s="211"/>
      <c r="E36" s="211"/>
      <c r="F36" s="250">
        <f>'数据-取费表'!B34</f>
        <v>0.05</v>
      </c>
      <c r="G36" s="251" t="s">
        <v>1530</v>
      </c>
    </row>
    <row r="37" spans="1:7" s="249" customFormat="1" ht="13.5" customHeight="1">
      <c r="A37" s="733" t="s">
        <v>353</v>
      </c>
      <c r="B37" s="206" t="s">
        <v>1531</v>
      </c>
      <c r="C37" s="240">
        <f ca="1">ROUND(E37*D37,0)</f>
        <v>9984</v>
      </c>
      <c r="D37" s="208">
        <f ca="1">D19</f>
        <v>49.92</v>
      </c>
      <c r="E37" s="240">
        <f>'数据-取费表'!B35</f>
        <v>200</v>
      </c>
      <c r="F37" s="250"/>
      <c r="G37" s="252"/>
    </row>
    <row r="38" spans="1:7" ht="13.5" customHeight="1">
      <c r="A38" s="733" t="s">
        <v>354</v>
      </c>
      <c r="B38" s="206" t="s">
        <v>1533</v>
      </c>
      <c r="C38" s="211">
        <f ca="1">ROUND(C34*F38,0)</f>
        <v>2621</v>
      </c>
      <c r="D38" s="211"/>
      <c r="E38" s="211"/>
      <c r="F38" s="250">
        <f>'数据-取费表'!B36</f>
        <v>1.4999999999999999E-2</v>
      </c>
      <c r="G38" s="210" t="s">
        <v>1528</v>
      </c>
    </row>
    <row r="39" spans="1:7" s="205" customFormat="1" ht="13.5" customHeight="1">
      <c r="A39" s="246" t="s">
        <v>1534</v>
      </c>
      <c r="B39" s="201" t="s">
        <v>1535</v>
      </c>
      <c r="C39" s="223">
        <f ca="1">ROUND(C33*F20,0)</f>
        <v>4026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9753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9562</v>
      </c>
      <c r="D42" s="229"/>
      <c r="E42" s="229"/>
      <c r="F42" s="230"/>
      <c r="G42" s="3373" t="s">
        <v>1591</v>
      </c>
    </row>
    <row r="43" spans="1:7" ht="13.5" customHeight="1">
      <c r="A43" s="733" t="s">
        <v>347</v>
      </c>
      <c r="B43" s="206" t="s">
        <v>1545</v>
      </c>
      <c r="C43" s="229">
        <f ca="1">ROUND(IF('数据-取费表'!B22&lt;=1,C39*F22*'数据-取费表'!B20/2,C39*(POWER((1+F22),'数据-取费表'!B20/2)-1)),0)</f>
        <v>191</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41066</v>
      </c>
      <c r="D45" s="226">
        <f ca="1">C47</f>
        <v>4.0000000000000001E-3</v>
      </c>
      <c r="E45" s="227" t="s">
        <v>1539</v>
      </c>
      <c r="F45" s="237">
        <f ca="1">F27</f>
        <v>0.2</v>
      </c>
      <c r="G45" s="238" t="s">
        <v>1548</v>
      </c>
    </row>
    <row r="46" spans="1:7" s="205" customFormat="1" ht="13.5" customHeight="1">
      <c r="A46" s="733" t="s">
        <v>346</v>
      </c>
      <c r="B46" s="239" t="s">
        <v>1549</v>
      </c>
      <c r="C46" s="240">
        <f ca="1">ROUND((C33+C39)*F27,0)</f>
        <v>41066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277908</v>
      </c>
      <c r="D49" s="223"/>
      <c r="E49" s="223"/>
      <c r="F49" s="255"/>
      <c r="G49" s="225" t="s">
        <v>1554</v>
      </c>
    </row>
    <row r="50" spans="1:7" s="249" customFormat="1">
      <c r="A50" s="246" t="s">
        <v>1555</v>
      </c>
      <c r="B50" s="201" t="s">
        <v>1556</v>
      </c>
      <c r="C50" s="223"/>
      <c r="D50" s="223"/>
      <c r="E50" s="223"/>
      <c r="F50" s="255">
        <f>IF('数据-取费表'!B24=0,'数据-取费表'!N16,1)</f>
        <v>0.95</v>
      </c>
      <c r="G50" s="238"/>
    </row>
    <row r="51" spans="1:7" ht="16.5" customHeight="1">
      <c r="A51" s="246" t="s">
        <v>1558</v>
      </c>
      <c r="B51" s="201" t="s">
        <v>1593</v>
      </c>
      <c r="C51" s="223">
        <f ca="1">ROUND(C49*F50,0)</f>
        <v>264013</v>
      </c>
      <c r="D51" s="223"/>
      <c r="E51" s="223"/>
      <c r="F51" s="255"/>
      <c r="G51" s="225" t="s">
        <v>1560</v>
      </c>
    </row>
    <row r="52" spans="1:7" s="199" customFormat="1" ht="16.5" thickBot="1">
      <c r="A52" s="256" t="s">
        <v>1561</v>
      </c>
      <c r="B52" s="257"/>
      <c r="C52" s="258">
        <f ca="1">C31+C51</f>
        <v>275471</v>
      </c>
      <c r="D52" s="257"/>
      <c r="E52" s="257"/>
      <c r="F52" s="257"/>
      <c r="G52" s="259"/>
    </row>
    <row r="55" spans="1:7" ht="15">
      <c r="B55" s="261" t="s">
        <v>1562</v>
      </c>
      <c r="C55" s="262"/>
    </row>
    <row r="56" spans="1:7">
      <c r="B56" s="264" t="s">
        <v>802</v>
      </c>
      <c r="C56" s="266">
        <f ca="1">1-C57</f>
        <v>4.2000000000000037E-2</v>
      </c>
    </row>
    <row r="57" spans="1:7">
      <c r="B57" s="264" t="s">
        <v>803</v>
      </c>
      <c r="C57" s="265">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49.92</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五级</v>
      </c>
      <c r="H2" s="161" t="s">
        <v>1935</v>
      </c>
      <c r="I2" s="162" t="str">
        <f>IF(E2="商业",项目基本情况!B38,IF(E2="办公",项目基本情况!C38,IF(E2="住宅",项目基本情况!D38,IF(E2="工业",项目基本情况!E38,项目基本情况!F38))))</f>
        <v>Ⅴ-04</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19499</v>
      </c>
      <c r="D5" s="1250">
        <f>ROUND(C6*C17+C20,0)</f>
        <v>18570</v>
      </c>
      <c r="E5" s="1250"/>
      <c r="F5" s="1846"/>
      <c r="G5" s="1847"/>
      <c r="H5" s="1847"/>
      <c r="I5" s="1847"/>
      <c r="J5" s="1848"/>
      <c r="K5" s="1849"/>
      <c r="L5" s="1842" t="s">
        <v>1945</v>
      </c>
      <c r="M5" s="810">
        <f>SUMPRODUCT((区片价!B87:B126=I2)*(区片价!C3:G3=E2)*(区片价!C87:G126))</f>
        <v>18570</v>
      </c>
      <c r="N5" s="812">
        <f>SUMPRODUCT((因素修正幅度!B87:B126=I2)*(因素修正幅度!C3:G3=E2)*(因素修正幅度!C87:G126))</f>
        <v>0.1</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18570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五级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45583</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1</v>
      </c>
      <c r="D24" s="1897" t="s">
        <v>2004</v>
      </c>
      <c r="E24" s="1246">
        <f>存贷款利率!E22/100</f>
        <v>4.3499999999999997E-2</v>
      </c>
      <c r="F24" s="1897" t="s">
        <v>1996</v>
      </c>
      <c r="G24" s="723">
        <f>SUMIF(M30:Q30,E2,M33:Q33)</f>
        <v>0.05</v>
      </c>
      <c r="H24" s="1897" t="s">
        <v>2005</v>
      </c>
      <c r="I24" s="724">
        <f>SUMIF('数据-取费表'!C6:C15,E2,'数据-取费表'!F6:F15)/COUNTIF('数据-取费表'!C6:C15,E2)</f>
        <v>70</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49.92</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周边有333路、908路、909路等多条公交线路及地铁16号线西北旺站，综合评价交通便捷度较好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78.5" hidden="1">
      <c r="A56" s="1971" t="s">
        <v>2056</v>
      </c>
      <c r="B5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自然环境：百望山森林公园、中关村公园等自然景观；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周边有333路、908路、909路等多条公交线路及地铁16号线西北旺站，综合评价交通便捷度较好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78.5" hidden="1">
      <c r="A67" s="1965" t="s">
        <v>2056</v>
      </c>
      <c r="B67"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自然环境：百望山森林公园、中关村公园等自然景观；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周边有如园、景和园、冬晴园、百旺茉莉园等住宅小区，居住社区成熟度较好。</v>
      </c>
      <c r="C72" s="1882" t="s">
        <v>3406</v>
      </c>
      <c r="D72" s="1001">
        <f t="shared" ref="D72:D80" si="16">SUMIF($J$71:$N$71,C72,J72:N72)</f>
        <v>9.7999999999999997E-3</v>
      </c>
      <c r="E72" s="701">
        <f>ROUND(SUM(D72:D80),4)</f>
        <v>4.4900000000000002E-2</v>
      </c>
      <c r="F72" s="1673">
        <f>IF(E2="住宅",SUMIF(L1:L12,G2,N1:N12),"——")</f>
        <v>0.1</v>
      </c>
      <c r="G72" s="999">
        <v>9.7999999999999997E-3</v>
      </c>
      <c r="H72" s="1002">
        <f t="shared" ref="H72:H80" si="17">IFERROR(ROUNDDOWN($F$72*I72/2,4),"——")</f>
        <v>0.01</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周边有333路、908路、909路等多条公交线路及地铁16号线西北旺站，综合评价交通便捷度较好</v>
      </c>
      <c r="C73" s="1882" t="s">
        <v>3406</v>
      </c>
      <c r="D73" s="1001">
        <f t="shared" si="16"/>
        <v>1.2699999999999999E-2</v>
      </c>
      <c r="E73" s="704"/>
      <c r="F73" s="1673"/>
      <c r="G73" s="999">
        <v>1.2699999999999999E-2</v>
      </c>
      <c r="H73" s="1002">
        <f t="shared" si="17"/>
        <v>1.2999999999999999E-2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5.0000000000000001E-3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2.5000000000000001E-3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78.5">
      <c r="A76" s="1965" t="s">
        <v>2056</v>
      </c>
      <c r="B7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76" s="1882" t="s">
        <v>3406</v>
      </c>
      <c r="D76" s="1001">
        <f t="shared" si="16"/>
        <v>3.8999999999999998E-3</v>
      </c>
      <c r="E76" s="704"/>
      <c r="F76" s="1673"/>
      <c r="G76" s="999">
        <v>3.8999999999999998E-3</v>
      </c>
      <c r="H76" s="1002">
        <f t="shared" si="17"/>
        <v>4.0000000000000001E-3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4.4999999999999997E-3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2.5000000000000001E-3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自然环境：百望山森林公园、中关村公园等自然景观；
综合评价环境状况较好。</v>
      </c>
      <c r="C79" s="1882" t="s">
        <v>3407</v>
      </c>
      <c r="D79" s="1001">
        <f t="shared" si="16"/>
        <v>0</v>
      </c>
      <c r="E79" s="704"/>
      <c r="F79" s="1673"/>
      <c r="G79" s="999">
        <v>5.7999999999999996E-3</v>
      </c>
      <c r="H79" s="1002">
        <f t="shared" si="17"/>
        <v>6.0000000000000001E-3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2.5000000000000001E-3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周边有333路、908路、909路等多条公交线路及地铁16号线西北旺站，综合评价交通便捷度较好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78.5">
      <c r="A99" s="3074" t="s">
        <v>3277</v>
      </c>
      <c r="B99" s="3065"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自然环境：百望山森林公园、中关村公园等自然景观；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五级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29594</v>
      </c>
      <c r="C2" s="2" t="s">
        <v>106</v>
      </c>
      <c r="D2" s="190"/>
      <c r="E2" s="190"/>
      <c r="F2" s="190"/>
      <c r="G2" s="190"/>
    </row>
    <row r="3" spans="1:7" s="191" customFormat="1" ht="18" customHeight="1" thickBot="1">
      <c r="A3" s="194" t="s">
        <v>58</v>
      </c>
      <c r="B3" s="195">
        <f ca="1">ROUND(B2*10000/'数据-汇总表'!E3,0)</f>
        <v>5928285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49.92</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49.92</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49.92</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4</v>
      </c>
      <c r="D45" s="226">
        <f>C47</f>
        <v>4.0000000000000001E-3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27</v>
      </c>
      <c r="D49" s="223"/>
      <c r="E49" s="223"/>
      <c r="F49" s="255"/>
      <c r="G49" s="225" t="s">
        <v>435</v>
      </c>
    </row>
    <row r="50" spans="1:7" s="249" customFormat="1" ht="24">
      <c r="A50" s="730" t="s">
        <v>344</v>
      </c>
      <c r="B50" s="201" t="s">
        <v>97</v>
      </c>
      <c r="C50" s="223"/>
      <c r="D50" s="223"/>
      <c r="E50" s="223"/>
      <c r="F50" s="255">
        <f>IF('数据-取费表'!B24=0,'数据-取费表'!N16,1)</f>
        <v>0.95</v>
      </c>
      <c r="G50" s="238" t="s">
        <v>98</v>
      </c>
    </row>
    <row r="51" spans="1:7" ht="16.5" customHeight="1">
      <c r="A51" s="730" t="s">
        <v>345</v>
      </c>
      <c r="B51" s="201" t="s">
        <v>105</v>
      </c>
      <c r="C51" s="223">
        <f ca="1">ROUND(C49*F50,0)</f>
        <v>26</v>
      </c>
      <c r="D51" s="223"/>
      <c r="E51" s="223"/>
      <c r="F51" s="255"/>
      <c r="G51" s="225" t="s">
        <v>37</v>
      </c>
    </row>
    <row r="52" spans="1:7" s="199" customFormat="1" ht="16.5" thickBot="1">
      <c r="A52" s="256" t="s">
        <v>38</v>
      </c>
      <c r="B52" s="257"/>
      <c r="C52" s="258">
        <f ca="1">C31+C51</f>
        <v>29594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45583</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49.92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45587</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2024-10-22T09:08:17Z</dcterms:modified>
</cp:coreProperties>
</file>