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司法-北京市海淀区西北旺三街14号院4号楼9层5单元904号住宅用房房地产市场价值评估\测算\"/>
    </mc:Choice>
  </mc:AlternateContent>
  <xr:revisionPtr revIDLastSave="0" documentId="13_ncr:1_{DEFB9B0E-A311-4F11-9949-6014E6AB40E3}"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X23" i="1" l="1"/>
  <c r="K6" i="1"/>
  <c r="J48" i="81" l="1"/>
  <c r="AD6" i="1"/>
  <c r="AA6" i="1" l="1"/>
  <c r="I31" i="81"/>
  <c r="H45" i="21"/>
  <c r="D127" i="21"/>
  <c r="F45" i="21" s="1"/>
  <c r="F127" i="21"/>
  <c r="H33" i="21"/>
  <c r="D104" i="21"/>
  <c r="E104" i="21" s="1"/>
  <c r="F104" i="21" s="1"/>
  <c r="F27" i="21"/>
  <c r="J27" i="21" s="1"/>
  <c r="B27" i="9"/>
  <c r="C127" i="21" l="1"/>
  <c r="G104" i="21"/>
  <c r="J33" i="21"/>
  <c r="I32" i="81"/>
  <c r="I44" i="81"/>
  <c r="I43" i="81"/>
  <c r="I42" i="81"/>
  <c r="I41" i="81"/>
  <c r="J45" i="21"/>
  <c r="D91" i="21"/>
  <c r="E91" i="21" l="1"/>
  <c r="F91" i="21" s="1"/>
  <c r="H27" i="21"/>
  <c r="H104" i="21"/>
  <c r="I104" i="21" s="1"/>
  <c r="F33" i="21"/>
  <c r="D59" i="21"/>
  <c r="E59" i="21" s="1"/>
  <c r="F59" i="21" s="1"/>
  <c r="G59" i="21" s="1"/>
  <c r="H59" i="21" l="1"/>
  <c r="I59" i="21"/>
  <c r="J59" i="21" s="1"/>
  <c r="K59" i="21" s="1"/>
  <c r="L59" i="21" s="1"/>
  <c r="B21" i="1"/>
  <c r="D129" i="21" l="1"/>
  <c r="E129" i="21" s="1"/>
  <c r="F129" i="21" s="1"/>
  <c r="G129" i="21" s="1"/>
  <c r="E15" i="21"/>
  <c r="I38" i="81"/>
  <c r="I39" i="81"/>
  <c r="I33" i="81"/>
  <c r="I34" i="81"/>
  <c r="I35" i="81"/>
  <c r="I36" i="81"/>
  <c r="I37" i="81"/>
  <c r="I40" i="81"/>
  <c r="M20" i="1"/>
  <c r="M21" i="1" s="1"/>
  <c r="N22" i="1" s="1"/>
  <c r="D3" i="4"/>
  <c r="Y20" i="1"/>
  <c r="I46" i="81" l="1"/>
  <c r="J46" i="81" s="1"/>
  <c r="I5" i="21"/>
  <c r="G5" i="21"/>
  <c r="D66" i="21" l="1"/>
  <c r="B65" i="21"/>
  <c r="I37" i="21"/>
  <c r="G37" i="21"/>
  <c r="E37" i="21"/>
  <c r="I33" i="21" l="1"/>
  <c r="G33" i="21"/>
  <c r="E33" i="21"/>
  <c r="E5" i="21"/>
  <c r="M59" i="21" l="1"/>
  <c r="G16" i="73"/>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S155" i="31"/>
  <c r="R155" i="3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S147" i="31"/>
  <c r="R147" i="3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H13" i="34"/>
  <c r="AB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E47" i="21"/>
  <c r="Q46" i="21"/>
  <c r="Z46" i="21" s="1"/>
  <c r="Q45" i="21"/>
  <c r="Z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H36" i="21"/>
  <c r="AB36" i="21" s="1"/>
  <c r="F36" i="21"/>
  <c r="AA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H19" i="21"/>
  <c r="AB19" i="21" s="1"/>
  <c r="C19" i="21"/>
  <c r="Q17" i="21"/>
  <c r="Z17" i="21" s="1"/>
  <c r="H17" i="21"/>
  <c r="AB17" i="21" s="1"/>
  <c r="C17" i="21"/>
  <c r="E17" i="21" s="1"/>
  <c r="Q15" i="21"/>
  <c r="Z15" i="21" s="1"/>
  <c r="C15" i="21"/>
  <c r="G15" i="21" s="1"/>
  <c r="I15" i="21" s="1"/>
  <c r="Q14" i="21"/>
  <c r="Z14" i="21" s="1"/>
  <c r="F14" i="21"/>
  <c r="AA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D16" i="53" s="1"/>
  <c r="D17" i="53" s="1"/>
  <c r="B36" i="72"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A24" i="51" s="1"/>
  <c r="B18" i="72" s="1"/>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s="1"/>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B12" i="76"/>
  <c r="AO7" i="1"/>
  <c r="AO10" i="1"/>
  <c r="E2" i="68"/>
  <c r="F20" i="31"/>
  <c r="F8" i="67"/>
  <c r="B9" i="76"/>
  <c r="AO12" i="1"/>
  <c r="E13" i="76"/>
  <c r="D2" i="36"/>
  <c r="B7" i="76"/>
  <c r="E11" i="76"/>
  <c r="M6" i="67"/>
  <c r="F9" i="67"/>
  <c r="F16" i="67"/>
  <c r="D35" i="9"/>
  <c r="B10" i="76"/>
  <c r="E8" i="76"/>
  <c r="M26" i="67"/>
  <c r="D34" i="9"/>
  <c r="J15" i="67"/>
  <c r="AO9" i="1"/>
  <c r="M8" i="67"/>
  <c r="F42" i="67"/>
  <c r="M24" i="67"/>
  <c r="D2" i="35"/>
  <c r="AO8" i="1"/>
  <c r="B13" i="76"/>
  <c r="B8" i="76"/>
  <c r="D2" i="21"/>
  <c r="E12" i="76"/>
  <c r="F13" i="67"/>
  <c r="C76" i="67"/>
  <c r="D2" i="34"/>
  <c r="F37" i="67"/>
  <c r="M23" i="67"/>
  <c r="M22" i="67"/>
  <c r="M9" i="67"/>
  <c r="B11" i="76"/>
  <c r="E2" i="69"/>
  <c r="L47" i="67"/>
  <c r="F26" i="67"/>
  <c r="F40" i="67"/>
  <c r="AO13" i="1"/>
  <c r="E9" i="76"/>
  <c r="AO11" i="1"/>
  <c r="D2" i="37"/>
  <c r="F6" i="67"/>
  <c r="D2" i="33"/>
  <c r="E10" i="76"/>
  <c r="F38" i="67"/>
  <c r="F36" i="67"/>
  <c r="M28" i="67"/>
  <c r="E7" i="76"/>
  <c r="G217" i="3" l="1"/>
  <c r="J36" i="21"/>
  <c r="AC36" i="21" s="1"/>
  <c r="G55" i="3"/>
  <c r="G71" i="3"/>
  <c r="G75" i="3"/>
  <c r="G79" i="3"/>
  <c r="G87" i="3"/>
  <c r="G95" i="3"/>
  <c r="G103" i="3"/>
  <c r="G115" i="3"/>
  <c r="G135" i="3"/>
  <c r="G139" i="3"/>
  <c r="G143" i="3"/>
  <c r="BA173" i="3"/>
  <c r="G203" i="3"/>
  <c r="G219" i="3"/>
  <c r="G507" i="3"/>
  <c r="G511" i="3"/>
  <c r="G515" i="3"/>
  <c r="G519" i="3"/>
  <c r="BA583" i="3"/>
  <c r="H15" i="21"/>
  <c r="AB15" i="21" s="1"/>
  <c r="T47" i="21"/>
  <c r="G50" i="21"/>
  <c r="H37" i="21"/>
  <c r="F37" i="21" s="1"/>
  <c r="J37" i="21"/>
  <c r="S13" i="79"/>
  <c r="T14" i="79"/>
  <c r="W14" i="79" s="1"/>
  <c r="C67" i="71"/>
  <c r="D68" i="71"/>
  <c r="G23" i="21"/>
  <c r="E23" i="21"/>
  <c r="S8" i="35"/>
  <c r="U27" i="35"/>
  <c r="S12" i="79"/>
  <c r="F27" i="71"/>
  <c r="Y35" i="71"/>
  <c r="Z35" i="71" s="1"/>
  <c r="Y36" i="71"/>
  <c r="Z36" i="71" s="1"/>
  <c r="F70" i="67"/>
  <c r="F52" i="67"/>
  <c r="J32" i="21"/>
  <c r="BL20" i="3"/>
  <c r="BL36" i="3"/>
  <c r="BA41" i="3"/>
  <c r="G49" i="3"/>
  <c r="BA49" i="3"/>
  <c r="G53" i="3"/>
  <c r="BA53" i="3"/>
  <c r="BL56" i="3"/>
  <c r="BA111" i="3"/>
  <c r="G185" i="3"/>
  <c r="G193" i="3"/>
  <c r="G201" i="3"/>
  <c r="G389" i="3"/>
  <c r="G393" i="3"/>
  <c r="G401" i="3"/>
  <c r="G458" i="3"/>
  <c r="G474" i="3"/>
  <c r="G490" i="3"/>
  <c r="G527" i="3"/>
  <c r="G531" i="3"/>
  <c r="G535" i="3"/>
  <c r="G559" i="3"/>
  <c r="G571" i="3"/>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AA29" i="34" s="1"/>
  <c r="Z23" i="79"/>
  <c r="U23" i="79"/>
  <c r="G315" i="3"/>
  <c r="G347" i="3"/>
  <c r="G355" i="3"/>
  <c r="G359" i="3"/>
  <c r="G363" i="3"/>
  <c r="G371" i="3"/>
  <c r="G375" i="3"/>
  <c r="G379" i="3"/>
  <c r="G387" i="3"/>
  <c r="N3" i="79"/>
  <c r="R11" i="79"/>
  <c r="V11" i="79"/>
  <c r="BA77" i="3"/>
  <c r="BL206" i="3"/>
  <c r="BL218" i="3"/>
  <c r="AB39" i="33"/>
  <c r="U39" i="33"/>
  <c r="G97" i="3"/>
  <c r="BA97" i="3"/>
  <c r="BA101" i="3"/>
  <c r="AZ101" i="3" s="1"/>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D74" i="43"/>
  <c r="AA3" i="71"/>
  <c r="G539" i="3"/>
  <c r="BA547" i="3"/>
  <c r="S12" i="40"/>
  <c r="B47" i="71"/>
  <c r="B48" i="71" s="1"/>
  <c r="S48" i="71" s="1"/>
  <c r="H13" i="21"/>
  <c r="F13" i="21"/>
  <c r="AA13" i="21" s="1"/>
  <c r="F29" i="21"/>
  <c r="AA29" i="21" s="1"/>
  <c r="H29" i="21"/>
  <c r="AB29" i="21" s="1"/>
  <c r="AB43" i="33"/>
  <c r="U43" i="33"/>
  <c r="H30" i="33"/>
  <c r="AB30" i="33" s="1"/>
  <c r="F30" i="33"/>
  <c r="AA30" i="33" s="1"/>
  <c r="H11" i="35"/>
  <c r="J11" i="35"/>
  <c r="AC8" i="36"/>
  <c r="W8" i="36"/>
  <c r="BA32" i="3"/>
  <c r="BL34" i="3"/>
  <c r="G113" i="3"/>
  <c r="BA127" i="3"/>
  <c r="BA151" i="3"/>
  <c r="BA155" i="3"/>
  <c r="BA159" i="3"/>
  <c r="BA161" i="3"/>
  <c r="AZ161" i="3" s="1"/>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AZ16" i="3" s="1"/>
  <c r="BL21" i="3"/>
  <c r="BA79" i="3"/>
  <c r="BA83" i="3"/>
  <c r="BA87" i="3"/>
  <c r="AZ87" i="3" s="1"/>
  <c r="BA91" i="3"/>
  <c r="BA95" i="3"/>
  <c r="BL118" i="3"/>
  <c r="BA121" i="3"/>
  <c r="AZ121" i="3" s="1"/>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AZ131" i="3" s="1"/>
  <c r="B34" i="72"/>
  <c r="BL28" i="3"/>
  <c r="BA61" i="3"/>
  <c r="G67" i="3"/>
  <c r="BL70" i="3"/>
  <c r="BA73" i="3"/>
  <c r="G77" i="3"/>
  <c r="BL104" i="3"/>
  <c r="G141" i="3"/>
  <c r="BA141" i="3"/>
  <c r="G169" i="3"/>
  <c r="BL186" i="3"/>
  <c r="AZ186" i="3" s="1"/>
  <c r="BA201" i="3"/>
  <c r="BL210" i="3"/>
  <c r="G221" i="3"/>
  <c r="BA221" i="3"/>
  <c r="AZ221" i="3" s="1"/>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AC36" i="35" s="1"/>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AB9" i="33" s="1"/>
  <c r="F33" i="40"/>
  <c r="AA33" i="40" s="1"/>
  <c r="S14" i="79"/>
  <c r="AB27" i="71"/>
  <c r="Z3" i="79"/>
  <c r="AB11" i="71"/>
  <c r="AB3" i="79"/>
  <c r="U9" i="79"/>
  <c r="R10" i="79"/>
  <c r="V10" i="79"/>
  <c r="S23" i="79"/>
  <c r="AA23" i="79"/>
  <c r="AD23" i="79" s="1"/>
  <c r="X16" i="71"/>
  <c r="X17" i="71"/>
  <c r="X18" i="71"/>
  <c r="AB24" i="71"/>
  <c r="C79" i="71"/>
  <c r="BA13" i="3"/>
  <c r="BA17" i="3"/>
  <c r="AZ17" i="3" s="1"/>
  <c r="BO5" i="3"/>
  <c r="BL24" i="3"/>
  <c r="AZ24" i="3" s="1"/>
  <c r="BL29" i="3"/>
  <c r="G30" i="3"/>
  <c r="BL38" i="3"/>
  <c r="G39" i="3"/>
  <c r="BA40" i="3"/>
  <c r="BL42" i="3"/>
  <c r="BL46" i="3"/>
  <c r="BA48" i="3"/>
  <c r="BL54" i="3"/>
  <c r="BA57" i="3"/>
  <c r="AZ57" i="3" s="1"/>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AZ137" i="3" s="1"/>
  <c r="BA147" i="3"/>
  <c r="G155" i="3"/>
  <c r="BA157" i="3"/>
  <c r="G159" i="3"/>
  <c r="G163" i="3"/>
  <c r="BL166" i="3"/>
  <c r="G167" i="3"/>
  <c r="BA169" i="3"/>
  <c r="BA175" i="3"/>
  <c r="BA189" i="3"/>
  <c r="G191" i="3"/>
  <c r="BA197" i="3"/>
  <c r="BL198" i="3"/>
  <c r="G199" i="3"/>
  <c r="BL203" i="3"/>
  <c r="G204" i="3"/>
  <c r="G209" i="3"/>
  <c r="BA213" i="3"/>
  <c r="BA217" i="3"/>
  <c r="BL219" i="3"/>
  <c r="G220" i="3"/>
  <c r="BA222" i="3"/>
  <c r="G225" i="3"/>
  <c r="BL226" i="3"/>
  <c r="BL228" i="3"/>
  <c r="G233" i="3"/>
  <c r="BL234" i="3"/>
  <c r="BA235" i="3"/>
  <c r="G239" i="3"/>
  <c r="BL242" i="3"/>
  <c r="G243" i="3"/>
  <c r="BL246" i="3"/>
  <c r="G247" i="3"/>
  <c r="BA249" i="3"/>
  <c r="BA255" i="3"/>
  <c r="BA269" i="3"/>
  <c r="AZ269" i="3" s="1"/>
  <c r="BL271" i="3"/>
  <c r="G272" i="3"/>
  <c r="BA277" i="3"/>
  <c r="G280" i="3"/>
  <c r="BL286" i="3"/>
  <c r="G291" i="3"/>
  <c r="BL302" i="3"/>
  <c r="G303" i="3"/>
  <c r="BL310" i="3"/>
  <c r="G311" i="3"/>
  <c r="BA317" i="3"/>
  <c r="G320" i="3"/>
  <c r="BA325" i="3"/>
  <c r="BL330" i="3"/>
  <c r="BA331" i="3"/>
  <c r="G335" i="3"/>
  <c r="G343" i="3"/>
  <c r="BA349" i="3"/>
  <c r="G352" i="3"/>
  <c r="BA353" i="3"/>
  <c r="AZ353" i="3" s="1"/>
  <c r="G356" i="3"/>
  <c r="BL370" i="3"/>
  <c r="BL372" i="3"/>
  <c r="BL382" i="3"/>
  <c r="BA383" i="3"/>
  <c r="BL390" i="3"/>
  <c r="BL394" i="3"/>
  <c r="BA413" i="3"/>
  <c r="BL434" i="3"/>
  <c r="BL436" i="3"/>
  <c r="BL460" i="3"/>
  <c r="BL462" i="3"/>
  <c r="BL45" i="3"/>
  <c r="G46" i="3"/>
  <c r="BA51" i="3"/>
  <c r="G59" i="3"/>
  <c r="BA71" i="3"/>
  <c r="BA75" i="3"/>
  <c r="G81" i="3"/>
  <c r="BA81" i="3"/>
  <c r="AZ81" i="3" s="1"/>
  <c r="G85" i="3"/>
  <c r="BA85" i="3"/>
  <c r="BL88" i="3"/>
  <c r="G99" i="3"/>
  <c r="BL102" i="3"/>
  <c r="BA105" i="3"/>
  <c r="G109" i="3"/>
  <c r="BA115" i="3"/>
  <c r="G123" i="3"/>
  <c r="BA135" i="3"/>
  <c r="AZ135" i="3" s="1"/>
  <c r="BA139" i="3"/>
  <c r="G145" i="3"/>
  <c r="BA145" i="3"/>
  <c r="BA149" i="3"/>
  <c r="BL152" i="3"/>
  <c r="BL156" i="3"/>
  <c r="BL160" i="3"/>
  <c r="BL164" i="3"/>
  <c r="BL168" i="3"/>
  <c r="G177" i="3"/>
  <c r="BA177" i="3"/>
  <c r="BA186" i="3"/>
  <c r="BL188" i="3"/>
  <c r="BL194" i="3"/>
  <c r="BL196" i="3"/>
  <c r="BA205" i="3"/>
  <c r="AZ205" i="3" s="1"/>
  <c r="G207" i="3"/>
  <c r="G212" i="3"/>
  <c r="BL222" i="3"/>
  <c r="BA229" i="3"/>
  <c r="BL230" i="3"/>
  <c r="G231" i="3"/>
  <c r="G236" i="3"/>
  <c r="G241" i="3"/>
  <c r="BL248" i="3"/>
  <c r="BA257" i="3"/>
  <c r="AZ257" i="3" s="1"/>
  <c r="G260" i="3"/>
  <c r="BA266" i="3"/>
  <c r="AZ266" i="3" s="1"/>
  <c r="BL283" i="3"/>
  <c r="G284" i="3"/>
  <c r="G285" i="3"/>
  <c r="BA286" i="3"/>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AZ65" i="3" s="1"/>
  <c r="G69" i="3"/>
  <c r="BA69" i="3"/>
  <c r="BL72" i="3"/>
  <c r="G83" i="3"/>
  <c r="BL86" i="3"/>
  <c r="BA89" i="3"/>
  <c r="G93" i="3"/>
  <c r="BA99" i="3"/>
  <c r="AZ99" i="3" s="1"/>
  <c r="G107" i="3"/>
  <c r="BA119" i="3"/>
  <c r="AZ119" i="3" s="1"/>
  <c r="BA123" i="3"/>
  <c r="G127" i="3"/>
  <c r="G129" i="3"/>
  <c r="BA129" i="3"/>
  <c r="G133" i="3"/>
  <c r="BA133" i="3"/>
  <c r="BL136" i="3"/>
  <c r="G147" i="3"/>
  <c r="BL150" i="3"/>
  <c r="BA153" i="3"/>
  <c r="AZ153" i="3" s="1"/>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AZ333" i="3" s="1"/>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AZ568" i="3" s="1"/>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AZ475" i="3" s="1"/>
  <c r="G478" i="3"/>
  <c r="BA483" i="3"/>
  <c r="BA491" i="3"/>
  <c r="BL493" i="3"/>
  <c r="G494" i="3"/>
  <c r="BA500" i="3"/>
  <c r="AZ500" i="3" s="1"/>
  <c r="BL509" i="3"/>
  <c r="G510" i="3"/>
  <c r="BA516" i="3"/>
  <c r="BL525" i="3"/>
  <c r="G526" i="3"/>
  <c r="BA532" i="3"/>
  <c r="AZ532" i="3" s="1"/>
  <c r="BL541" i="3"/>
  <c r="G542" i="3"/>
  <c r="BA548" i="3"/>
  <c r="BA555" i="3"/>
  <c r="AZ555" i="3" s="1"/>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AZ366" i="3" s="1"/>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AZ479" i="3" s="1"/>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G16" i="3"/>
  <c r="G17" i="3"/>
  <c r="BA18" i="3"/>
  <c r="BA19" i="3"/>
  <c r="BL23" i="3"/>
  <c r="G24" i="3"/>
  <c r="G25" i="3"/>
  <c r="BA26" i="3"/>
  <c r="AZ26" i="3" s="1"/>
  <c r="BA27" i="3"/>
  <c r="BL31" i="3"/>
  <c r="AZ31" i="3" s="1"/>
  <c r="G32" i="3"/>
  <c r="G33" i="3"/>
  <c r="BA34" i="3"/>
  <c r="BA35" i="3"/>
  <c r="BL39" i="3"/>
  <c r="G40" i="3"/>
  <c r="G41" i="3"/>
  <c r="BA43" i="3"/>
  <c r="AZ43" i="3" s="1"/>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AZ215" i="3" s="1"/>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AZ278" i="3" s="1"/>
  <c r="BA279" i="3"/>
  <c r="BL284" i="3"/>
  <c r="G287" i="3"/>
  <c r="BL294" i="3"/>
  <c r="G295" i="3"/>
  <c r="BA298" i="3"/>
  <c r="AZ298" i="3" s="1"/>
  <c r="BA299" i="3"/>
  <c r="BL303" i="3"/>
  <c r="G304" i="3"/>
  <c r="BA306" i="3"/>
  <c r="BL308" i="3"/>
  <c r="BA313" i="3"/>
  <c r="BL315" i="3"/>
  <c r="G316" i="3"/>
  <c r="BL320" i="3"/>
  <c r="BA330" i="3"/>
  <c r="AZ330" i="3" s="1"/>
  <c r="BL338" i="3"/>
  <c r="G339" i="3"/>
  <c r="AZ40" i="3"/>
  <c r="G157" i="3"/>
  <c r="BL167" i="3"/>
  <c r="BL176" i="3"/>
  <c r="BL179" i="3"/>
  <c r="G181" i="3"/>
  <c r="BA182" i="3"/>
  <c r="AZ182" i="3" s="1"/>
  <c r="BA183" i="3"/>
  <c r="BL190" i="3"/>
  <c r="AZ190" i="3" s="1"/>
  <c r="BA191" i="3"/>
  <c r="BA202" i="3"/>
  <c r="AZ202" i="3" s="1"/>
  <c r="BA203" i="3"/>
  <c r="AZ203" i="3" s="1"/>
  <c r="AZ222" i="3"/>
  <c r="AZ234" i="3"/>
  <c r="AZ254" i="3"/>
  <c r="AZ286" i="3"/>
  <c r="AZ472" i="3"/>
  <c r="AC5" i="3"/>
  <c r="BE5" i="3"/>
  <c r="BI5" i="3"/>
  <c r="BF5" i="3"/>
  <c r="BJ5" i="3"/>
  <c r="BA15" i="3"/>
  <c r="BL19" i="3"/>
  <c r="AZ19" i="3" s="1"/>
  <c r="G20" i="3"/>
  <c r="G21" i="3"/>
  <c r="BA22" i="3"/>
  <c r="AZ22" i="3" s="1"/>
  <c r="BA23" i="3"/>
  <c r="AZ23" i="3" s="1"/>
  <c r="BL27" i="3"/>
  <c r="G28" i="3"/>
  <c r="G29" i="3"/>
  <c r="BA30" i="3"/>
  <c r="AZ30" i="3" s="1"/>
  <c r="BA31" i="3"/>
  <c r="BL35" i="3"/>
  <c r="G36" i="3"/>
  <c r="G37" i="3"/>
  <c r="BA38" i="3"/>
  <c r="AZ38" i="3" s="1"/>
  <c r="BA39" i="3"/>
  <c r="BL43" i="3"/>
  <c r="G44" i="3"/>
  <c r="G45" i="3"/>
  <c r="BA47" i="3"/>
  <c r="AZ47" i="3" s="1"/>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AZ321" i="3" s="1"/>
  <c r="BA338" i="3"/>
  <c r="BL17" i="3"/>
  <c r="G18" i="3"/>
  <c r="G19" i="3"/>
  <c r="BA20" i="3"/>
  <c r="BA21" i="3"/>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U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AZ443" i="3" s="1"/>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AZ334" i="3" s="1"/>
  <c r="BA335" i="3"/>
  <c r="AZ335" i="3" s="1"/>
  <c r="BL340" i="3"/>
  <c r="BA346" i="3"/>
  <c r="BA347" i="3"/>
  <c r="AZ347" i="3" s="1"/>
  <c r="BL351" i="3"/>
  <c r="AZ351" i="3" s="1"/>
  <c r="BA358" i="3"/>
  <c r="AZ358" i="3" s="1"/>
  <c r="BA359" i="3"/>
  <c r="AZ359" i="3" s="1"/>
  <c r="BL364" i="3"/>
  <c r="BL367" i="3"/>
  <c r="BA374" i="3"/>
  <c r="AZ374" i="3" s="1"/>
  <c r="BA375" i="3"/>
  <c r="BL380" i="3"/>
  <c r="BL383" i="3"/>
  <c r="AZ383" i="3" s="1"/>
  <c r="BA390" i="3"/>
  <c r="AZ390" i="3" s="1"/>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AZ489" i="3" s="1"/>
  <c r="BA496" i="3"/>
  <c r="BA497" i="3"/>
  <c r="BL502" i="3"/>
  <c r="BL505" i="3"/>
  <c r="BA512" i="3"/>
  <c r="AZ512" i="3" s="1"/>
  <c r="BA513" i="3"/>
  <c r="AZ513" i="3" s="1"/>
  <c r="BL518" i="3"/>
  <c r="BL521" i="3"/>
  <c r="BA528" i="3"/>
  <c r="BA529" i="3"/>
  <c r="BL534" i="3"/>
  <c r="BL537" i="3"/>
  <c r="BA544" i="3"/>
  <c r="BA545" i="3"/>
  <c r="AZ545" i="3" s="1"/>
  <c r="BL550" i="3"/>
  <c r="BL553" i="3"/>
  <c r="BA556" i="3"/>
  <c r="BL558" i="3"/>
  <c r="BL561" i="3"/>
  <c r="AZ584" i="3"/>
  <c r="W32" i="21"/>
  <c r="AC32" i="21"/>
  <c r="H34" i="35"/>
  <c r="AB34" i="35" s="1"/>
  <c r="F34" i="35"/>
  <c r="AA34" i="35" s="1"/>
  <c r="J33" i="36"/>
  <c r="AC33" i="36" s="1"/>
  <c r="BA290" i="3"/>
  <c r="BA291" i="3"/>
  <c r="BL295" i="3"/>
  <c r="AZ295" i="3" s="1"/>
  <c r="G296" i="3"/>
  <c r="G299" i="3"/>
  <c r="BL304" i="3"/>
  <c r="BL307" i="3"/>
  <c r="G308" i="3"/>
  <c r="G309" i="3"/>
  <c r="BA310" i="3"/>
  <c r="AZ310" i="3" s="1"/>
  <c r="BA311" i="3"/>
  <c r="BL316" i="3"/>
  <c r="G319" i="3"/>
  <c r="BA322" i="3"/>
  <c r="AZ322" i="3" s="1"/>
  <c r="BA323" i="3"/>
  <c r="BL327" i="3"/>
  <c r="G328" i="3"/>
  <c r="G331" i="3"/>
  <c r="BL336" i="3"/>
  <c r="BL339" i="3"/>
  <c r="G340" i="3"/>
  <c r="G341" i="3"/>
  <c r="BA342" i="3"/>
  <c r="AZ342" i="3" s="1"/>
  <c r="BA343" i="3"/>
  <c r="BL348" i="3"/>
  <c r="G351" i="3"/>
  <c r="BA354" i="3"/>
  <c r="AZ354" i="3" s="1"/>
  <c r="BA355" i="3"/>
  <c r="BL360" i="3"/>
  <c r="BL363" i="3"/>
  <c r="G364" i="3"/>
  <c r="G367" i="3"/>
  <c r="BA370" i="3"/>
  <c r="AZ370" i="3" s="1"/>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AZ524" i="3" s="1"/>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AZ573" i="3" s="1"/>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D87" i="71" s="1"/>
  <c r="G13" i="3"/>
  <c r="BA42" i="3"/>
  <c r="BA46" i="3"/>
  <c r="AZ46" i="3" s="1"/>
  <c r="BA318" i="3"/>
  <c r="AZ318" i="3" s="1"/>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AZ36" i="3" s="1"/>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W36" i="35"/>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AZ67" i="3" s="1"/>
  <c r="G68" i="3"/>
  <c r="BA68" i="3"/>
  <c r="AZ68" i="3" s="1"/>
  <c r="BL69" i="3"/>
  <c r="G70" i="3"/>
  <c r="BA70" i="3"/>
  <c r="AZ70" i="3" s="1"/>
  <c r="BL71" i="3"/>
  <c r="AZ71" i="3" s="1"/>
  <c r="G72" i="3"/>
  <c r="BA72" i="3"/>
  <c r="AZ72" i="3" s="1"/>
  <c r="BL73" i="3"/>
  <c r="G74" i="3"/>
  <c r="BA74" i="3"/>
  <c r="AZ74" i="3" s="1"/>
  <c r="BL75" i="3"/>
  <c r="AZ75" i="3" s="1"/>
  <c r="G76" i="3"/>
  <c r="BA76" i="3"/>
  <c r="AZ76" i="3" s="1"/>
  <c r="BL77" i="3"/>
  <c r="G78" i="3"/>
  <c r="BA78" i="3"/>
  <c r="BL79" i="3"/>
  <c r="AZ79" i="3" s="1"/>
  <c r="G80" i="3"/>
  <c r="BA80" i="3"/>
  <c r="AZ80" i="3" s="1"/>
  <c r="BL81" i="3"/>
  <c r="G82" i="3"/>
  <c r="BA82" i="3"/>
  <c r="AZ82" i="3" s="1"/>
  <c r="BL83" i="3"/>
  <c r="G84" i="3"/>
  <c r="BA84" i="3"/>
  <c r="AZ84" i="3" s="1"/>
  <c r="BL85" i="3"/>
  <c r="G86" i="3"/>
  <c r="BA86" i="3"/>
  <c r="AZ86" i="3" s="1"/>
  <c r="BL87" i="3"/>
  <c r="G88" i="3"/>
  <c r="BA88" i="3"/>
  <c r="AZ88" i="3" s="1"/>
  <c r="BL89" i="3"/>
  <c r="G90" i="3"/>
  <c r="BA90" i="3"/>
  <c r="AZ90" i="3" s="1"/>
  <c r="BL91" i="3"/>
  <c r="AZ91" i="3" s="1"/>
  <c r="G92" i="3"/>
  <c r="BA92" i="3"/>
  <c r="BL93" i="3"/>
  <c r="AZ93" i="3" s="1"/>
  <c r="G94" i="3"/>
  <c r="BA94" i="3"/>
  <c r="BL95" i="3"/>
  <c r="AZ95" i="3" s="1"/>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AZ108" i="3" s="1"/>
  <c r="BL109" i="3"/>
  <c r="G110" i="3"/>
  <c r="BA110" i="3"/>
  <c r="BL111" i="3"/>
  <c r="AZ111" i="3" s="1"/>
  <c r="G112" i="3"/>
  <c r="BA112" i="3"/>
  <c r="AZ112" i="3" s="1"/>
  <c r="BL113" i="3"/>
  <c r="G114" i="3"/>
  <c r="BA114" i="3"/>
  <c r="AZ114" i="3" s="1"/>
  <c r="BL115" i="3"/>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AZ140" i="3" s="1"/>
  <c r="BL141" i="3"/>
  <c r="G142" i="3"/>
  <c r="BA142" i="3"/>
  <c r="BL143" i="3"/>
  <c r="AZ143" i="3" s="1"/>
  <c r="G144" i="3"/>
  <c r="BA144" i="3"/>
  <c r="AZ144" i="3" s="1"/>
  <c r="BL145" i="3"/>
  <c r="G146" i="3"/>
  <c r="BA146" i="3"/>
  <c r="AZ146" i="3" s="1"/>
  <c r="BL147" i="3"/>
  <c r="AZ147" i="3" s="1"/>
  <c r="G148" i="3"/>
  <c r="BA148" i="3"/>
  <c r="AZ148" i="3" s="1"/>
  <c r="BL149" i="3"/>
  <c r="G150" i="3"/>
  <c r="BA150" i="3"/>
  <c r="AZ150" i="3" s="1"/>
  <c r="BL151" i="3"/>
  <c r="AZ151" i="3" s="1"/>
  <c r="G152" i="3"/>
  <c r="BA152" i="3"/>
  <c r="AZ152" i="3" s="1"/>
  <c r="BL153" i="3"/>
  <c r="G154" i="3"/>
  <c r="BA154" i="3"/>
  <c r="AZ154" i="3" s="1"/>
  <c r="BL155" i="3"/>
  <c r="AZ155" i="3" s="1"/>
  <c r="G156" i="3"/>
  <c r="BA156" i="3"/>
  <c r="BL157" i="3"/>
  <c r="AZ157" i="3" s="1"/>
  <c r="G158" i="3"/>
  <c r="BA158" i="3"/>
  <c r="AZ158" i="3" s="1"/>
  <c r="BL159" i="3"/>
  <c r="G160" i="3"/>
  <c r="BA160" i="3"/>
  <c r="AZ160" i="3" s="1"/>
  <c r="BL161" i="3"/>
  <c r="G162" i="3"/>
  <c r="BA162" i="3"/>
  <c r="BL163" i="3"/>
  <c r="AZ163" i="3" s="1"/>
  <c r="G164" i="3"/>
  <c r="BA164" i="3"/>
  <c r="AZ164" i="3" s="1"/>
  <c r="BL165" i="3"/>
  <c r="G166" i="3"/>
  <c r="BA168" i="3"/>
  <c r="AZ168" i="3" s="1"/>
  <c r="BL169" i="3"/>
  <c r="G170" i="3"/>
  <c r="BA172" i="3"/>
  <c r="AZ172" i="3" s="1"/>
  <c r="BL173" i="3"/>
  <c r="G174" i="3"/>
  <c r="BA176" i="3"/>
  <c r="AZ176" i="3" s="1"/>
  <c r="BL177" i="3"/>
  <c r="AZ177" i="3" s="1"/>
  <c r="G178" i="3"/>
  <c r="BA180" i="3"/>
  <c r="AZ180" i="3" s="1"/>
  <c r="BL181" i="3"/>
  <c r="G182" i="3"/>
  <c r="BA184" i="3"/>
  <c r="BL185" i="3"/>
  <c r="AZ185" i="3" s="1"/>
  <c r="G186" i="3"/>
  <c r="BA188" i="3"/>
  <c r="AZ188" i="3" s="1"/>
  <c r="BL189" i="3"/>
  <c r="G190" i="3"/>
  <c r="BA192" i="3"/>
  <c r="BL193" i="3"/>
  <c r="AZ193" i="3" s="1"/>
  <c r="G194" i="3"/>
  <c r="BA196" i="3"/>
  <c r="AZ196" i="3" s="1"/>
  <c r="BL197" i="3"/>
  <c r="G198" i="3"/>
  <c r="BA200" i="3"/>
  <c r="AZ200" i="3" s="1"/>
  <c r="BL201" i="3"/>
  <c r="G202" i="3"/>
  <c r="BA204" i="3"/>
  <c r="AZ204" i="3" s="1"/>
  <c r="BL205" i="3"/>
  <c r="G206" i="3"/>
  <c r="BA208" i="3"/>
  <c r="BL209" i="3"/>
  <c r="G210" i="3"/>
  <c r="BA212" i="3"/>
  <c r="AZ212" i="3" s="1"/>
  <c r="BL213" i="3"/>
  <c r="G214" i="3"/>
  <c r="BA216" i="3"/>
  <c r="AZ216" i="3" s="1"/>
  <c r="BL217" i="3"/>
  <c r="AZ217" i="3" s="1"/>
  <c r="G218" i="3"/>
  <c r="BA220" i="3"/>
  <c r="AZ220" i="3" s="1"/>
  <c r="BL221" i="3"/>
  <c r="G222" i="3"/>
  <c r="BA224" i="3"/>
  <c r="AZ224" i="3" s="1"/>
  <c r="BL225" i="3"/>
  <c r="G226" i="3"/>
  <c r="BA228" i="3"/>
  <c r="AZ228" i="3" s="1"/>
  <c r="BL229" i="3"/>
  <c r="G230" i="3"/>
  <c r="BA232" i="3"/>
  <c r="BL233" i="3"/>
  <c r="AZ233" i="3" s="1"/>
  <c r="G234" i="3"/>
  <c r="BA236" i="3"/>
  <c r="BL237" i="3"/>
  <c r="G238" i="3"/>
  <c r="BA240" i="3"/>
  <c r="BL241" i="3"/>
  <c r="AZ241" i="3" s="1"/>
  <c r="G242" i="3"/>
  <c r="BA244" i="3"/>
  <c r="AZ244" i="3" s="1"/>
  <c r="BL245" i="3"/>
  <c r="G246" i="3"/>
  <c r="BA248" i="3"/>
  <c r="AZ248" i="3" s="1"/>
  <c r="BL249" i="3"/>
  <c r="G250" i="3"/>
  <c r="BA252" i="3"/>
  <c r="AZ252" i="3" s="1"/>
  <c r="BL253" i="3"/>
  <c r="AZ253" i="3" s="1"/>
  <c r="G254" i="3"/>
  <c r="BA256" i="3"/>
  <c r="BL257" i="3"/>
  <c r="G258" i="3"/>
  <c r="BA260" i="3"/>
  <c r="BL261" i="3"/>
  <c r="G262" i="3"/>
  <c r="BA264" i="3"/>
  <c r="AZ264" i="3" s="1"/>
  <c r="BL265" i="3"/>
  <c r="AZ265" i="3" s="1"/>
  <c r="G266" i="3"/>
  <c r="BA268" i="3"/>
  <c r="AZ268" i="3" s="1"/>
  <c r="BL269" i="3"/>
  <c r="G270" i="3"/>
  <c r="BA272" i="3"/>
  <c r="AZ272" i="3" s="1"/>
  <c r="BL273" i="3"/>
  <c r="AZ273" i="3" s="1"/>
  <c r="G274" i="3"/>
  <c r="BA276" i="3"/>
  <c r="AZ276" i="3" s="1"/>
  <c r="BL277" i="3"/>
  <c r="AZ277" i="3" s="1"/>
  <c r="G278" i="3"/>
  <c r="BA280" i="3"/>
  <c r="AZ280" i="3" s="1"/>
  <c r="BL281" i="3"/>
  <c r="G282" i="3"/>
  <c r="BA284" i="3"/>
  <c r="AZ284" i="3" s="1"/>
  <c r="BL285" i="3"/>
  <c r="G286" i="3"/>
  <c r="BA288" i="3"/>
  <c r="AZ288" i="3" s="1"/>
  <c r="BL289" i="3"/>
  <c r="AZ289" i="3" s="1"/>
  <c r="G290" i="3"/>
  <c r="BA292" i="3"/>
  <c r="AZ292" i="3" s="1"/>
  <c r="BL293" i="3"/>
  <c r="AZ293" i="3" s="1"/>
  <c r="G294" i="3"/>
  <c r="BA296" i="3"/>
  <c r="AZ296" i="3" s="1"/>
  <c r="BL297" i="3"/>
  <c r="AZ297" i="3" s="1"/>
  <c r="G298" i="3"/>
  <c r="BA300" i="3"/>
  <c r="AZ300" i="3" s="1"/>
  <c r="BL301" i="3"/>
  <c r="G302" i="3"/>
  <c r="BA304" i="3"/>
  <c r="BL305" i="3"/>
  <c r="G306" i="3"/>
  <c r="BA308" i="3"/>
  <c r="AZ308" i="3" s="1"/>
  <c r="BL309" i="3"/>
  <c r="G310" i="3"/>
  <c r="BA312" i="3"/>
  <c r="AZ312" i="3" s="1"/>
  <c r="BL313" i="3"/>
  <c r="G314" i="3"/>
  <c r="BA316" i="3"/>
  <c r="AZ316" i="3" s="1"/>
  <c r="BL317" i="3"/>
  <c r="AZ317" i="3" s="1"/>
  <c r="G318" i="3"/>
  <c r="BA320" i="3"/>
  <c r="AZ320" i="3" s="1"/>
  <c r="BL321" i="3"/>
  <c r="G322" i="3"/>
  <c r="BA324" i="3"/>
  <c r="AZ324" i="3" s="1"/>
  <c r="BL325" i="3"/>
  <c r="G326" i="3"/>
  <c r="BA328" i="3"/>
  <c r="BL329" i="3"/>
  <c r="AZ329" i="3" s="1"/>
  <c r="G330" i="3"/>
  <c r="BA332" i="3"/>
  <c r="BL333" i="3"/>
  <c r="G334" i="3"/>
  <c r="BA336" i="3"/>
  <c r="BL337" i="3"/>
  <c r="G338" i="3"/>
  <c r="BA340" i="3"/>
  <c r="AZ340" i="3" s="1"/>
  <c r="BL341" i="3"/>
  <c r="G342" i="3"/>
  <c r="BA344" i="3"/>
  <c r="AZ344" i="3" s="1"/>
  <c r="BL345" i="3"/>
  <c r="AZ345" i="3" s="1"/>
  <c r="G346" i="3"/>
  <c r="BA348" i="3"/>
  <c r="BL349" i="3"/>
  <c r="G350" i="3"/>
  <c r="BA352" i="3"/>
  <c r="AZ352" i="3" s="1"/>
  <c r="BL353" i="3"/>
  <c r="G354" i="3"/>
  <c r="BA356" i="3"/>
  <c r="AZ356" i="3" s="1"/>
  <c r="BL357" i="3"/>
  <c r="G358" i="3"/>
  <c r="BA360" i="3"/>
  <c r="BL361" i="3"/>
  <c r="AZ361" i="3" s="1"/>
  <c r="G362" i="3"/>
  <c r="BA364" i="3"/>
  <c r="BL365" i="3"/>
  <c r="G366" i="3"/>
  <c r="BA368" i="3"/>
  <c r="AZ368" i="3" s="1"/>
  <c r="BL369" i="3"/>
  <c r="G370" i="3"/>
  <c r="BA372" i="3"/>
  <c r="AZ372" i="3" s="1"/>
  <c r="BL373" i="3"/>
  <c r="AZ373" i="3" s="1"/>
  <c r="G374" i="3"/>
  <c r="BA376" i="3"/>
  <c r="BL377" i="3"/>
  <c r="AZ377" i="3" s="1"/>
  <c r="G378" i="3"/>
  <c r="BA380" i="3"/>
  <c r="BL381" i="3"/>
  <c r="AZ381" i="3" s="1"/>
  <c r="G382" i="3"/>
  <c r="BA384" i="3"/>
  <c r="AZ384" i="3" s="1"/>
  <c r="BL385" i="3"/>
  <c r="AZ385" i="3" s="1"/>
  <c r="G386" i="3"/>
  <c r="BA388" i="3"/>
  <c r="BL389" i="3"/>
  <c r="G390" i="3"/>
  <c r="BA392" i="3"/>
  <c r="BL393" i="3"/>
  <c r="AZ393" i="3" s="1"/>
  <c r="G394" i="3"/>
  <c r="BA396" i="3"/>
  <c r="BL397" i="3"/>
  <c r="AZ397" i="3" s="1"/>
  <c r="G398" i="3"/>
  <c r="BA400" i="3"/>
  <c r="AZ400" i="3" s="1"/>
  <c r="BL401" i="3"/>
  <c r="AZ401" i="3" s="1"/>
  <c r="G402" i="3"/>
  <c r="BA404" i="3"/>
  <c r="BL405" i="3"/>
  <c r="AZ405" i="3" s="1"/>
  <c r="G406" i="3"/>
  <c r="BA408" i="3"/>
  <c r="BL409" i="3"/>
  <c r="G410" i="3"/>
  <c r="BA412" i="3"/>
  <c r="BL413" i="3"/>
  <c r="G414" i="3"/>
  <c r="BA416" i="3"/>
  <c r="AZ416" i="3" s="1"/>
  <c r="BL417" i="3"/>
  <c r="AZ417" i="3" s="1"/>
  <c r="G418" i="3"/>
  <c r="BA420" i="3"/>
  <c r="AZ420" i="3" s="1"/>
  <c r="BL421" i="3"/>
  <c r="G422" i="3"/>
  <c r="BA424" i="3"/>
  <c r="BL425" i="3"/>
  <c r="AZ425" i="3" s="1"/>
  <c r="G426" i="3"/>
  <c r="BA428" i="3"/>
  <c r="BL429" i="3"/>
  <c r="G430" i="3"/>
  <c r="BA432" i="3"/>
  <c r="AZ432" i="3" s="1"/>
  <c r="BL433" i="3"/>
  <c r="G434" i="3"/>
  <c r="BA436" i="3"/>
  <c r="AZ436" i="3" s="1"/>
  <c r="BL437" i="3"/>
  <c r="AZ437" i="3" s="1"/>
  <c r="G438" i="3"/>
  <c r="BA440" i="3"/>
  <c r="BL441" i="3"/>
  <c r="AZ441" i="3" s="1"/>
  <c r="G442" i="3"/>
  <c r="BA444" i="3"/>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AZ447" i="3" s="1"/>
  <c r="G448" i="3"/>
  <c r="BA450" i="3"/>
  <c r="BL451" i="3"/>
  <c r="G452" i="3"/>
  <c r="BA454" i="3"/>
  <c r="BL455" i="3"/>
  <c r="G456" i="3"/>
  <c r="BA458" i="3"/>
  <c r="BL459" i="3"/>
  <c r="G460" i="3"/>
  <c r="BA462" i="3"/>
  <c r="BL463" i="3"/>
  <c r="AZ463" i="3" s="1"/>
  <c r="G464" i="3"/>
  <c r="BA466" i="3"/>
  <c r="BL467" i="3"/>
  <c r="AZ467" i="3" s="1"/>
  <c r="G468" i="3"/>
  <c r="BA470" i="3"/>
  <c r="BL471" i="3"/>
  <c r="AZ471" i="3" s="1"/>
  <c r="G472" i="3"/>
  <c r="BA474" i="3"/>
  <c r="BL475" i="3"/>
  <c r="G476" i="3"/>
  <c r="BA478" i="3"/>
  <c r="AZ478" i="3" s="1"/>
  <c r="BL479" i="3"/>
  <c r="G480" i="3"/>
  <c r="BA482" i="3"/>
  <c r="BL483" i="3"/>
  <c r="G484" i="3"/>
  <c r="BA486" i="3"/>
  <c r="BL487" i="3"/>
  <c r="AZ487" i="3" s="1"/>
  <c r="G488" i="3"/>
  <c r="BA490" i="3"/>
  <c r="BL491" i="3"/>
  <c r="G492" i="3"/>
  <c r="BA494" i="3"/>
  <c r="BL495" i="3"/>
  <c r="AZ495" i="3" s="1"/>
  <c r="G496" i="3"/>
  <c r="BA498" i="3"/>
  <c r="BL499" i="3"/>
  <c r="G500" i="3"/>
  <c r="BA502" i="3"/>
  <c r="BL503" i="3"/>
  <c r="AZ503" i="3" s="1"/>
  <c r="G504" i="3"/>
  <c r="BA506" i="3"/>
  <c r="AZ506" i="3" s="1"/>
  <c r="BL507" i="3"/>
  <c r="AZ507" i="3" s="1"/>
  <c r="G508" i="3"/>
  <c r="BA510" i="3"/>
  <c r="AZ510" i="3" s="1"/>
  <c r="BL511" i="3"/>
  <c r="AZ511" i="3" s="1"/>
  <c r="G512" i="3"/>
  <c r="BA514" i="3"/>
  <c r="BL515" i="3"/>
  <c r="AZ515" i="3" s="1"/>
  <c r="G516" i="3"/>
  <c r="BA518" i="3"/>
  <c r="BL519" i="3"/>
  <c r="G520" i="3"/>
  <c r="BA522" i="3"/>
  <c r="AZ522" i="3" s="1"/>
  <c r="BL523" i="3"/>
  <c r="AZ523" i="3" s="1"/>
  <c r="G524" i="3"/>
  <c r="BA526" i="3"/>
  <c r="BL527" i="3"/>
  <c r="AZ527" i="3" s="1"/>
  <c r="G528" i="3"/>
  <c r="BA530" i="3"/>
  <c r="BL531" i="3"/>
  <c r="AZ531" i="3" s="1"/>
  <c r="G532" i="3"/>
  <c r="BA534" i="3"/>
  <c r="BL535" i="3"/>
  <c r="G536" i="3"/>
  <c r="BA538" i="3"/>
  <c r="AZ538" i="3" s="1"/>
  <c r="BL539" i="3"/>
  <c r="G540" i="3"/>
  <c r="BA542" i="3"/>
  <c r="AZ542" i="3" s="1"/>
  <c r="BL543" i="3"/>
  <c r="AZ543" i="3" s="1"/>
  <c r="G544" i="3"/>
  <c r="BA546" i="3"/>
  <c r="BL547" i="3"/>
  <c r="AZ547" i="3" s="1"/>
  <c r="G548" i="3"/>
  <c r="BA550" i="3"/>
  <c r="BL551" i="3"/>
  <c r="G552" i="3"/>
  <c r="BA554" i="3"/>
  <c r="BL555" i="3"/>
  <c r="G556" i="3"/>
  <c r="BA558" i="3"/>
  <c r="BL559" i="3"/>
  <c r="AZ559" i="3" s="1"/>
  <c r="G560" i="3"/>
  <c r="BA562" i="3"/>
  <c r="AZ562" i="3" s="1"/>
  <c r="BL563" i="3"/>
  <c r="G564" i="3"/>
  <c r="BA566" i="3"/>
  <c r="AZ566" i="3" s="1"/>
  <c r="BL567" i="3"/>
  <c r="AZ567" i="3" s="1"/>
  <c r="G568" i="3"/>
  <c r="BA570" i="3"/>
  <c r="AZ570" i="3" s="1"/>
  <c r="BL571" i="3"/>
  <c r="G572" i="3"/>
  <c r="BA574" i="3"/>
  <c r="AZ574" i="3" s="1"/>
  <c r="BL575" i="3"/>
  <c r="AZ575" i="3" s="1"/>
  <c r="G576" i="3"/>
  <c r="BA578" i="3"/>
  <c r="AZ578" i="3" s="1"/>
  <c r="BL579" i="3"/>
  <c r="G580" i="3"/>
  <c r="BA582" i="3"/>
  <c r="BL583" i="3"/>
  <c r="AZ583" i="3" s="1"/>
  <c r="G584" i="3"/>
  <c r="BA586" i="3"/>
  <c r="AZ586" i="3" s="1"/>
  <c r="BL587" i="3"/>
  <c r="P27" i="6"/>
  <c r="K7" i="1"/>
  <c r="M7" i="1" s="1"/>
  <c r="B24" i="1"/>
  <c r="F34" i="11" s="1"/>
  <c r="D7" i="74"/>
  <c r="R14" i="77"/>
  <c r="R25" i="77" s="1"/>
  <c r="R5" i="77" s="1"/>
  <c r="U5" i="77" s="1"/>
  <c r="K145" i="21"/>
  <c r="U8" i="34"/>
  <c r="W27" i="34"/>
  <c r="AA42" i="34"/>
  <c r="H27" i="34"/>
  <c r="U27" i="34" s="1"/>
  <c r="F27" i="34"/>
  <c r="AA27" i="34" s="1"/>
  <c r="AB9" i="37"/>
  <c r="W30" i="37"/>
  <c r="J40" i="37"/>
  <c r="AC40" i="37" s="1"/>
  <c r="F40" i="37"/>
  <c r="W28" i="35"/>
  <c r="W32" i="35"/>
  <c r="AA8" i="36"/>
  <c r="S8" i="36"/>
  <c r="H11" i="36"/>
  <c r="AB11" i="36" s="1"/>
  <c r="F11" i="36"/>
  <c r="AA11" i="36" s="1"/>
  <c r="H13" i="36"/>
  <c r="U13" i="36" s="1"/>
  <c r="J13" i="36"/>
  <c r="AC13" i="36" s="1"/>
  <c r="H23" i="36"/>
  <c r="AB23" i="36" s="1"/>
  <c r="F23" i="36"/>
  <c r="AA23" i="36" s="1"/>
  <c r="H25" i="36"/>
  <c r="U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F28" i="6"/>
  <c r="G24" i="78"/>
  <c r="BA14" i="3"/>
  <c r="BB5" i="3"/>
  <c r="AZ15" i="3"/>
  <c r="AZ21" i="3"/>
  <c r="AZ25" i="3"/>
  <c r="AZ27" i="3"/>
  <c r="AZ29" i="3"/>
  <c r="AZ35" i="3"/>
  <c r="AZ37" i="3"/>
  <c r="AZ39" i="3"/>
  <c r="AZ49" i="3"/>
  <c r="AZ59" i="3"/>
  <c r="AZ69" i="3"/>
  <c r="AZ73" i="3"/>
  <c r="AZ77" i="3"/>
  <c r="AZ83" i="3"/>
  <c r="AZ89" i="3"/>
  <c r="AZ97" i="3"/>
  <c r="AZ105" i="3"/>
  <c r="AZ113" i="3"/>
  <c r="AZ115" i="3"/>
  <c r="AZ123" i="3"/>
  <c r="AZ125" i="3"/>
  <c r="AZ129" i="3"/>
  <c r="AZ139" i="3"/>
  <c r="AZ145" i="3"/>
  <c r="AZ159" i="3"/>
  <c r="AZ173" i="3"/>
  <c r="AZ181" i="3"/>
  <c r="AZ189" i="3"/>
  <c r="AZ201" i="3"/>
  <c r="AZ209" i="3"/>
  <c r="AZ225" i="3"/>
  <c r="AZ237" i="3"/>
  <c r="AZ249" i="3"/>
  <c r="AZ285" i="3"/>
  <c r="AZ301" i="3"/>
  <c r="AZ305" i="3"/>
  <c r="AZ325" i="3"/>
  <c r="AZ337" i="3"/>
  <c r="AZ349" i="3"/>
  <c r="AB8" i="71"/>
  <c r="X8" i="71"/>
  <c r="AA8" i="71"/>
  <c r="Y8" i="71"/>
  <c r="Z8" i="71" s="1"/>
  <c r="A118" i="9"/>
  <c r="A2" i="9"/>
  <c r="M56" i="9"/>
  <c r="J56" i="9"/>
  <c r="J57" i="9" s="1"/>
  <c r="J59" i="9" s="1"/>
  <c r="J61" i="9" s="1"/>
  <c r="N56" i="9"/>
  <c r="K56" i="9"/>
  <c r="I4" i="6"/>
  <c r="AZ435" i="3"/>
  <c r="AZ459" i="3"/>
  <c r="AZ483" i="3"/>
  <c r="AZ491" i="3"/>
  <c r="AZ539" i="3"/>
  <c r="AZ587" i="3"/>
  <c r="AR8" i="1"/>
  <c r="AQ8" i="1"/>
  <c r="T8" i="1"/>
  <c r="C18" i="9"/>
  <c r="D18" i="9" s="1"/>
  <c r="C94" i="9"/>
  <c r="C92" i="9"/>
  <c r="H89" i="21"/>
  <c r="I89" i="21" s="1"/>
  <c r="J89" i="21" s="1"/>
  <c r="K89" i="21" s="1"/>
  <c r="L89" i="21" s="1"/>
  <c r="M89" i="21" s="1"/>
  <c r="W30" i="21"/>
  <c r="T7" i="1"/>
  <c r="AR10" i="1"/>
  <c r="AQ10" i="1"/>
  <c r="T10" i="1"/>
  <c r="AB13" i="21"/>
  <c r="U13" i="21"/>
  <c r="S37" i="21"/>
  <c r="J44" i="21"/>
  <c r="H44" i="21"/>
  <c r="AC46" i="21"/>
  <c r="W46" i="21"/>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F28" i="67"/>
  <c r="P74" i="67"/>
  <c r="E23" i="77"/>
  <c r="D26" i="77"/>
  <c r="C29" i="77"/>
  <c r="R35" i="77"/>
  <c r="U34" i="77" s="1"/>
  <c r="U8"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S27" i="34"/>
  <c r="W29" i="34"/>
  <c r="S31" i="34"/>
  <c r="AB33" i="34"/>
  <c r="U33" i="34"/>
  <c r="AC34" i="34"/>
  <c r="W34" i="34"/>
  <c r="AA38" i="34"/>
  <c r="AB41" i="34"/>
  <c r="U41" i="34"/>
  <c r="AC42" i="34"/>
  <c r="W42" i="34"/>
  <c r="AA46" i="34"/>
  <c r="AB47" i="34"/>
  <c r="AA15" i="37"/>
  <c r="AA19" i="37"/>
  <c r="AA23" i="37"/>
  <c r="AB31" i="37"/>
  <c r="U31" i="37"/>
  <c r="AC32" i="37"/>
  <c r="W32" i="37"/>
  <c r="AA36" i="37"/>
  <c r="W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D32" i="77" s="1"/>
  <c r="U10" i="21"/>
  <c r="S11" i="21"/>
  <c r="W11" i="21"/>
  <c r="U12" i="21"/>
  <c r="S13" i="21"/>
  <c r="W13" i="21"/>
  <c r="U14" i="21"/>
  <c r="U15" i="21"/>
  <c r="G17" i="21"/>
  <c r="I17" i="21"/>
  <c r="U17" i="21"/>
  <c r="U19" i="21"/>
  <c r="U21" i="21"/>
  <c r="U23" i="21"/>
  <c r="S25" i="21"/>
  <c r="W25" i="21"/>
  <c r="U30" i="21"/>
  <c r="W31" i="21"/>
  <c r="S39" i="21"/>
  <c r="W39" i="21"/>
  <c r="U40" i="21"/>
  <c r="S41" i="21"/>
  <c r="W41" i="21"/>
  <c r="W45" i="21"/>
  <c r="R47" i="21"/>
  <c r="V47" i="21"/>
  <c r="G54" i="21"/>
  <c r="H54" i="21" s="1"/>
  <c r="K144" i="21"/>
  <c r="U9" i="33"/>
  <c r="S10" i="33"/>
  <c r="W10" i="33"/>
  <c r="U11" i="33"/>
  <c r="S12"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J45" i="33"/>
  <c r="F45" i="33"/>
  <c r="S10" i="34"/>
  <c r="S14" i="34"/>
  <c r="S17" i="34"/>
  <c r="S21" i="34"/>
  <c r="S29" i="34"/>
  <c r="AB37" i="34"/>
  <c r="U37" i="34"/>
  <c r="AC38" i="34"/>
  <c r="W38" i="34"/>
  <c r="AC46"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1" i="35"/>
  <c r="W11" i="35"/>
  <c r="AC13" i="35"/>
  <c r="W13" i="35"/>
  <c r="AC16" i="35"/>
  <c r="W16" i="35"/>
  <c r="AC20" i="35"/>
  <c r="W20" i="35"/>
  <c r="AB29" i="35"/>
  <c r="U29" i="35"/>
  <c r="AA30" i="35"/>
  <c r="S30" i="35"/>
  <c r="S34" i="35"/>
  <c r="U35" i="35"/>
  <c r="AB11" i="35"/>
  <c r="U11" i="35"/>
  <c r="AB13" i="35"/>
  <c r="U13" i="35"/>
  <c r="J35" i="35"/>
  <c r="F35" i="35"/>
  <c r="AB33" i="36"/>
  <c r="AC14" i="39"/>
  <c r="W14" i="39"/>
  <c r="AB30" i="40"/>
  <c r="U30" i="40"/>
  <c r="U38" i="33"/>
  <c r="S39" i="33"/>
  <c r="W39" i="33"/>
  <c r="U40" i="33"/>
  <c r="S41" i="33"/>
  <c r="W41" i="33"/>
  <c r="U42" i="33"/>
  <c r="S43" i="33"/>
  <c r="W43" i="33"/>
  <c r="U44" i="33"/>
  <c r="U46" i="33"/>
  <c r="U10" i="34"/>
  <c r="S11" i="34"/>
  <c r="W11" i="34"/>
  <c r="U12" i="34"/>
  <c r="S13" i="34"/>
  <c r="W13"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U24" i="35"/>
  <c r="S28" i="35"/>
  <c r="W30" i="35"/>
  <c r="S32" i="35"/>
  <c r="U33" i="35"/>
  <c r="W34" i="35"/>
  <c r="S36" i="35"/>
  <c r="J24" i="35"/>
  <c r="F24" i="35"/>
  <c r="AB8" i="36"/>
  <c r="AB13" i="36"/>
  <c r="AB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6" i="36"/>
  <c r="W26" i="36"/>
  <c r="U27" i="36"/>
  <c r="S28" i="36"/>
  <c r="W28" i="36"/>
  <c r="U29" i="36"/>
  <c r="S30" i="36"/>
  <c r="W30" i="36"/>
  <c r="U31" i="36"/>
  <c r="S34" i="36"/>
  <c r="W34" i="36"/>
  <c r="S8" i="39"/>
  <c r="W8" i="39"/>
  <c r="S9" i="39"/>
  <c r="W9" i="39"/>
  <c r="U11" i="39"/>
  <c r="F12" i="39"/>
  <c r="U13" i="39"/>
  <c r="F14" i="39"/>
  <c r="S15" i="39"/>
  <c r="W15" i="39"/>
  <c r="S17" i="39"/>
  <c r="W17" i="39"/>
  <c r="S19" i="39"/>
  <c r="W19" i="39"/>
  <c r="U21" i="39"/>
  <c r="AC21" i="39"/>
  <c r="S23" i="39"/>
  <c r="U25" i="39"/>
  <c r="W27" i="39"/>
  <c r="S31" i="39"/>
  <c r="U32" i="39"/>
  <c r="W34"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AB12" i="40"/>
  <c r="U12"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S76" i="71"/>
  <c r="B75" i="71"/>
  <c r="B74" i="71" s="1"/>
  <c r="V76" i="71"/>
  <c r="D83" i="71"/>
  <c r="C82" i="71"/>
  <c r="D82" i="71" s="1"/>
  <c r="X29" i="71"/>
  <c r="X33" i="71"/>
  <c r="X37" i="71"/>
  <c r="D54" i="71"/>
  <c r="D62" i="71"/>
  <c r="F66" i="71"/>
  <c r="P67" i="71"/>
  <c r="D71" i="71"/>
  <c r="C70" i="71"/>
  <c r="D70" i="71" s="1"/>
  <c r="S72" i="71"/>
  <c r="B71" i="71"/>
  <c r="B70" i="71" s="1"/>
  <c r="V72" i="71"/>
  <c r="D79" i="71"/>
  <c r="C78" i="71"/>
  <c r="D78" i="71" s="1"/>
  <c r="S80" i="71"/>
  <c r="B79" i="71"/>
  <c r="B78" i="71" s="1"/>
  <c r="V80" i="7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M20" i="67"/>
  <c r="F34" i="67"/>
  <c r="F62" i="67" s="1"/>
  <c r="M20" i="15"/>
  <c r="A18" i="51"/>
  <c r="B13" i="72" s="1"/>
  <c r="C53" i="10"/>
  <c r="C5" i="78"/>
  <c r="D5" i="78" s="1"/>
  <c r="C6" i="78"/>
  <c r="D6" i="78" s="1"/>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1" i="67"/>
  <c r="F68" i="67"/>
  <c r="B20" i="31"/>
  <c r="B21" i="31" s="1"/>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D7" i="73"/>
  <c r="F7" i="67"/>
  <c r="L48" i="67"/>
  <c r="F6" i="73"/>
  <c r="AZ313" i="3" l="1"/>
  <c r="AZ535" i="3"/>
  <c r="AZ55" i="3"/>
  <c r="AZ169" i="3"/>
  <c r="AZ103" i="3"/>
  <c r="AZ281" i="3"/>
  <c r="AZ127" i="3"/>
  <c r="AZ63" i="3"/>
  <c r="C86" i="71"/>
  <c r="D86" i="71" s="1"/>
  <c r="D75" i="71"/>
  <c r="S24" i="36"/>
  <c r="U23" i="36"/>
  <c r="U11" i="36"/>
  <c r="S23" i="35"/>
  <c r="U32" i="34"/>
  <c r="W12" i="21"/>
  <c r="U9" i="21"/>
  <c r="AR7" i="1"/>
  <c r="AZ232" i="3"/>
  <c r="AZ184" i="3"/>
  <c r="AZ126" i="3"/>
  <c r="AZ94" i="3"/>
  <c r="AZ62" i="3"/>
  <c r="AZ564" i="3"/>
  <c r="AZ407" i="3"/>
  <c r="AZ426" i="3"/>
  <c r="AZ378" i="3"/>
  <c r="AZ536" i="3"/>
  <c r="AZ206" i="3"/>
  <c r="AZ210" i="3"/>
  <c r="AZ34" i="3"/>
  <c r="W39" i="40"/>
  <c r="S9" i="33"/>
  <c r="W27" i="33"/>
  <c r="AZ444" i="3"/>
  <c r="AZ428" i="3"/>
  <c r="AZ412" i="3"/>
  <c r="AZ396" i="3"/>
  <c r="AZ380" i="3"/>
  <c r="S36" i="39"/>
  <c r="W9" i="34"/>
  <c r="AC12" i="39"/>
  <c r="W14" i="33"/>
  <c r="S28" i="21"/>
  <c r="U14" i="40"/>
  <c r="W32" i="36"/>
  <c r="U14" i="34"/>
  <c r="S46" i="33"/>
  <c r="U13" i="33"/>
  <c r="AZ14" i="3"/>
  <c r="W38" i="37"/>
  <c r="AZ579" i="3"/>
  <c r="AZ558" i="3"/>
  <c r="AZ446" i="3"/>
  <c r="AZ421" i="3"/>
  <c r="AZ357" i="3"/>
  <c r="AZ341" i="3"/>
  <c r="AZ304" i="3"/>
  <c r="AZ256" i="3"/>
  <c r="AZ245" i="3"/>
  <c r="AZ240" i="3"/>
  <c r="AZ229" i="3"/>
  <c r="AZ213" i="3"/>
  <c r="AZ208" i="3"/>
  <c r="AZ192" i="3"/>
  <c r="AZ165" i="3"/>
  <c r="AZ149" i="3"/>
  <c r="AZ141" i="3"/>
  <c r="AZ130" i="3"/>
  <c r="AZ85" i="3"/>
  <c r="AZ66" i="3"/>
  <c r="AZ53" i="3"/>
  <c r="AZ549" i="3"/>
  <c r="AZ525" i="3"/>
  <c r="AZ517" i="3"/>
  <c r="AZ339" i="3"/>
  <c r="AZ556" i="3"/>
  <c r="AZ480" i="3"/>
  <c r="AZ448" i="3"/>
  <c r="AZ415" i="3"/>
  <c r="AZ399" i="3"/>
  <c r="AZ560" i="3"/>
  <c r="AZ326" i="3"/>
  <c r="AZ166" i="3"/>
  <c r="AZ48" i="3"/>
  <c r="AZ20" i="3"/>
  <c r="AZ242" i="3"/>
  <c r="AZ18" i="3"/>
  <c r="C6" i="43"/>
  <c r="D5" i="43" s="1"/>
  <c r="F26" i="21"/>
  <c r="AA26" i="21" s="1"/>
  <c r="AQ9" i="1"/>
  <c r="AZ13" i="3"/>
  <c r="S29" i="21"/>
  <c r="U45" i="21"/>
  <c r="F30" i="69"/>
  <c r="F48" i="69" s="1"/>
  <c r="M18" i="15"/>
  <c r="Q16" i="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M7" i="67"/>
  <c r="M17" i="67" s="1"/>
  <c r="F31" i="67"/>
  <c r="G5" i="3"/>
  <c r="B3" i="3" s="1"/>
  <c r="E317" i="3" s="1"/>
  <c r="AZ477" i="3"/>
  <c r="AZ445" i="3"/>
  <c r="C33" i="21"/>
  <c r="AB33" i="21" s="1"/>
  <c r="F106" i="21"/>
  <c r="G106" i="21" s="1"/>
  <c r="H106" i="21" s="1"/>
  <c r="I106" i="21" s="1"/>
  <c r="J106" i="21" s="1"/>
  <c r="K106" i="21" s="1"/>
  <c r="L106" i="21" s="1"/>
  <c r="M106" i="21" s="1"/>
  <c r="F34" i="21"/>
  <c r="J34" i="21"/>
  <c r="AC34" i="21" s="1"/>
  <c r="U37" i="21"/>
  <c r="W37" i="21"/>
  <c r="AA37" i="21"/>
  <c r="E8" i="6"/>
  <c r="F27" i="6" s="1"/>
  <c r="AZ364" i="3"/>
  <c r="AZ311" i="3"/>
  <c r="AZ338" i="3"/>
  <c r="AZ275" i="3"/>
  <c r="AZ303" i="3"/>
  <c r="E17" i="43"/>
  <c r="AB37" i="21"/>
  <c r="J26" i="21"/>
  <c r="AC26" i="21" s="1"/>
  <c r="S27" i="21"/>
  <c r="W42" i="21"/>
  <c r="W27" i="21"/>
  <c r="E13" i="6"/>
  <c r="E62" i="39" s="1"/>
  <c r="E10" i="6"/>
  <c r="F72" i="43"/>
  <c r="H80" i="43" s="1"/>
  <c r="U33" i="21"/>
  <c r="C15" i="12"/>
  <c r="E5" i="6"/>
  <c r="D19" i="12" s="1"/>
  <c r="C19" i="12" s="1"/>
  <c r="E12" i="6"/>
  <c r="E57" i="40" s="1"/>
  <c r="J26" i="35"/>
  <c r="AZ561" i="3"/>
  <c r="AZ553" i="3"/>
  <c r="AZ521" i="3"/>
  <c r="AZ167" i="3"/>
  <c r="AZ294" i="3"/>
  <c r="AZ191" i="3"/>
  <c r="AZ299" i="3"/>
  <c r="AZ195" i="3"/>
  <c r="E14" i="6"/>
  <c r="E59" i="40" s="1"/>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P59" i="21"/>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AP6" i="1"/>
  <c r="C36" i="69" s="1"/>
  <c r="M6" i="1"/>
  <c r="F30" i="6"/>
  <c r="E28" i="6"/>
  <c r="BA5" i="3"/>
  <c r="E27" i="6" s="1"/>
  <c r="U42" i="21"/>
  <c r="S42" i="21"/>
  <c r="W35" i="21"/>
  <c r="S35" i="21"/>
  <c r="AA35" i="21"/>
  <c r="W43" i="21"/>
  <c r="U43" i="21"/>
  <c r="U27" i="21"/>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F43" i="15"/>
  <c r="D3" i="73"/>
  <c r="C76" i="15"/>
  <c r="J15" i="15"/>
  <c r="F37" i="15"/>
  <c r="M28" i="15"/>
  <c r="L47" i="15"/>
  <c r="F26" i="15"/>
  <c r="F7" i="15"/>
  <c r="F4" i="73"/>
  <c r="M26" i="15"/>
  <c r="F8" i="15"/>
  <c r="M6" i="15"/>
  <c r="D6" i="73"/>
  <c r="M27" i="15"/>
  <c r="F35" i="15"/>
  <c r="D5" i="73"/>
  <c r="F16" i="15"/>
  <c r="D4" i="73"/>
  <c r="F9" i="15"/>
  <c r="F3" i="73"/>
  <c r="F7" i="73"/>
  <c r="F13" i="15"/>
  <c r="M23" i="15"/>
  <c r="M29" i="15"/>
  <c r="F43" i="67"/>
  <c r="M8" i="15"/>
  <c r="M24" i="15"/>
  <c r="M21" i="15"/>
  <c r="M9" i="15"/>
  <c r="F41" i="15"/>
  <c r="F42" i="15"/>
  <c r="F40" i="15"/>
  <c r="M22" i="15"/>
  <c r="F36" i="15"/>
  <c r="F6" i="15"/>
  <c r="M29" i="67"/>
  <c r="F38" i="15"/>
  <c r="C14" i="15"/>
  <c r="F5" i="73"/>
  <c r="L48" i="15"/>
  <c r="E63" i="39" l="1"/>
  <c r="E58" i="40"/>
  <c r="C49" i="67"/>
  <c r="F59" i="67"/>
  <c r="H78" i="43"/>
  <c r="H72" i="43"/>
  <c r="J6" i="67"/>
  <c r="J18" i="67" s="1"/>
  <c r="AQ6" i="3"/>
  <c r="E142" i="3"/>
  <c r="E187" i="3"/>
  <c r="AS6" i="3"/>
  <c r="E54" i="3"/>
  <c r="E118" i="3"/>
  <c r="E101" i="3"/>
  <c r="E285" i="3"/>
  <c r="J6" i="3"/>
  <c r="E78" i="3"/>
  <c r="E22" i="3"/>
  <c r="E86" i="3"/>
  <c r="E150" i="3"/>
  <c r="H16" i="1"/>
  <c r="E60" i="40"/>
  <c r="E271" i="3"/>
  <c r="E46" i="3"/>
  <c r="E110" i="3"/>
  <c r="Y6" i="3"/>
  <c r="E37" i="3"/>
  <c r="AJ6" i="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C31" i="67"/>
  <c r="E67" i="3"/>
  <c r="E544" i="3"/>
  <c r="E460" i="3"/>
  <c r="E503" i="3"/>
  <c r="E403" i="3"/>
  <c r="E356" i="3"/>
  <c r="E228" i="3"/>
  <c r="E338" i="3"/>
  <c r="E250" i="3"/>
  <c r="E166" i="3"/>
  <c r="E83" i="3"/>
  <c r="P6" i="3"/>
  <c r="W34" i="21"/>
  <c r="S34" i="21"/>
  <c r="AA34" i="21"/>
  <c r="E330" i="3"/>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R59" i="21"/>
  <c r="S59" i="21" s="1"/>
  <c r="T59" i="21" s="1"/>
  <c r="U59" i="21" s="1"/>
  <c r="V59" i="21" s="1"/>
  <c r="Q59" i="2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6" i="15"/>
  <c r="G1" i="73"/>
  <c r="C17" i="15"/>
  <c r="C16" i="67"/>
  <c r="H6" i="3" l="1"/>
  <c r="C59" i="67"/>
  <c r="J19" i="67"/>
  <c r="J10" i="67"/>
  <c r="J5" i="67" s="1"/>
  <c r="J24" i="67" s="1"/>
  <c r="J17" i="67"/>
  <c r="AC6" i="3"/>
  <c r="E65" i="39"/>
  <c r="B40" i="1"/>
  <c r="F22" i="11" s="1"/>
  <c r="C23" i="11" s="1"/>
  <c r="AY6" i="3"/>
  <c r="AY585" i="3" s="1"/>
  <c r="H7" i="35"/>
  <c r="AB7" i="35" s="1"/>
  <c r="T38" i="35" s="1"/>
  <c r="G38" i="35" s="1"/>
  <c r="AY462" i="3"/>
  <c r="AY562" i="3"/>
  <c r="AY299" i="3"/>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S7" i="33"/>
  <c r="D65" i="40"/>
  <c r="E63" i="40"/>
  <c r="AC7" i="34"/>
  <c r="V49" i="34" s="1"/>
  <c r="I49" i="34" s="1"/>
  <c r="J7" i="37"/>
  <c r="C14" i="67"/>
  <c r="C17" i="67"/>
  <c r="AE6" i="1"/>
  <c r="AY423" i="3" l="1"/>
  <c r="AG6" i="1"/>
  <c r="AY387" i="3"/>
  <c r="AY426" i="3"/>
  <c r="AY573" i="3"/>
  <c r="AY287" i="3"/>
  <c r="AY441" i="3"/>
  <c r="AY394" i="3"/>
  <c r="AY525" i="3"/>
  <c r="AY255" i="3"/>
  <c r="AY433"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D25" i="6"/>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M27" i="67"/>
  <c r="F41" i="67"/>
  <c r="D15" i="6" l="1"/>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B6" i="76"/>
  <c r="E6" i="76"/>
  <c r="R21" i="6" l="1"/>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D31" i="6" l="1"/>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F35" i="67"/>
  <c r="D19" i="9"/>
  <c r="D20" i="9"/>
  <c r="M21" i="67"/>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19" i="9"/>
  <c r="C20" i="9"/>
  <c r="AO6" i="1"/>
  <c r="G20" i="9" l="1"/>
  <c r="C103" i="9"/>
  <c r="B6" i="70"/>
  <c r="B2" i="70" s="1"/>
  <c r="B3" i="70" s="1"/>
  <c r="C21" i="9"/>
  <c r="C102" i="9"/>
  <c r="D22" i="9"/>
  <c r="T12" i="71"/>
  <c r="D12" i="71"/>
  <c r="U12" i="71" s="1"/>
  <c r="C11" i="71"/>
  <c r="M65" i="40"/>
  <c r="N63" i="40"/>
  <c r="M69" i="39"/>
  <c r="N67" i="39"/>
  <c r="G19" i="9" l="1"/>
  <c r="E14" i="74"/>
  <c r="D14" i="74" s="1"/>
  <c r="C32" i="9"/>
  <c r="C35" i="9" s="1"/>
  <c r="C34" i="9" s="1"/>
  <c r="D11" i="71"/>
  <c r="C10" i="71"/>
  <c r="N69" i="39"/>
  <c r="O67" i="39"/>
  <c r="O69" i="39" s="1"/>
  <c r="N65" i="40"/>
  <c r="O63" i="40"/>
  <c r="O65" i="40" s="1"/>
  <c r="D27" i="9" l="1"/>
  <c r="D30" i="9" s="1"/>
  <c r="C30" i="9" s="1"/>
  <c r="I21" i="9"/>
  <c r="I20" i="9"/>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E97" i="9" l="1"/>
  <c r="E96" i="9"/>
  <c r="C96" i="9"/>
  <c r="E81" i="9"/>
  <c r="E80" i="9"/>
  <c r="C80" i="9"/>
  <c r="B31" i="72"/>
  <c r="D15" i="53"/>
  <c r="D54" i="9"/>
  <c r="C68" i="9"/>
  <c r="M54" i="9"/>
  <c r="D56" i="9"/>
  <c r="D58" i="9"/>
  <c r="C85" i="9"/>
  <c r="C95" i="9"/>
  <c r="C97" i="9"/>
  <c r="B47" i="72"/>
  <c r="D4" i="52"/>
  <c r="B32" i="72"/>
  <c r="D14" i="53"/>
  <c r="B21" i="72"/>
  <c r="D7" i="53"/>
  <c r="N60" i="9"/>
  <c r="N59" i="9"/>
  <c r="N61" i="9"/>
  <c r="I4" i="52"/>
  <c r="C105" i="9"/>
  <c r="H4" i="52"/>
  <c r="C104" i="9"/>
  <c r="B20" i="72"/>
  <c r="D5" i="53"/>
  <c r="D6" i="53"/>
  <c r="B22" i="72"/>
  <c r="B52" i="72"/>
  <c r="G4" i="52"/>
  <c r="C86" i="9"/>
  <c r="C93" i="9"/>
  <c r="P57" i="9"/>
  <c r="D55" i="9"/>
  <c r="M53" i="9"/>
  <c r="N57" i="9"/>
  <c r="N58" i="9"/>
  <c r="B51" i="72"/>
  <c r="F4" i="52"/>
  <c r="H119" i="9"/>
  <c r="H5" i="52"/>
  <c r="D8" i="52"/>
  <c r="D122" i="9"/>
  <c r="D123" i="9"/>
  <c r="D9" i="52"/>
  <c r="M48" i="9"/>
  <c r="E4" i="52"/>
  <c r="B48" i="72"/>
  <c r="H108" i="9"/>
  <c r="C6" i="74"/>
  <c r="C72" i="9"/>
  <c r="C79" i="9"/>
  <c r="C81" i="9"/>
  <c r="C73" i="9"/>
  <c r="C78" i="9"/>
  <c r="D53" i="9"/>
  <c r="D52" i="9"/>
  <c r="D45" i="9"/>
  <c r="C64" i="9"/>
  <c r="C63" i="9"/>
  <c r="C67" i="9"/>
  <c r="D59" i="9"/>
  <c r="M55" i="9"/>
  <c r="H101" i="9"/>
  <c r="H107" i="9"/>
  <c r="D13" i="53"/>
  <c r="B30" i="72"/>
  <c r="E118" i="9"/>
  <c r="D118" i="9"/>
  <c r="D119" i="9"/>
  <c r="D5" i="52"/>
  <c r="B49" i="72"/>
  <c r="H118" i="9"/>
  <c r="I118" i="9"/>
  <c r="H102" i="9"/>
  <c r="C5" i="74"/>
  <c r="G118" i="9"/>
  <c r="F118" i="9"/>
  <c r="F119" i="9"/>
  <c r="F5" i="52"/>
  <c r="B5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<sst xmlns="http://schemas.openxmlformats.org/spreadsheetml/2006/main" count="7983" uniqueCount="3494">
  <si>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</si>
  <si>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</si>
  <si>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</si>
  <si>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</si>
  <si>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</si>
  <si>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</si>
  <si>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</si>
  <si>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</si>
  <si>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</si>
  <si>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</si>
  <si>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</si>
  <si>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</si>
  <si>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</si>
  <si>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</si>
  <si>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</si>
  <si>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</si>
  <si>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</si>
  <si>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</si>
  <si>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</si>
  <si>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</si>
  <si>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</si>
  <si>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</si>
  <si>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</si>
  <si>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</si>
  <si>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</si>
  <si>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</si>
  <si>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</si>
  <si>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</si>
  <si>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</si>
  <si>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</si>
  <si>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</si>
  <si>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</si>
  <si>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</si>
  <si>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</si>
  <si>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</si>
  <si>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</si>
  <si>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</si>
  <si>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</si>
  <si>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</si>
  <si>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</si>
  <si>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</si>
  <si>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</si>
  <si>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</si>
  <si>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</si>
  <si>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</si>
  <si>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</si>
  <si>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</si>
  <si>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</si>
  <si>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</si>
  <si>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</si>
  <si>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</si>
  <si>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</si>
  <si>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</si>
  <si>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</si>
  <si>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</si>
  <si>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</si>
  <si>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</si>
  <si>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</si>
  <si>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</si>
  <si>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</si>
  <si>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</si>
  <si>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</si>
  <si>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</si>
  <si>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</si>
  <si>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</si>
  <si>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</si>
  <si>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</si>
  <si>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</si>
  <si>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</si>
  <si>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</si>
  <si>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</si>
  <si>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</si>
  <si>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</si>
  <si>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</si>
  <si>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</si>
  <si>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</si>
  <si>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</si>
  <si>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</si>
  <si>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</si>
  <si>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</si>
  <si>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</si>
  <si>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</si>
  <si>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</si>
  <si>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</si>
  <si>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</si>
  <si>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</si>
  <si>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</si>
  <si>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</si>
  <si>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</si>
  <si>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</si>
  <si>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</si>
  <si>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</si>
  <si>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</si>
  <si>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</si>
  <si>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</si>
  <si>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</si>
  <si>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</si>
  <si>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</si>
  <si>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</si>
  <si>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</si>
  <si>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</si>
  <si>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</si>
  <si>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</si>
  <si>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</si>
  <si>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</si>
  <si>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</si>
  <si>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</si>
  <si>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</si>
  <si>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</si>
  <si>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</si>
  <si>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</si>
  <si>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</si>
  <si>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</si>
  <si>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</si>
  <si>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</si>
  <si>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</si>
  <si>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</si>
  <si>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</si>
  <si>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</si>
  <si>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</si>
  <si>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</si>
  <si>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</si>
  <si>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</si>
  <si>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</si>
  <si>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</si>
  <si>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</si>
  <si>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</si>
  <si>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</si>
  <si>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</si>
  <si>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</si>
  <si>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</si>
  <si>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</si>
  <si>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</si>
  <si>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</si>
  <si>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</si>
  <si>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</si>
  <si>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</si>
  <si>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</si>
  <si>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</si>
  <si>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</si>
  <si>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</si>
  <si>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</si>
  <si>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</si>
  <si>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</si>
  <si>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</si>
  <si>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</si>
  <si>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</si>
  <si>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</si>
  <si>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</si>
  <si>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</si>
  <si>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</si>
  <si>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</si>
  <si>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</si>
  <si>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</si>
  <si>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</si>
  <si>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</si>
  <si>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</si>
  <si>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</si>
  <si>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</si>
  <si>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</si>
  <si>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</si>
  <si>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</si>
  <si>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</si>
  <si>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</si>
  <si>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</si>
  <si>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</si>
  <si>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</si>
  <si>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</si>
  <si>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</si>
  <si>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</si>
  <si>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</si>
  <si>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</si>
  <si>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</si>
  <si>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</si>
  <si>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</si>
  <si>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</si>
  <si>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</si>
  <si>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</si>
  <si>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</si>
  <si>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</si>
  <si>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</si>
  <si>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</si>
  <si>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</si>
  <si>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</si>
  <si>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</si>
  <si>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</si>
  <si>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</si>
  <si>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</si>
  <si>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</si>
  <si>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</si>
  <si>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</si>
  <si>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</si>
  <si>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</si>
  <si>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</si>
  <si>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</si>
  <si>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</si>
  <si>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</si>
  <si>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</si>
  <si>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</si>
  <si>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</si>
  <si>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</si>
  <si>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</si>
  <si>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</si>
  <si>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</si>
  <si>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</si>
  <si>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</si>
  <si>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</si>
  <si>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</si>
  <si>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</si>
  <si>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</si>
  <si>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</si>
  <si>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</si>
  <si>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</si>
  <si>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</si>
  <si>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</si>
  <si>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</si>
  <si>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</si>
  <si>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</si>
  <si>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</si>
  <si>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</si>
  <si>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</si>
  <si>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</si>
  <si>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</si>
  <si>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</si>
  <si>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</si>
  <si>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</si>
  <si>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</si>
  <si>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</si>
  <si>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</si>
  <si>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</si>
  <si>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</si>
  <si>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</si>
  <si>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</si>
  <si>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</si>
  <si>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</si>
  <si>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</si>
  <si>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</si>
  <si>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</si>
  <si>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</si>
  <si>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</si>
  <si>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</si>
  <si>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</si>
  <si>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</si>
  <si>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</si>
  <si>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</si>
  <si>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</si>
  <si>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</si>
  <si>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</si>
  <si>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</si>
  <si>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</si>
  <si>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</si>
  <si>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</si>
  <si>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</si>
  <si>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</si>
  <si>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</si>
  <si>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</si>
  <si>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</si>
  <si>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</si>
  <si>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</si>
  <si>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</si>
  <si>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</si>
  <si>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</si>
  <si>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</si>
  <si>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</si>
  <si>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</si>
  <si>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</si>
  <si>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</si>
  <si>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</si>
  <si>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</si>
  <si>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</si>
  <si>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</si>
  <si>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</si>
  <si>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</si>
  <si>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</si>
  <si>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</si>
  <si>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</si>
  <si>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</si>
  <si>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</si>
  <si>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</si>
  <si>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</si>
  <si>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</si>
  <si>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</si>
  <si>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</si>
  <si>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</si>
  <si>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</si>
  <si>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</si>
  <si>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</si>
  <si>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</si>
  <si>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</si>
  <si>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</si>
  <si>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</si>
  <si>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</si>
  <si>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</si>
  <si>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</si>
  <si>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</si>
  <si>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</si>
  <si>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</si>
  <si>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</si>
  <si>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</si>
  <si>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</si>
  <si>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</si>
  <si>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</si>
  <si>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</si>
  <si>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</si>
  <si>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</si>
  <si>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</si>
  <si>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</si>
  <si>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</si>
  <si>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</si>
  <si>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</si>
  <si>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</si>
  <si>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</si>
  <si>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</si>
  <si>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</si>
  <si>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</si>
  <si>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</si>
  <si>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</si>
  <si>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</si>
  <si>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</si>
  <si>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</si>
  <si>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</si>
  <si>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</si>
  <si>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</si>
  <si>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</si>
  <si>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</si>
  <si>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</si>
  <si>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</si>
  <si>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</si>
  <si>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</si>
  <si>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</si>
  <si>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</si>
  <si>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</si>
  <si>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</si>
  <si>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</si>
  <si>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</si>
  <si>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</si>
  <si>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</si>
  <si>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</si>
  <si>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</si>
  <si>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</si>
  <si>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</si>
  <si>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</si>
  <si>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</si>
  <si>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</si>
  <si>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</si>
  <si>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</si>
  <si>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</si>
  <si>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</si>
  <si>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</si>
  <si>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</si>
  <si>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</si>
  <si>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</si>
  <si>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</si>
  <si>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</si>
  <si>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</si>
  <si>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</si>
  <si>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</si>
  <si>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</si>
  <si>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</si>
  <si>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</si>
  <si>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</si>
  <si>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</si>
  <si>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</si>
  <si>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</si>
  <si>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</si>
  <si>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</si>
  <si>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</si>
  <si>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</si>
  <si>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</si>
  <si>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</si>
  <si>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</si>
  <si>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</si>
  <si>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</si>
  <si>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</si>
  <si>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</si>
  <si>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</si>
  <si>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</si>
  <si>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</si>
  <si>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</si>
  <si>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</si>
  <si>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</si>
  <si>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</si>
  <si>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</si>
  <si>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</si>
  <si>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</si>
  <si>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</si>
  <si>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</si>
  <si>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</si>
  <si>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</si>
  <si>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</si>
  <si>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</si>
  <si>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</si>
  <si>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</si>
  <si>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</si>
  <si>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</si>
  <si>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</si>
  <si>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</si>
  <si>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</si>
  <si>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</si>
  <si>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</si>
  <si>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</si>
  <si>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</si>
  <si>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</si>
  <si>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</si>
  <si>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</si>
  <si>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</si>
  <si>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</si>
  <si>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</si>
  <si>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</si>
  <si>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</si>
  <si>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</si>
  <si>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</si>
  <si>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</si>
  <si>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</si>
  <si>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</si>
  <si>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</si>
  <si>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</si>
  <si>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</si>
  <si>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</si>
  <si>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</si>
  <si>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</si>
  <si>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</si>
  <si>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</si>
  <si>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</si>
  <si>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</si>
  <si>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</si>
  <si>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</si>
  <si>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</si>
  <si>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</si>
  <si>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</si>
  <si>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</si>
  <si>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</si>
  <si>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</si>
  <si>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</si>
  <si>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</si>
  <si>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</si>
  <si>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</si>
  <si>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</si>
  <si>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</si>
  <si>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</si>
  <si>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</si>
  <si>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</si>
  <si>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</si>
  <si>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</si>
  <si>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</si>
  <si>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</si>
  <si>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</si>
  <si>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</si>
  <si>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</si>
  <si>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</si>
  <si>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</si>
  <si>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</si>
  <si>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</si>
  <si>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</si>
  <si>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</si>
  <si>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</si>
  <si>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</si>
  <si>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</si>
  <si>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</si>
  <si>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</si>
  <si>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</si>
  <si>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</si>
  <si>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</si>
  <si>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</si>
  <si>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</si>
  <si>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</si>
  <si>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</si>
  <si>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</si>
  <si>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</si>
  <si>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</si>
  <si>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</si>
  <si>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</si>
  <si>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</si>
  <si>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</si>
  <si>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</si>
  <si>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</si>
  <si>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</si>
  <si>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</si>
  <si>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</si>
  <si>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</si>
  <si>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</si>
  <si>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</si>
  <si>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</si>
  <si>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</si>
  <si>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</si>
  <si>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</si>
  <si>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</si>
  <si>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</si>
  <si>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</si>
  <si>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</si>
  <si>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</si>
  <si>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</si>
  <si>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</si>
  <si>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</si>
  <si>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</si>
  <si>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</si>
  <si>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</si>
  <si>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</si>
  <si>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</si>
  <si>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</si>
  <si>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</si>
  <si>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</si>
  <si>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</si>
  <si>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</si>
  <si>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</si>
  <si>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</si>
  <si>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</si>
  <si>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</si>
  <si>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</si>
  <si>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</si>
  <si>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</si>
  <si>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</si>
  <si>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</si>
  <si>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</si>
  <si>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</si>
  <si>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</si>
  <si>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</si>
  <si>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</si>
  <si>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</si>
  <si>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</si>
  <si>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</si>
  <si>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</si>
  <si>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</si>
  <si>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</si>
  <si>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</si>
  <si>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</si>
  <si>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</si>
  <si>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</si>
  <si>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</si>
  <si>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</si>
  <si>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</si>
  <si>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</si>
  <si>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</si>
  <si>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</si>
  <si>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</si>
  <si>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</si>
  <si>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</si>
  <si>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</si>
  <si>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</si>
  <si>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</si>
  <si>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</si>
  <si>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</si>
  <si>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</si>
  <si>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</si>
  <si>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</si>
  <si>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</si>
  <si>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</si>
  <si>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</si>
  <si>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</si>
  <si>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</si>
  <si>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</si>
  <si>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</si>
  <si>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</si>
  <si>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</si>
  <si>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</si>
  <si>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</si>
  <si>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</si>
  <si>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</si>
  <si>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</si>
  <si>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</si>
  <si>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</si>
  <si>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</si>
  <si>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</si>
  <si>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</si>
  <si>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</si>
  <si>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</si>
  <si>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</si>
  <si>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</si>
  <si>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</si>
  <si>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</si>
  <si>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</si>
  <si>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</si>
  <si>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</si>
  <si>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</si>
  <si>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</si>
  <si>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</si>
  <si>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</si>
  <si>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</si>
  <si>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</si>
  <si>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</si>
  <si>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</si>
  <si>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</si>
  <si>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</si>
  <si>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</si>
  <si>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</si>
  <si>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</si>
  <si>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</si>
  <si>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</si>
  <si>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</si>
  <si>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</si>
  <si>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</si>
  <si>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</si>
  <si>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</si>
  <si>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</si>
  <si>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</si>
  <si>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</si>
  <si>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</si>
  <si>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</si>
  <si>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</si>
  <si>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</si>
  <si>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</si>
  <si>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</si>
  <si>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</si>
  <si>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</si>
  <si>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</si>
  <si>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</si>
  <si>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</si>
  <si>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</si>
  <si>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</si>
  <si>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</si>
  <si>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</si>
  <si>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</si>
  <si>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</si>
  <si>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</si>
  <si>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</si>
  <si>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</si>
  <si>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</si>
  <si>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</si>
  <si>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</si>
  <si>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</si>
  <si>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</si>
  <si>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</si>
  <si>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</si>
  <si>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</si>
  <si>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</si>
  <si>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</si>
  <si>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</si>
  <si>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</si>
  <si>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</si>
  <si>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</si>
  <si>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</si>
  <si>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</si>
  <si>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</si>
  <si>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</si>
  <si>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</si>
  <si>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</si>
  <si>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</si>
  <si>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</si>
  <si>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</si>
  <si>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</si>
  <si>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</si>
  <si>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</si>
  <si>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</si>
  <si>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</si>
  <si>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</si>
  <si>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</si>
  <si>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</si>
  <si>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</si>
  <si>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</si>
  <si>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</si>
  <si>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</si>
  <si>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</si>
  <si>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</si>
  <si>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</si>
  <si>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</si>
  <si>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</si>
  <si>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</si>
  <si>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</si>
  <si>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</si>
  <si>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</si>
  <si>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</si>
  <si>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</si>
  <si>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</si>
  <si>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</si>
  <si>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</si>
  <si>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</si>
  <si>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</si>
  <si>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</si>
  <si>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</si>
  <si>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</si>
  <si>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</si>
  <si>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</si>
  <si>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</si>
  <si>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</si>
  <si>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</si>
  <si>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</si>
  <si>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</si>
  <si>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</si>
  <si>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</si>
  <si>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</si>
  <si>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</si>
  <si>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</si>
  <si>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</si>
  <si>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</si>
  <si>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</si>
  <si>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</si>
  <si>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</si>
  <si>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</si>
  <si>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</si>
  <si>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</si>
  <si>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</si>
  <si>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</si>
  <si>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</si>
  <si>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</si>
  <si>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</si>
  <si>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</si>
  <si>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</si>
  <si>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</si>
  <si>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</si>
  <si>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</si>
  <si>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</si>
  <si>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</si>
  <si>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</si>
  <si>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</si>
  <si>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</si>
  <si>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</si>
  <si>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</si>
  <si>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</si>
  <si>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</si>
  <si>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</si>
  <si>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</si>
  <si>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</si>
  <si>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</si>
  <si>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</si>
  <si>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</si>
  <si>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</si>
  <si>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</si>
  <si>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</si>
  <si>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</si>
  <si>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</si>
  <si>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</si>
  <si>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</si>
  <si>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</si>
  <si>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</si>
  <si>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</si>
  <si>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</si>
  <si>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</si>
  <si>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</si>
  <si>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</si>
  <si>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</si>
  <si>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</si>
  <si>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</si>
  <si>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</si>
  <si>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</si>
  <si>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</si>
  <si>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</si>
  <si>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</si>
  <si>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</si>
  <si>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</si>
  <si>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</si>
  <si>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</si>
  <si>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</si>
  <si>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</si>
  <si>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</si>
  <si>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</si>
  <si>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</si>
  <si>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</si>
  <si>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</si>
  <si>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</si>
  <si>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</si>
  <si>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</si>
  <si>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</si>
  <si>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</si>
  <si>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</si>
  <si>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</si>
  <si>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</si>
  <si>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</si>
  <si>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</si>
  <si>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</si>
  <si>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</si>
  <si>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</si>
  <si>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</si>
  <si>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</si>
  <si>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</si>
  <si>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</si>
  <si>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</si>
  <si>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</si>
  <si>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</si>
  <si>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</si>
  <si>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</si>
  <si>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</si>
  <si>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</si>
  <si>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</si>
  <si>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</si>
  <si>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</si>
  <si>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</si>
  <si>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</si>
  <si>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</si>
  <si>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</si>
  <si>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</si>
  <si>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</si>
  <si>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</si>
  <si>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</si>
  <si>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</si>
  <si>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</si>
  <si>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</si>
  <si>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</si>
  <si>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</si>
  <si>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</si>
  <si>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</si>
  <si>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</si>
  <si>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</si>
  <si>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</si>
  <si>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</si>
  <si>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</si>
  <si>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</si>
  <si>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</si>
  <si>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</si>
  <si>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</si>
  <si>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</si>
  <si>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</si>
  <si>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</si>
  <si>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</si>
  <si>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</si>
  <si>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</si>
  <si>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</si>
  <si>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</si>
  <si>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</si>
  <si>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</si>
  <si>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</si>
  <si>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</si>
  <si>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</si>
  <si>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</si>
  <si>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</si>
  <si>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</si>
  <si>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</si>
  <si>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</si>
  <si>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</si>
  <si>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</si>
  <si>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</si>
  <si>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</si>
  <si>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</si>
  <si>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</si>
  <si>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</si>
  <si>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</si>
  <si>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</si>
  <si>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</si>
  <si>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</si>
  <si>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</si>
  <si>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</si>
  <si>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</si>
  <si>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</si>
  <si>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</si>
  <si>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</si>
  <si>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</si>
  <si>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</si>
  <si>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</si>
  <si>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</si>
  <si>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</si>
  <si>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</si>
  <si>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</si>
  <si>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</si>
  <si>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</si>
  <si>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</si>
  <si>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</si>
  <si>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</si>
  <si>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</si>
  <si>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</si>
  <si>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</si>
  <si>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</si>
  <si>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</si>
  <si>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</si>
  <si>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</si>
  <si>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</si>
  <si>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</si>
  <si>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</si>
  <si>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</si>
  <si>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</si>
  <si>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</si>
  <si>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</si>
  <si>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</si>
  <si>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</si>
  <si>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</si>
  <si>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</si>
  <si>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</si>
  <si>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</si>
  <si>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</si>
  <si>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</si>
  <si>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</si>
  <si>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</si>
  <si>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</si>
  <si>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</si>
  <si>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</si>
  <si>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</si>
  <si>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</si>
  <si>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</si>
  <si>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</si>
  <si>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</si>
  <si>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</si>
  <si>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</si>
  <si>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</si>
  <si>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</si>
  <si>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</si>
  <si>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</si>
  <si>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</si>
  <si>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</si>
  <si>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</si>
  <si>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</si>
  <si>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</si>
  <si>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</si>
  <si>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</si>
  <si>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</si>
  <si>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</si>
  <si>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</si>
  <si>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</si>
  <si>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</si>
  <si>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</si>
  <si>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</si>
  <si>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</si>
  <si>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</si>
  <si>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</si>
  <si>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</si>
  <si>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</si>
  <si>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</si>
  <si>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</si>
  <si>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</si>
  <si>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</si>
  <si>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</si>
  <si>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</si>
  <si>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</si>
  <si>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</si>
  <si>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</si>
  <si>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</si>
  <si>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</si>
  <si>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</si>
  <si>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</si>
  <si>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</si>
  <si>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</si>
  <si>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</si>
  <si>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</si>
  <si>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</si>
  <si>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</si>
  <si>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</si>
  <si>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</si>
  <si>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</si>
  <si>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</si>
  <si>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</si>
  <si>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</si>
  <si>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</si>
  <si>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</si>
  <si>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</si>
  <si>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</si>
  <si>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</si>
  <si>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</si>
  <si>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</si>
  <si>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</si>
  <si>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</si>
  <si>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</si>
  <si>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</si>
  <si>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</si>
  <si>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</si>
  <si>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</si>
  <si>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</si>
  <si>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</si>
  <si>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</si>
  <si>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</si>
  <si>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</si>
  <si>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</si>
  <si>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</si>
  <si>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</si>
  <si>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</si>
  <si>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</si>
  <si>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</si>
  <si>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</si>
  <si>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</si>
  <si>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</si>
  <si>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</si>
  <si>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</si>
  <si>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</si>
  <si>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</si>
  <si>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</si>
  <si>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</si>
  <si>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</si>
  <si>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</si>
  <si>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</si>
  <si>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</si>
  <si>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</si>
  <si>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</si>
  <si>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</si>
  <si>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</si>
  <si>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</si>
  <si>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</si>
  <si>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</si>
  <si>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</si>
  <si>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</si>
  <si>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</si>
  <si>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</si>
  <si>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</si>
  <si>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</si>
  <si>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</si>
  <si>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</si>
  <si>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</si>
  <si>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</si>
  <si>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</si>
  <si>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</si>
  <si>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</si>
  <si>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</si>
  <si>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</si>
  <si>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</si>
  <si>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</si>
  <si>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</si>
  <si>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</si>
  <si>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</si>
  <si>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</si>
  <si>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</si>
  <si>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</si>
  <si>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</si>
  <si>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</si>
  <si>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</si>
  <si>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</si>
  <si>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</si>
  <si>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</si>
  <si>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</si>
  <si>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</si>
  <si>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</si>
  <si>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</si>
  <si>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</si>
  <si>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</si>
  <si>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</si>
  <si>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</si>
  <si>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</si>
  <si>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</si>
  <si>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</si>
  <si>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</si>
  <si>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</si>
  <si>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</si>
  <si>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</si>
  <si>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</si>
  <si>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</si>
  <si>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</si>
  <si>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</si>
  <si>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</si>
  <si>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</si>
  <si>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</si>
  <si>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</si>
  <si>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</si>
  <si>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</si>
  <si>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</si>
  <si>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</si>
  <si>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</si>
  <si>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</si>
  <si>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</si>
  <si>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</si>
  <si>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</si>
  <si>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</si>
  <si>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</si>
  <si>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</si>
  <si>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</si>
  <si>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</si>
  <si>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</si>
  <si>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</si>
  <si>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</si>
  <si>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</si>
  <si>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</si>
  <si>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</si>
  <si>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</si>
  <si>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</si>
  <si>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</si>
  <si>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</si>
  <si>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</si>
  <si>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</si>
  <si>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</si>
  <si>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</si>
  <si>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</si>
  <si>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</si>
  <si>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</si>
  <si>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</si>
  <si>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</si>
  <si>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</si>
  <si>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</si>
  <si>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</si>
  <si>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</si>
  <si>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</si>
  <si>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</si>
  <si>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</si>
  <si>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</si>
  <si>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</si>
  <si>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</si>
  <si>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</si>
  <si>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</si>
  <si>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</si>
  <si>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</si>
  <si>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</si>
  <si>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</si>
  <si>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</si>
  <si>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</si>
  <si>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</si>
  <si>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</si>
  <si>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</si>
  <si>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</si>
  <si>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</si>
  <si>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</si>
  <si>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</si>
  <si>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</si>
  <si>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</si>
  <si>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</si>
  <si>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</si>
  <si>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</si>
  <si>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</si>
  <si>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</si>
  <si>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</si>
  <si>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</si>
  <si>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</si>
  <si>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</si>
  <si>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</si>
  <si>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</si>
  <si>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</si>
  <si>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</si>
  <si>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</si>
  <si>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</si>
  <si>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</si>
  <si>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</si>
  <si>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</si>
  <si>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</si>
  <si>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</si>
  <si>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</si>
  <si>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</si>
  <si>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</si>
  <si>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</si>
  <si>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</si>
  <si>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</si>
  <si>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</si>
  <si>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</si>
  <si>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</si>
  <si>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</si>
  <si>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</si>
  <si>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</si>
  <si>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</si>
  <si>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</si>
  <si>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</si>
  <si>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</si>
  <si>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</si>
  <si>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</si>
  <si>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</si>
  <si>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</si>
  <si>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</si>
  <si>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</si>
  <si>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</si>
  <si>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</si>
  <si>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</si>
  <si>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</si>
  <si>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</si>
  <si>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</si>
  <si>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</si>
  <si>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</si>
  <si>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</si>
  <si>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</si>
  <si>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</si>
  <si>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</si>
  <si>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</si>
  <si>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</si>
  <si>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</si>
  <si>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</si>
  <si>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</si>
  <si>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</si>
  <si>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</si>
  <si>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</si>
  <si>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</si>
  <si>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</si>
  <si>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</si>
  <si>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</si>
  <si>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</si>
  <si>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</si>
  <si>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</si>
  <si>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</si>
  <si>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</si>
  <si>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</si>
  <si>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</si>
  <si>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</si>
  <si>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</si>
  <si>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</si>
  <si>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</si>
  <si>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</si>
  <si>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</si>
  <si>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</si>
  <si>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</si>
  <si>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</si>
  <si>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</si>
  <si>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</si>
  <si>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</si>
  <si>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</si>
  <si>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</si>
  <si>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</si>
  <si>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</si>
  <si>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</si>
  <si>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</si>
  <si>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</si>
  <si>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</si>
  <si>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</si>
  <si>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</si>
  <si>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</si>
  <si>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</si>
  <si>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</si>
  <si>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</si>
  <si>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</si>
  <si>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</si>
  <si>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</si>
  <si>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</si>
  <si>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</si>
  <si>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</si>
  <si>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</si>
  <si>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</si>
  <si>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</si>
  <si>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</si>
  <si>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</si>
  <si>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</si>
  <si>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</si>
  <si>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</si>
  <si>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</si>
  <si>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</si>
  <si>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</si>
  <si>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</si>
  <si>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</si>
  <si>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</si>
  <si>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</si>
  <si>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</si>
  <si>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</si>
  <si>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</si>
  <si>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</si>
  <si>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</si>
  <si>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</si>
  <si>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</si>
  <si>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</si>
  <si>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</si>
  <si>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</si>
  <si>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</si>
  <si>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</si>
  <si>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</si>
  <si>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</si>
  <si>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</si>
  <si>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</si>
  <si>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</si>
  <si>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</si>
  <si>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</si>
  <si>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</si>
  <si>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</si>
  <si>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</si>
  <si>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</si>
  <si>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</si>
  <si>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</si>
  <si>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</si>
  <si>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</si>
  <si>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</si>
  <si>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</si>
  <si>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</si>
  <si>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</si>
  <si>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</si>
  <si>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</si>
  <si>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</si>
  <si>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</si>
  <si>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</si>
  <si>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</si>
  <si>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</si>
  <si>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</si>
  <si>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</si>
  <si>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</si>
  <si>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</si>
  <si>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</si>
  <si>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</si>
  <si>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</si>
  <si>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</si>
  <si>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</si>
  <si>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</si>
  <si>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</si>
  <si>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</si>
  <si>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</si>
  <si>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</si>
  <si>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</si>
  <si>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</si>
  <si>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</si>
  <si>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</si>
  <si>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</si>
  <si>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</si>
  <si>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</si>
  <si>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</si>
  <si>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</si>
  <si>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</si>
  <si>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</si>
  <si>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</si>
  <si>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</si>
  <si>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</si>
  <si>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</si>
  <si>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</si>
  <si>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</si>
  <si>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</si>
  <si>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</si>
  <si>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</si>
  <si>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</si>
  <si>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</si>
  <si>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</si>
  <si>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</si>
  <si>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</si>
  <si>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</si>
  <si>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</si>
  <si>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</si>
  <si>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</si>
  <si>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</si>
  <si>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</si>
  <si>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</si>
  <si>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</si>
  <si>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</si>
  <si>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</si>
  <si>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</si>
  <si>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</si>
  <si>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</si>
  <si>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</si>
  <si>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</si>
  <si>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</si>
  <si>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</si>
  <si>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</si>
  <si>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</si>
  <si>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</si>
  <si>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</si>
  <si>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</si>
  <si>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</si>
  <si>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</si>
  <si>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</si>
  <si>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</si>
  <si>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</si>
  <si>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</si>
  <si>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</si>
  <si>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</si>
  <si>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</si>
  <si>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</si>
  <si>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</si>
  <si>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</si>
  <si>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</si>
  <si>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</si>
  <si>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</si>
  <si>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</si>
  <si>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</si>
  <si>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</si>
  <si>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</si>
  <si>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</si>
  <si>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</si>
  <si>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</si>
  <si>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</si>
  <si>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</si>
  <si>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</si>
  <si>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</si>
  <si>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</si>
  <si>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</si>
  <si>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</si>
  <si>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</si>
  <si>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</si>
  <si>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</si>
  <si>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</si>
  <si>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</si>
  <si>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</si>
  <si>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</si>
  <si>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</si>
  <si>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</si>
  <si>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</si>
  <si>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</si>
  <si>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</si>
  <si>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</si>
  <si>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</si>
  <si>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</si>
  <si>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</si>
  <si>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</si>
  <si>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</si>
  <si>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</si>
  <si>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</si>
  <si>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</si>
  <si>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</si>
  <si>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</si>
  <si>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</si>
  <si>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</si>
  <si>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</si>
  <si>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</si>
  <si>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</si>
  <si>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</si>
  <si>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</si>
  <si>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</si>
  <si>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</si>
  <si>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</si>
  <si>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</si>
  <si>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</si>
  <si>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</si>
  <si>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</si>
  <si>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</si>
  <si>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</si>
  <si>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</si>
  <si>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</si>
  <si>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</si>
  <si>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</si>
  <si>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</si>
  <si>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</si>
  <si>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</si>
  <si>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</si>
  <si>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</si>
  <si>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</si>
  <si>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</si>
  <si>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</si>
  <si>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</si>
  <si>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</si>
  <si>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</si>
  <si>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</si>
  <si>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</si>
  <si>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</si>
  <si>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</si>
  <si>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</si>
  <si>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</si>
  <si>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</si>
  <si>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</si>
  <si>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</si>
  <si>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</si>
  <si>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</si>
  <si>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</si>
  <si>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</si>
  <si>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</si>
  <si>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</si>
  <si>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</si>
  <si>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</si>
  <si>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</si>
  <si>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</si>
  <si>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</si>
  <si>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</si>
  <si>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</si>
  <si>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</si>
  <si>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</si>
  <si>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</si>
  <si>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</si>
  <si>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</si>
  <si>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</si>
  <si>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</si>
  <si>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</si>
  <si>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</si>
  <si>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</si>
  <si>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</si>
  <si>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</si>
  <si>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</si>
  <si>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</si>
  <si>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</si>
  <si>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</si>
  <si>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</si>
  <si>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</si>
  <si>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</si>
  <si>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</si>
  <si>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</si>
  <si>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</si>
  <si>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</si>
  <si>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</si>
  <si>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</si>
  <si>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</si>
  <si>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</si>
  <si>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</si>
  <si>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</si>
  <si>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</si>
  <si>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</si>
  <si>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</si>
  <si>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</si>
  <si>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</si>
  <si>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</si>
  <si>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</si>
  <si>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</si>
  <si>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</si>
  <si>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</si>
  <si>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</si>
  <si>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</si>
  <si>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</si>
  <si>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</si>
  <si>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</si>
  <si>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</si>
  <si>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</si>
  <si>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</si>
  <si>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</si>
  <si>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</si>
  <si>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</si>
  <si>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</si>
  <si>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</si>
  <si>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</si>
  <si>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</si>
  <si>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</si>
  <si>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</si>
  <si>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</si>
  <si>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</si>
  <si>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</si>
  <si>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</si>
  <si>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</si>
  <si>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</si>
  <si>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</si>
  <si>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</si>
  <si>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</si>
  <si>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</si>
  <si>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</si>
  <si>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</si>
  <si>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</si>
  <si>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</si>
  <si>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</si>
  <si>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</si>
  <si>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</si>
  <si>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</si>
  <si>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</si>
  <si>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</si>
  <si>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</si>
  <si>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</si>
  <si>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</si>
  <si>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</si>
  <si>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</si>
  <si>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</si>
  <si>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</si>
  <si>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</si>
  <si>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</si>
  <si>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</si>
  <si>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</si>
  <si>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</si>
  <si>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</si>
  <si>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</si>
  <si>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</si>
  <si>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</si>
  <si>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</si>
  <si>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</si>
  <si>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</si>
  <si>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</si>
  <si>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</si>
  <si>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</si>
  <si>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</si>
  <si>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</si>
  <si>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</si>
  <si>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</si>
  <si>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</si>
  <si>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</si>
  <si>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</si>
  <si>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</si>
  <si>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</si>
  <si>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</si>
  <si>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</si>
  <si>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</si>
  <si>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</si>
  <si>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</si>
  <si>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</si>
  <si>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</si>
  <si>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</si>
  <si>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</si>
  <si>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</si>
  <si>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</si>
  <si>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</si>
  <si>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</si>
  <si>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</si>
  <si>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</si>
  <si>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</si>
  <si>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</si>
  <si>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</si>
  <si>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</si>
  <si>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</si>
  <si>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</si>
  <si>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</si>
  <si>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</si>
  <si>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</si>
  <si>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</si>
  <si>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</si>
  <si>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</si>
  <si>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</si>
  <si>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</si>
  <si>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</si>
  <si>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</si>
  <si>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</si>
  <si>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</si>
  <si>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</si>
  <si>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</si>
  <si>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</si>
  <si>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</si>
  <si>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</si>
  <si>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</si>
  <si>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</si>
  <si>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</si>
  <si>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</si>
  <si>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</si>
  <si>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</si>
  <si>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</si>
  <si>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</si>
  <si>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</si>
  <si>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</si>
  <si>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</si>
  <si>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</si>
  <si>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</si>
  <si>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</si>
  <si>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</si>
  <si>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</si>
  <si>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</si>
  <si>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</si>
  <si>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</si>
  <si>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</si>
  <si>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</si>
  <si>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</si>
  <si>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</si>
  <si>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</si>
  <si>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</si>
  <si>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</si>
  <si>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</si>
  <si>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</si>
  <si>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</si>
  <si>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</si>
  <si>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</si>
  <si>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</si>
  <si>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</si>
  <si>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</si>
  <si>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</si>
  <si>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</si>
  <si>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</si>
  <si>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</si>
  <si>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</si>
  <si>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</si>
  <si>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</si>
  <si>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</si>
  <si>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</si>
  <si>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</si>
  <si>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</si>
  <si>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</si>
  <si>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</si>
  <si>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</si>
  <si>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</si>
  <si>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</si>
  <si>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</si>
  <si>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</si>
  <si>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</si>
  <si>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</si>
  <si>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</si>
  <si>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</si>
  <si>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</si>
  <si>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</si>
  <si>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</si>
  <si>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</si>
  <si>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</si>
  <si>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</si>
  <si>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</si>
  <si>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</si>
  <si>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</si>
  <si>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</si>
  <si>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</si>
  <si>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</si>
  <si>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</si>
  <si>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</si>
  <si>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</si>
  <si>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</si>
  <si>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</si>
  <si>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</si>
  <si>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</si>
  <si>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</si>
  <si>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</si>
  <si>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</si>
  <si>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</si>
  <si>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</si>
  <si>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</si>
  <si>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</si>
  <si>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</si>
  <si>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</si>
  <si>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</si>
  <si>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</si>
  <si>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</si>
  <si>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</si>
  <si>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</si>
  <si>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</si>
  <si>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</si>
  <si>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</si>
  <si>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</si>
  <si>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</si>
  <si>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</si>
  <si>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</si>
  <si>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</si>
  <si>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</si>
  <si>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</si>
  <si>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</si>
  <si>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</si>
  <si>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</si>
  <si>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</si>
  <si>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</si>
  <si>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</si>
  <si>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</si>
  <si>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</si>
  <si>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</si>
  <si>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</si>
  <si>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</si>
  <si>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</si>
  <si>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</si>
  <si>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</si>
  <si>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</si>
  <si>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</si>
  <si>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</si>
  <si>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</si>
  <si>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</si>
  <si>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</si>
  <si>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</si>
  <si>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</si>
  <si>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</si>
  <si>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</si>
  <si>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</si>
  <si>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</si>
  <si>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</si>
  <si>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</si>
  <si>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</si>
  <si>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</si>
  <si>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</si>
  <si>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</si>
  <si>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</si>
  <si>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</si>
  <si>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</si>
  <si>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</si>
  <si>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</si>
  <si>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</si>
  <si>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</si>
  <si>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</si>
  <si>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</si>
  <si>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</si>
  <si>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</si>
  <si>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</si>
  <si>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</si>
  <si>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</si>
  <si>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</si>
  <si>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</si>
  <si>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</si>
  <si>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</si>
  <si>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</si>
  <si>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</si>
  <si>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</si>
  <si>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</si>
  <si>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</si>
  <si>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</si>
  <si>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</si>
  <si>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</si>
  <si>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</si>
  <si>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</si>
  <si>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</si>
  <si>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</si>
  <si>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</si>
  <si>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</si>
  <si>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</si>
  <si>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</si>
  <si>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</si>
  <si>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</si>
  <si>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</si>
  <si>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</si>
  <si>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</si>
  <si>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</si>
  <si>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</si>
  <si>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</si>
  <si>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</si>
  <si>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</si>
  <si>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</si>
  <si>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</si>
  <si>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</si>
  <si>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</si>
  <si>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</si>
  <si>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</si>
  <si>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</si>
  <si>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</si>
  <si>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</si>
  <si>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</si>
  <si>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</si>
  <si>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</si>
  <si>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</si>
  <si>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</si>
  <si>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</si>
  <si>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</si>
  <si>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</si>
  <si>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</si>
  <si>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</si>
  <si>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</si>
  <si>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</si>
  <si>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</si>
  <si>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</si>
  <si>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</si>
  <si>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</si>
  <si>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</si>
  <si>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</si>
  <si>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</si>
  <si>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</si>
  <si>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</si>
  <si>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</si>
  <si>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</si>
  <si>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</si>
  <si>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</si>
  <si>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</si>
  <si>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</si>
  <si>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</si>
  <si>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</si>
  <si>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</si>
  <si>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</si>
  <si>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</si>
  <si>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</si>
  <si>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</si>
  <si>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</si>
  <si>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</si>
  <si>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</si>
  <si>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</si>
  <si>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</si>
  <si>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</si>
  <si>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</si>
  <si>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</si>
  <si>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</si>
  <si>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</si>
  <si>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</si>
  <si>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</si>
  <si>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</si>
  <si>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</si>
  <si>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</si>
  <si>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</si>
  <si>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</si>
  <si>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</si>
  <si>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</si>
  <si>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</si>
  <si>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</si>
  <si>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</si>
  <si>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</si>
  <si>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</si>
  <si>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</si>
  <si>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</si>
  <si>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</si>
  <si>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</si>
  <si>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</si>
  <si>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</si>
  <si>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</si>
  <si>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</si>
  <si>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</si>
  <si>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</si>
  <si>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</si>
  <si>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</si>
  <si>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</si>
  <si>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</si>
  <si>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</si>
  <si>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</si>
  <si>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</si>
  <si>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</si>
  <si>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</si>
  <si>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</si>
  <si>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</si>
  <si>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</si>
  <si>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</si>
  <si>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</si>
  <si>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</si>
  <si>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</si>
  <si>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</si>
  <si>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</si>
  <si>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</si>
  <si>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</si>
  <si>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</si>
  <si>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</si>
  <si>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</si>
  <si>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</si>
  <si>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</si>
  <si>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</si>
  <si>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</si>
  <si>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</si>
  <si>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</si>
  <si>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</si>
  <si>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</si>
  <si>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</si>
  <si>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</si>
  <si>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</si>
  <si>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</si>
  <si>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</si>
  <si>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</si>
  <si>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</si>
  <si>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</si>
  <si>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</si>
  <si>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</si>
  <si>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</si>
  <si>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</si>
  <si>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</si>
  <si>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</si>
  <si>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</si>
  <si>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</si>
  <si>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</si>
  <si>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</si>
  <si>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</si>
  <si>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</si>
  <si>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</si>
  <si>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</si>
  <si>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</si>
  <si>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</si>
  <si>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</si>
  <si>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</si>
  <si>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</si>
  <si>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</si>
  <si>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</si>
  <si>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</si>
  <si>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</si>
  <si>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</si>
  <si>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</si>
  <si>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</si>
  <si>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</si>
  <si>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</si>
  <si>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</si>
  <si>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</si>
  <si>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</si>
  <si>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</si>
  <si>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</si>
  <si>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</si>
  <si>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</si>
  <si>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</si>
  <si>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</si>
  <si>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</si>
  <si>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</si>
  <si>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</si>
  <si>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</si>
  <si>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</si>
  <si>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</si>
  <si>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</si>
  <si>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</si>
  <si>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</si>
  <si>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</si>
  <si>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</si>
  <si>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</si>
  <si>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</si>
  <si>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</si>
  <si>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</si>
  <si>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</si>
  <si>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</si>
  <si>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</si>
  <si>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</si>
  <si>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</si>
  <si>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</si>
  <si>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</si>
  <si>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</si>
  <si>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</si>
  <si>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</si>
  <si>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</si>
  <si>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</si>
  <si>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</si>
  <si>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</si>
  <si>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</si>
  <si>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</si>
  <si>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</si>
  <si>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</si>
  <si>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</si>
  <si>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</si>
  <si>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</si>
  <si>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</si>
  <si>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</si>
  <si>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</si>
  <si>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</si>
  <si>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</si>
  <si>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</si>
  <si>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</si>
  <si>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</si>
  <si>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</si>
  <si>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</si>
  <si>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</si>
  <si>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</si>
  <si>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</si>
  <si>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</si>
  <si>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</si>
  <si>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</si>
  <si>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</si>
  <si>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</si>
  <si>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</si>
  <si>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</si>
  <si>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</si>
  <si>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</si>
  <si>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</si>
  <si>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</si>
  <si>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</si>
  <si>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</si>
  <si>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</si>
  <si>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</si>
  <si>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</si>
  <si>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</si>
  <si>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</si>
  <si>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</si>
  <si>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</si>
  <si>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</si>
  <si>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</si>
  <si>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</si>
  <si>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</si>
  <si>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</si>
  <si>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</si>
  <si>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</si>
  <si>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</si>
  <si>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</si>
  <si>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</si>
  <si>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</si>
  <si>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</si>
  <si>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</si>
  <si>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</si>
  <si>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</si>
  <si>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</si>
  <si>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</si>
  <si>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</si>
  <si>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</si>
  <si>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</si>
  <si>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</si>
  <si>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</si>
  <si>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</si>
  <si>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</si>
  <si>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</si>
  <si>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</si>
  <si>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</si>
  <si>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</si>
  <si>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</si>
  <si>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</si>
  <si>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</si>
  <si>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</si>
  <si>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</si>
  <si>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</si>
  <si>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</si>
  <si>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</si>
  <si>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</si>
  <si>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</si>
  <si>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</si>
  <si>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</si>
  <si>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</si>
  <si>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</si>
  <si>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</si>
  <si>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</si>
  <si>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</si>
  <si>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</si>
  <si>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</si>
  <si>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</si>
  <si>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</si>
  <si>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</si>
  <si>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</si>
  <si>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</si>
  <si>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</si>
  <si>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</si>
  <si>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</si>
  <si>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</si>
  <si>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</si>
  <si>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</si>
  <si>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</si>
  <si>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</si>
  <si>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</si>
  <si>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</si>
  <si>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</si>
  <si>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</si>
  <si>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</si>
  <si>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</si>
  <si>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</si>
  <si>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</si>
  <si>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</si>
  <si>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</si>
  <si>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</si>
  <si>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</si>
  <si>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</si>
  <si>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</si>
  <si>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</si>
  <si>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</si>
  <si>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</si>
  <si>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</si>
  <si>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</si>
  <si>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</si>
  <si>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</si>
  <si>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</si>
  <si>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</si>
  <si>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</si>
  <si>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</si>
  <si>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</si>
  <si>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</si>
  <si>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</si>
  <si>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</si>
  <si>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</si>
  <si>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</si>
  <si>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</si>
  <si>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</si>
  <si>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</si>
  <si>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</si>
  <si>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</si>
  <si>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</si>
  <si>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</si>
  <si>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</si>
  <si>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</si>
  <si>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</si>
  <si>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</si>
  <si>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</si>
  <si>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</si>
  <si>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</si>
  <si>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</si>
  <si>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</si>
  <si>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</si>
  <si>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</si>
  <si>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</si>
  <si>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</si>
  <si>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</si>
  <si>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</si>
  <si>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</si>
  <si>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</si>
  <si>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</si>
  <si>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</si>
  <si>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</si>
  <si>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</si>
  <si>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</si>
  <si>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</si>
  <si>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</si>
  <si>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</si>
  <si>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</si>
  <si>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</si>
  <si>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</si>
  <si>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</si>
  <si>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</si>
  <si>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</si>
  <si>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</si>
  <si>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</si>
  <si>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</si>
  <si>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</si>
  <si>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</si>
  <si>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</si>
  <si>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</si>
  <si>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</si>
  <si>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</si>
  <si>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</si>
  <si>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</si>
  <si>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</si>
  <si>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</si>
  <si>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</si>
  <si>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</si>
  <si>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</si>
  <si>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</si>
  <si>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</si>
  <si>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</si>
  <si>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</si>
  <si>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</si>
  <si>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</si>
  <si>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</si>
  <si>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</si>
  <si>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</si>
  <si>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</si>
  <si>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</si>
  <si>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</si>
  <si>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</si>
  <si>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</si>
  <si>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</si>
  <si>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</si>
  <si>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</si>
  <si>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</si>
  <si>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</si>
  <si>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</si>
  <si>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</si>
  <si>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</si>
  <si>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</si>
  <si>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</si>
  <si>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</si>
  <si>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</si>
  <si>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</si>
  <si>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</si>
  <si>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</si>
  <si>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</si>
  <si>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</si>
  <si>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</si>
  <si>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</si>
  <si>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</si>
  <si>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</si>
  <si>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</si>
  <si>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</si>
  <si>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</si>
  <si>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</si>
  <si>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</si>
  <si>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</si>
  <si>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</si>
  <si>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</si>
  <si>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</si>
  <si>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</si>
  <si>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</si>
  <si>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</si>
  <si>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</si>
  <si>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</si>
  <si>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</si>
  <si>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</si>
  <si>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</si>
  <si>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</si>
  <si>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</si>
  <si>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</si>
  <si>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</si>
  <si>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</si>
  <si>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</si>
  <si>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</si>
  <si>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</si>
  <si>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</si>
  <si>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</si>
  <si>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</si>
  <si>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</si>
  <si>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</si>
  <si>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</si>
  <si>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</si>
  <si>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</si>
  <si>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</si>
  <si>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</si>
  <si>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</si>
  <si>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</si>
  <si>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</si>
  <si>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</si>
  <si>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</si>
  <si>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</si>
  <si>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</si>
  <si>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</si>
  <si>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</si>
  <si>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</si>
  <si>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</si>
  <si>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</si>
  <si>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</si>
  <si>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</si>
  <si>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</si>
  <si>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</si>
  <si>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</si>
  <si>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</si>
  <si>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</si>
  <si>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</si>
  <si>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</si>
  <si>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</si>
  <si>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</si>
  <si>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</si>
  <si>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</si>
  <si>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</si>
  <si>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</si>
  <si>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</si>
  <si>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</si>
  <si>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</si>
  <si>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</si>
  <si>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</si>
  <si>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</si>
  <si>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</si>
  <si>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</si>
  <si>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</si>
  <si>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</si>
  <si>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</si>
  <si>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</si>
  <si>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</si>
  <si>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</si>
  <si>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</si>
  <si>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</si>
  <si>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</si>
  <si>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</si>
  <si>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</si>
  <si>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</si>
  <si>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</si>
  <si>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</si>
  <si>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</si>
  <si>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</si>
  <si>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</si>
  <si>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</si>
  <si>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</si>
  <si>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</si>
  <si>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</si>
  <si>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</si>
  <si>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</si>
  <si>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</si>
  <si>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</si>
  <si>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</si>
  <si>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</si>
  <si>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</si>
  <si>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</si>
  <si>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</si>
  <si>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</si>
  <si>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</si>
  <si>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</si>
  <si>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</si>
  <si>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</si>
  <si>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</si>
  <si>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</si>
  <si>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</si>
  <si>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</si>
  <si>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</si>
  <si>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</si>
  <si>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</si>
  <si>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</si>
  <si>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</si>
  <si>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</si>
  <si>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</si>
  <si>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</si>
  <si>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</si>
  <si>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</si>
  <si>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</si>
  <si>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</si>
  <si>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</si>
  <si>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</si>
  <si>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</si>
  <si>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</si>
  <si>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</si>
  <si>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</si>
  <si>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</si>
  <si>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</si>
  <si>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</si>
  <si>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</si>
  <si>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</si>
  <si>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</si>
  <si>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</si>
  <si>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</si>
  <si>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</si>
  <si>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</si>
  <si>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</si>
  <si>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</si>
  <si>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</si>
  <si>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</si>
  <si>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</si>
  <si>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</si>
  <si>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</si>
  <si>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</si>
  <si>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</si>
  <si>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</si>
  <si>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</si>
  <si>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</si>
  <si>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</si>
  <si>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</si>
  <si>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</si>
  <si>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</si>
  <si>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</si>
  <si>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</si>
  <si>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</si>
  <si>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</si>
  <si>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</si>
  <si>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</si>
  <si>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</si>
  <si>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</si>
  <si>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</si>
  <si>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</si>
  <si>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</si>
  <si>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</si>
  <si>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</si>
  <si>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</si>
  <si>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</si>
  <si>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</si>
  <si>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</si>
  <si>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</si>
  <si>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</si>
  <si>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</si>
  <si>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</si>
  <si>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</si>
  <si>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</si>
  <si>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</si>
  <si>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</si>
  <si>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</si>
  <si>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</si>
  <si>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</si>
  <si>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</si>
  <si>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</si>
  <si>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</si>
  <si>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</si>
  <si>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</si>
  <si>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</si>
  <si>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</si>
  <si>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</si>
  <si>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</si>
  <si>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</si>
  <si>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</si>
  <si>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</si>
  <si>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</si>
  <si>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</si>
  <si>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</si>
  <si>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</si>
  <si>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</si>
  <si>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</si>
  <si>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</si>
  <si>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</si>
  <si>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</si>
  <si>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</si>
  <si>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</si>
  <si>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</si>
  <si>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</si>
  <si>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</si>
  <si>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</si>
  <si>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</si>
  <si>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</si>
  <si>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</si>
  <si>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</si>
  <si>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</si>
  <si>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</si>
  <si>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</si>
  <si>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</si>
  <si>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</si>
  <si>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</si>
  <si>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</si>
  <si>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</si>
  <si>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</si>
  <si>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</si>
  <si>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</si>
  <si>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</si>
  <si>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</si>
  <si>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</si>
  <si>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</si>
  <si>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</si>
  <si>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</si>
  <si>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</si>
  <si>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</si>
  <si>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</si>
  <si>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</si>
  <si>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</si>
  <si>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</si>
  <si>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</si>
  <si>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</si>
  <si>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</si>
  <si>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</si>
  <si>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</si>
  <si>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</si>
  <si>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</si>
  <si>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</si>
  <si>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</si>
  <si>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</si>
  <si>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</si>
  <si>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</si>
  <si>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</si>
  <si>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</si>
  <si>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</si>
  <si>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</si>
  <si>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</si>
  <si>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</si>
  <si>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</si>
  <si>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</si>
  <si>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</si>
  <si>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</si>
  <si>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</si>
  <si>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</si>
  <si>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</si>
  <si>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</si>
  <si>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</si>
  <si>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</si>
  <si>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</si>
  <si>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</si>
  <si>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</si>
  <si>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</si>
  <si>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</si>
  <si>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</si>
  <si>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</si>
  <si>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</si>
  <si>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</si>
  <si>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</si>
  <si>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</si>
  <si>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</si>
  <si>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</si>
  <si>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</si>
  <si>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</si>
  <si>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</si>
  <si>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</si>
  <si>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</si>
  <si>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</si>
  <si>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</si>
  <si>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</si>
  <si>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</si>
  <si>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</si>
  <si>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</si>
  <si>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</si>
  <si>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</si>
  <si>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</si>
  <si>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</si>
  <si>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</si>
  <si>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</si>
  <si>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</si>
  <si>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</si>
  <si>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</si>
  <si>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</si>
  <si>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</si>
  <si>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</si>
  <si>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</si>
  <si>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</si>
  <si>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</si>
  <si>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</si>
  <si>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</si>
  <si>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</si>
  <si>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</si>
  <si>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</si>
  <si>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</si>
  <si>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</si>
  <si>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</si>
  <si>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</si>
  <si>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</si>
  <si>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</si>
  <si>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</si>
  <si>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</si>
  <si>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</si>
  <si>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</si>
  <si>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</si>
  <si>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</si>
  <si>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</si>
  <si>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</si>
  <si>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</si>
  <si>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</si>
  <si>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</si>
  <si>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</si>
  <si>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</si>
  <si>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</si>
  <si>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</si>
  <si>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</si>
  <si>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</si>
  <si>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</si>
  <si>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</si>
  <si>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</si>
  <si>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</si>
  <si>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</si>
  <si>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</si>
  <si>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</si>
  <si>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</si>
  <si>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</si>
  <si>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</si>
  <si>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</si>
  <si>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</si>
  <si>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</si>
  <si>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</si>
  <si>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</si>
  <si>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</si>
  <si>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</si>
  <si>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</si>
  <si>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</si>
  <si>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</si>
  <si>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</si>
  <si>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</si>
  <si>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</si>
  <si>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</si>
  <si>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</si>
  <si>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</si>
  <si>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</si>
  <si>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</si>
  <si>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</si>
  <si>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</si>
  <si>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</si>
  <si>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</si>
  <si>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</si>
  <si>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</si>
  <si>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</si>
  <si>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</si>
  <si>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</si>
  <si>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</si>
  <si>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</si>
  <si>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</si>
  <si>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</si>
  <si>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</si>
  <si>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</si>
  <si>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</si>
  <si>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</si>
  <si>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</si>
  <si>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</si>
  <si>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</si>
  <si>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</si>
  <si>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</si>
  <si>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</si>
  <si>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</si>
  <si>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</si>
  <si>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</si>
  <si>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</si>
  <si>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</si>
  <si>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</si>
  <si>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</si>
  <si>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</si>
  <si>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</si>
  <si>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</si>
  <si>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</si>
  <si>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</si>
  <si>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</si>
  <si>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</si>
  <si>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</si>
  <si>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</si>
  <si>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</si>
  <si>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</si>
  <si>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</si>
  <si>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</si>
  <si>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</si>
  <si>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</si>
  <si>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</si>
  <si>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</si>
  <si>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</si>
  <si>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</si>
  <si>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</si>
  <si>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</si>
  <si>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</si>
  <si>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</si>
  <si>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</si>
  <si>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</si>
  <si>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</si>
  <si>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</si>
  <si>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</si>
  <si>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</si>
  <si>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</si>
  <si>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</si>
  <si>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</si>
  <si>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</si>
  <si>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</si>
  <si>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</si>
  <si>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</si>
  <si>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</si>
  <si>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</si>
  <si>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</si>
  <si>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</si>
  <si>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</si>
  <si>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</si>
  <si>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</si>
  <si>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</si>
  <si>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</si>
  <si>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</si>
  <si>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</si>
  <si>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</si>
  <si>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</si>
  <si>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</si>
  <si>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</si>
  <si>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</si>
  <si>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</si>
  <si>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</si>
  <si>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</si>
  <si>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</si>
  <si>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</si>
  <si>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</si>
  <si>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</si>
  <si>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</si>
  <si>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</si>
  <si>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</si>
  <si>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</si>
  <si>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</si>
  <si>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</si>
  <si>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</si>
  <si>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</si>
  <si>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</si>
  <si>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</si>
  <si>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</si>
  <si>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</si>
  <si>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</si>
  <si>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</si>
  <si>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</si>
  <si>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</si>
  <si>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</si>
  <si>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</si>
  <si>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</si>
  <si>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</si>
  <si>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</si>
  <si>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</si>
  <si>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</si>
  <si>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</si>
  <si>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</si>
  <si>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</si>
  <si>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</si>
  <si>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</si>
  <si>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</si>
  <si>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</si>
  <si>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</si>
  <si>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</si>
  <si>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</si>
  <si>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</si>
  <si>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</si>
  <si>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</si>
  <si>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</si>
  <si>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</si>
  <si>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</si>
  <si>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</si>
  <si>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</si>
  <si>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</si>
  <si>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</si>
  <si>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</si>
  <si>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</si>
  <si>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</si>
  <si>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</si>
  <si>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</si>
  <si>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</si>
  <si>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</si>
  <si>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</si>
  <si>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</si>
  <si>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</si>
  <si>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</si>
  <si>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</si>
  <si>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</si>
  <si>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</si>
  <si>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</si>
  <si>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</si>
  <si>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</si>
  <si>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</si>
  <si>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</si>
  <si>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</si>
  <si>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</si>
  <si>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</si>
  <si>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</si>
  <si>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</si>
  <si>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</si>
  <si>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</si>
  <si>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</si>
  <si>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</si>
  <si>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</si>
  <si>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</si>
  <si>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</si>
  <si>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</si>
  <si>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</si>
  <si>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</si>
  <si>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</si>
  <si>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</si>
  <si>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</si>
  <si>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</si>
  <si>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</si>
  <si>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</si>
  <si>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</si>
  <si>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</si>
  <si>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</si>
  <si>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</si>
  <si>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</si>
  <si>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</si>
  <si>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</si>
  <si>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</si>
  <si>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</si>
  <si>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</si>
  <si>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</si>
  <si>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</si>
  <si>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</si>
  <si>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</si>
  <si>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</si>
  <si>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</si>
  <si>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</si>
  <si>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</si>
  <si>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</si>
  <si>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</si>
  <si>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</si>
  <si>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</si>
  <si>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</si>
  <si>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</si>
  <si>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</si>
  <si>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</si>
  <si>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</si>
  <si>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</si>
  <si>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</si>
  <si>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</si>
  <si>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</si>
  <si>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</si>
  <si>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</si>
  <si>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</si>
  <si>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</si>
  <si>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</si>
  <si>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</si>
  <si>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</si>
  <si>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</si>
  <si>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</si>
  <si>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</si>
  <si>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</si>
  <si>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</si>
  <si>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</si>
  <si>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</si>
  <si>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</si>
  <si>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</si>
  <si>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</si>
  <si>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</si>
  <si>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</si>
  <si>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</si>
  <si>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</si>
  <si>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</si>
  <si>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</si>
  <si>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</si>
  <si>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</si>
  <si>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</si>
  <si>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</si>
  <si>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</si>
  <si>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</si>
  <si>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</si>
  <si>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</si>
  <si>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</si>
  <si>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</si>
  <si>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</si>
  <si>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</si>
  <si>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</si>
  <si>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</si>
  <si>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</si>
  <si>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</si>
  <si>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</si>
  <si>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</si>
  <si>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</si>
  <si>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</si>
  <si>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</si>
  <si>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</si>
  <si>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</si>
  <si>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</si>
  <si>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</si>
  <si>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</si>
  <si>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</si>
  <si>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</si>
  <si>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</si>
  <si>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</si>
  <si>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</si>
  <si>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</si>
  <si>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</si>
  <si>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</si>
  <si>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</si>
  <si>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</si>
  <si>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</si>
  <si>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</si>
  <si>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</si>
  <si>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</si>
  <si>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</si>
  <si>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</si>
  <si>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</si>
  <si>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</si>
  <si>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</si>
  <si>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</si>
  <si>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</si>
  <si>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</si>
  <si>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</si>
  <si>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</si>
  <si>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</si>
  <si>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</si>
  <si>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</si>
  <si>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</si>
  <si>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</si>
  <si>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</si>
  <si>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</si>
  <si>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</si>
  <si>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</si>
  <si>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</si>
  <si>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</si>
  <si>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</si>
  <si>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</si>
  <si>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</si>
  <si>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</si>
  <si>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</si>
  <si>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</si>
  <si>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</si>
  <si>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</si>
  <si>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</si>
  <si>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</si>
  <si>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</si>
  <si>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</si>
  <si>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</si>
  <si>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</si>
  <si>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</si>
  <si>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</si>
  <si>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</si>
  <si>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</si>
  <si>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</si>
  <si>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</si>
  <si>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</si>
  <si>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</si>
  <si>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</si>
  <si>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</si>
  <si>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</si>
  <si>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</si>
  <si>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</si>
  <si>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</si>
  <si>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</si>
  <si>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</si>
  <si>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</si>
  <si>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</si>
  <si>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</si>
  <si>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</si>
  <si>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</si>
  <si>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</si>
  <si>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</si>
  <si>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</si>
  <si>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</si>
  <si>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</si>
  <si>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</si>
  <si>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</si>
  <si>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</si>
  <si>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</si>
  <si>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</si>
  <si>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</si>
  <si>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</si>
  <si>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</si>
  <si>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</si>
  <si>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</si>
  <si>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</si>
  <si>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</si>
  <si>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</si>
  <si>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</si>
  <si>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</si>
  <si>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</si>
  <si>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</si>
  <si>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</si>
  <si>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</si>
  <si>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</si>
  <si>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</si>
  <si>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</si>
  <si>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</si>
  <si>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</si>
  <si>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</si>
  <si>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</si>
  <si>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</si>
  <si>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</si>
  <si>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</si>
  <si>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</si>
  <si>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</si>
  <si>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</si>
  <si>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</si>
  <si>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</si>
  <si>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</si>
  <si>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</si>
  <si>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</si>
  <si>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</si>
  <si>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</si>
  <si>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</si>
  <si>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</si>
  <si>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</si>
  <si>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</si>
  <si>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</si>
  <si>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</si>
  <si>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</si>
  <si>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</si>
  <si>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</si>
  <si>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</si>
  <si>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</si>
  <si>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</si>
  <si>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</si>
  <si>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</si>
  <si>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</si>
  <si>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</si>
  <si>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</si>
  <si>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</si>
  <si>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</si>
  <si>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</si>
  <si>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</si>
  <si>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</si>
  <si>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</si>
  <si>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</si>
  <si>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</si>
  <si>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</si>
  <si>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</si>
  <si>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</si>
  <si>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</si>
  <si>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</si>
  <si>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</si>
  <si>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</si>
  <si>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</si>
  <si>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</si>
  <si>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</si>
  <si>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</si>
  <si>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</si>
  <si>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</si>
  <si>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</si>
  <si>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</si>
  <si>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</si>
  <si>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</si>
  <si>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</si>
  <si>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</si>
  <si>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</si>
  <si>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</si>
  <si>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</si>
  <si>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</si>
  <si>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</si>
  <si>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</si>
  <si>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</si>
  <si>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</si>
  <si>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</si>
  <si>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</si>
  <si>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</si>
  <si>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</si>
  <si>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</si>
  <si>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</si>
  <si>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</si>
  <si>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</si>
  <si>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</si>
  <si>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</si>
  <si>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</si>
  <si>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</si>
  <si>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</si>
  <si>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</si>
  <si>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</si>
  <si>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</si>
  <si>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</si>
  <si>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</si>
  <si>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</si>
  <si>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</si>
  <si>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</si>
  <si>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</si>
  <si>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</si>
  <si>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</si>
  <si>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</si>
  <si>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</si>
  <si>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</si>
  <si>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</si>
  <si>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</si>
  <si>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</si>
  <si>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</si>
  <si>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</si>
  <si>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</si>
  <si>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</si>
  <si>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</si>
  <si>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</si>
  <si>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</si>
  <si>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</si>
  <si>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</si>
  <si>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</si>
  <si>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</si>
  <si>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</si>
  <si>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</si>
  <si>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</si>
  <si>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</si>
  <si>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</si>
  <si>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</si>
  <si>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</si>
  <si>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</si>
  <si>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</si>
  <si>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</si>
  <si>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</si>
  <si>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</si>
  <si>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</si>
  <si>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</si>
  <si>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</si>
  <si>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</si>
  <si>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</si>
  <si>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</si>
  <si>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</si>
  <si>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</si>
  <si>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</si>
  <si>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</si>
  <si>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</si>
  <si>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</si>
  <si>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</si>
  <si>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</si>
  <si>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</si>
  <si>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</si>
  <si>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</si>
  <si>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</si>
  <si>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</si>
  <si>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</si>
  <si>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</si>
  <si>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</si>
  <si>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</si>
  <si>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</si>
  <si>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</si>
  <si>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</si>
  <si>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</si>
  <si>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</si>
  <si>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</si>
  <si>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</si>
  <si>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</si>
  <si>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</si>
  <si>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</si>
  <si>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</si>
  <si>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</si>
  <si>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</si>
  <si>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</si>
  <si>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</si>
  <si>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</si>
  <si>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</si>
  <si>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</si>
  <si>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</si>
  <si>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</si>
  <si>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</si>
  <si>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</si>
  <si>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</si>
  <si>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</si>
  <si>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</si>
  <si>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</si>
  <si>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</si>
  <si>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</si>
  <si>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</si>
  <si>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</si>
  <si>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</si>
  <si>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</si>
  <si>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</si>
  <si>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</si>
  <si>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</si>
  <si>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</si>
  <si>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</si>
  <si>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</si>
  <si>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</si>
  <si>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</si>
  <si>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</si>
  <si>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</si>
  <si>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</si>
  <si>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</si>
  <si>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</si>
  <si>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</si>
  <si>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</si>
  <si>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</si>
  <si>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</si>
  <si>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</si>
  <si>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</si>
  <si>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</si>
  <si>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</si>
  <si>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</si>
  <si>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</si>
  <si>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</si>
  <si>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</si>
  <si>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</si>
  <si>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</si>
  <si>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</si>
  <si>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</si>
  <si>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</si>
  <si>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</si>
  <si>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</si>
  <si>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</si>
  <si>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</si>
  <si>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</si>
  <si>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</si>
  <si>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</si>
  <si>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</si>
  <si>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</si>
  <si>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</si>
  <si>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</si>
  <si>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</si>
  <si>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</si>
  <si>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</si>
  <si>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</si>
  <si>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</si>
  <si>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</si>
  <si>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</si>
  <si>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</si>
  <si>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</si>
  <si>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</si>
  <si>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</si>
  <si>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</si>
  <si>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</si>
  <si>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</si>
  <si>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</si>
  <si>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</si>
  <si>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</si>
  <si>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</si>
  <si>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</si>
  <si>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</si>
  <si>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</si>
  <si>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</si>
  <si>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</si>
  <si>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</si>
  <si>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</si>
  <si>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</si>
  <si>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</si>
  <si>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</si>
  <si>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</si>
  <si>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</si>
  <si>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</si>
  <si>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</si>
  <si>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</si>
  <si>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</si>
  <si>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</si>
  <si>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</si>
  <si>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</si>
  <si>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</si>
  <si>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</si>
  <si>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</si>
  <si>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</si>
  <si>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</si>
  <si>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</si>
  <si>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</si>
  <si>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</si>
  <si>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</si>
  <si>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</si>
  <si>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</si>
  <si>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</si>
  <si>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</si>
  <si>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</si>
  <si>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</si>
  <si>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</si>
  <si>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</si>
  <si>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</si>
  <si>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</si>
  <si>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</si>
  <si>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</si>
  <si>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</si>
  <si>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</si>
  <si>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</si>
  <si>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</si>
  <si>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</si>
  <si>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</si>
  <si>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</si>
  <si>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</si>
  <si>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</si>
  <si>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</si>
  <si>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</si>
  <si>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</si>
  <si>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</si>
  <si>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</si>
  <si>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</si>
  <si>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</si>
  <si>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</si>
  <si>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</si>
  <si>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</si>
  <si>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</si>
  <si>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</si>
  <si>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</si>
  <si>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</si>
  <si>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</si>
  <si>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</si>
  <si>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</si>
  <si>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</si>
  <si>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</si>
  <si>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</si>
  <si>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</si>
  <si>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</si>
  <si>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</si>
  <si>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</si>
  <si>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</si>
  <si>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</si>
  <si>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</si>
  <si>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</si>
  <si>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</si>
  <si>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</si>
  <si>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</si>
  <si>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</si>
  <si>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</si>
  <si>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</si>
  <si>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</si>
  <si>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</si>
  <si>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</si>
  <si>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</si>
  <si>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</si>
  <si>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</si>
  <si>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</si>
  <si>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</si>
  <si>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</si>
  <si>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</si>
  <si>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</si>
  <si>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</si>
  <si>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</si>
  <si>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</si>
  <si>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</si>
  <si>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</si>
  <si>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</si>
  <si>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</si>
  <si>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</si>
  <si>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</si>
  <si>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</si>
  <si>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</si>
  <si>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</si>
  <si>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</si>
  <si>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</si>
  <si>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</si>
  <si>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</si>
  <si>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</si>
  <si>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</si>
  <si>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</si>
  <si>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</si>
  <si>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</si>
  <si>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</si>
  <si>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</si>
  <si>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</si>
  <si>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</si>
  <si>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</si>
  <si>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</si>
  <si>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</si>
  <si>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</si>
  <si>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</si>
  <si>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</si>
  <si>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</si>
  <si>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</si>
  <si>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</si>
  <si>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</si>
  <si>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</si>
  <si>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</si>
  <si>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</si>
  <si>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</si>
  <si>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</si>
  <si>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</si>
  <si>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</si>
  <si>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</si>
  <si>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</si>
  <si>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</si>
  <si>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</si>
  <si>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</si>
  <si>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</si>
  <si>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</si>
  <si>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</si>
  <si>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</si>
  <si>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</si>
  <si>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</si>
  <si>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</si>
  <si>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</si>
  <si>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</si>
  <si>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</si>
  <si>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</si>
  <si>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</si>
  <si>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</si>
  <si>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</si>
  <si>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</si>
  <si>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</si>
  <si>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</si>
  <si>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</si>
  <si>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</si>
  <si>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</si>
  <si>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</si>
  <si>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</si>
  <si>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</si>
  <si>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</si>
  <si>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</si>
  <si>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</si>
  <si>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</si>
  <si>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</si>
  <si>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</si>
  <si>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</si>
  <si>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</si>
  <si>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</si>
  <si>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</si>
  <si>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</si>
  <si>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</si>
  <si>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</si>
  <si>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</si>
  <si>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</si>
  <si>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</si>
  <si>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</si>
  <si>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</si>
  <si>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</si>
  <si>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</si>
  <si>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</si>
  <si>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</si>
  <si>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</si>
  <si>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</si>
  <si>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</si>
  <si>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</si>
  <si>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</si>
  <si>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</si>
  <si>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</si>
  <si>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</si>
  <si>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</si>
  <si>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</si>
  <si>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</si>
  <si>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</si>
  <si>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</si>
  <si>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</si>
  <si>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</si>
  <si>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</si>
  <si>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</si>
  <si>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</si>
  <si>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</si>
  <si>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</si>
  <si>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</si>
  <si>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</si>
  <si>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</si>
  <si>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</si>
  <si>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</si>
  <si>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</si>
  <si>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</si>
  <si>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</si>
  <si>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</si>
  <si>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</si>
  <si>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</si>
  <si>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</si>
  <si>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</si>
  <si>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</si>
  <si>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</si>
  <si>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</si>
  <si>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</si>
  <si>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</si>
  <si>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</si>
  <si>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</si>
  <si>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</si>
  <si>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</si>
  <si>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</si>
  <si>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</si>
  <si>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</si>
  <si>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</si>
  <si>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</si>
  <si>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</si>
  <si>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</si>
  <si>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</si>
  <si>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</si>
  <si>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</si>
  <si>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</si>
  <si>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</si>
  <si>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</si>
  <si>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</si>
  <si>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</si>
  <si>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</si>
  <si>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</si>
  <si>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</si>
  <si>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</si>
  <si>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</si>
  <si>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</si>
  <si>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</si>
  <si>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</si>
  <si>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</si>
  <si>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</si>
  <si>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</si>
  <si>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</si>
  <si>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</si>
  <si>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</si>
  <si>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</si>
  <si>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</si>
  <si>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</si>
  <si>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</si>
  <si>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</si>
  <si>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</si>
  <si>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</si>
  <si>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</si>
  <si>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</si>
  <si>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</si>
  <si>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</si>
  <si>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</si>
  <si>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</si>
  <si>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</si>
  <si>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</si>
  <si>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</si>
  <si>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</si>
  <si>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</si>
  <si>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</si>
  <si>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</si>
  <si>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</si>
  <si>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</si>
  <si>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</si>
  <si>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</si>
  <si>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</si>
  <si>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</si>
  <si>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</si>
  <si>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</si>
  <si>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</si>
  <si>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</si>
  <si>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</si>
  <si>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</si>
  <si>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</si>
  <si>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</si>
  <si>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</si>
  <si>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</si>
  <si>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</si>
  <si>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</si>
  <si>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</si>
  <si>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</si>
  <si>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</si>
  <si>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</si>
  <si>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</si>
  <si>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</si>
  <si>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</si>
  <si>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</si>
  <si>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</si>
  <si>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</si>
  <si>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</si>
  <si>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</si>
  <si>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</si>
  <si>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</si>
  <si>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</si>
  <si>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</si>
  <si>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</si>
  <si>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</si>
  <si>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</si>
  <si>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</si>
  <si>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</si>
  <si>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</si>
  <si>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</si>
  <si>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</si>
  <si>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</si>
  <si>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</si>
  <si>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</si>
  <si>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</si>
  <si>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</si>
  <si>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</si>
  <si>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</si>
  <si>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</si>
  <si>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</si>
  <si>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</si>
  <si>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</si>
  <si>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</si>
  <si>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</si>
  <si>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</si>
  <si>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</si>
  <si>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</si>
  <si>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</si>
  <si>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</si>
  <si>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</si>
  <si>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</si>
  <si>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</si>
  <si>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</si>
  <si>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</si>
  <si>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</si>
  <si>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</si>
  <si>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</si>
  <si>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</si>
  <si>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</si>
  <si>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</si>
  <si>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</si>
  <si>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</si>
  <si>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</si>
  <si>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</si>
  <si>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</si>
  <si>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</si>
  <si>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</si>
  <si>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</si>
  <si>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</si>
  <si>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</si>
  <si>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</si>
  <si>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</si>
  <si>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</si>
  <si>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</si>
  <si>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</si>
  <si>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</si>
  <si>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</si>
  <si>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</si>
  <si>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</si>
  <si>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</si>
  <si>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</si>
  <si>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</si>
  <si>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</si>
  <si>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</si>
  <si>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</si>
  <si>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</si>
  <si>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</si>
  <si>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</si>
  <si>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</si>
  <si>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建成年代</t>
    <phoneticPr fontId="24" type="noConversion"/>
  </si>
  <si>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</si>
  <si>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</si>
  <si>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</si>
  <si>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</si>
  <si>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</si>
  <si>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</si>
  <si>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1室1厅1卫1厨</t>
    <phoneticPr fontId="134" type="noConversion"/>
  </si>
  <si>
    <t>高楼层</t>
    <phoneticPr fontId="24" type="noConversion"/>
  </si>
  <si>
    <t>高楼层</t>
    <phoneticPr fontId="3" type="noConversion"/>
  </si>
  <si>
    <t>中楼层</t>
    <phoneticPr fontId="3" type="noConversion"/>
  </si>
  <si>
    <t>低楼层</t>
    <phoneticPr fontId="3" type="noConversion"/>
  </si>
  <si>
    <t>平层住宅</t>
  </si>
  <si>
    <t>普通装修</t>
  </si>
  <si>
    <t>普通装修</t>
    <phoneticPr fontId="134" type="noConversion"/>
  </si>
  <si>
    <t>2室1厅1卫1厨</t>
    <phoneticPr fontId="134" type="noConversion"/>
  </si>
  <si>
    <t>首层</t>
    <phoneticPr fontId="24" type="noConversion"/>
  </si>
  <si>
    <t>户型结构</t>
    <phoneticPr fontId="24" type="noConversion"/>
  </si>
  <si>
    <t>三居</t>
    <phoneticPr fontId="3" type="noConversion"/>
  </si>
  <si>
    <t>两居</t>
    <phoneticPr fontId="3" type="noConversion"/>
  </si>
  <si>
    <t>一居</t>
    <phoneticPr fontId="3" type="noConversion"/>
  </si>
  <si>
    <t>一居</t>
    <phoneticPr fontId="24" type="noConversion"/>
  </si>
  <si>
    <t>两居</t>
    <phoneticPr fontId="24" type="noConversion"/>
  </si>
  <si>
    <t>天通东苑二区31号楼1304</t>
    <phoneticPr fontId="3" type="noConversion"/>
  </si>
  <si>
    <t>中楼层</t>
    <phoneticPr fontId="24" type="noConversion"/>
  </si>
  <si>
    <t>芳怡园</t>
    <phoneticPr fontId="134" type="noConversion"/>
  </si>
  <si>
    <t>市调</t>
    <phoneticPr fontId="134" type="noConversion"/>
  </si>
  <si>
    <t>西北旺三街14号院2号楼4单元902</t>
    <phoneticPr fontId="134" type="noConversion"/>
  </si>
  <si>
    <t>西北旺三街14号院2号楼5单元504</t>
    <phoneticPr fontId="134" type="noConversion"/>
  </si>
  <si>
    <t>西北旺三街14号院1号楼2单元704</t>
    <phoneticPr fontId="134" type="noConversion"/>
  </si>
  <si>
    <t>南</t>
  </si>
  <si>
    <t>南北</t>
  </si>
  <si>
    <t>周边有如园、景和园、冬晴园、百旺茉莉园等住宅小区，居住社区成熟度较好。</t>
    <phoneticPr fontId="40" type="noConversion"/>
  </si>
  <si>
    <t>周边有333路、908路、909路等多条公交线路及地铁16号线西北旺站，综合评价交通便捷度较好</t>
    <phoneticPr fontId="40" type="noConversion"/>
  </si>
  <si>
    <t>自然环境：百望山森林公园、中关村公园等自然景观；
综合评价环境状况较好。</t>
    <phoneticPr fontId="40" type="noConversion"/>
  </si>
  <si>
    <t>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t>
    <phoneticPr fontId="40" type="noConversion"/>
  </si>
  <si>
    <t>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t>
    <phoneticPr fontId="24" type="noConversion"/>
  </si>
  <si>
    <t>西</t>
  </si>
  <si>
    <t>9/10</t>
    <phoneticPr fontId="24" type="noConversion"/>
  </si>
  <si>
    <t>5/10</t>
    <phoneticPr fontId="24" type="noConversion"/>
  </si>
  <si>
    <t>7/10</t>
    <phoneticPr fontId="24" type="noConversion"/>
  </si>
  <si>
    <t>高层板楼</t>
  </si>
  <si>
    <t>第二年</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</si>
</sst>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0" fontId="269" fillId="5" borderId="0" xfId="0" applyFont="1" applyFill="1" applyAlignment="1">
      <alignment horizontal="center" vertical="center"/>
    </xf>
    <xf numFmtId="0" fontId="51" fillId="12" borderId="0" xfId="17" applyNumberFormat="1"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20</xdr:row>
      <xdr:rowOff>0</xdr:rowOff>
    </xdr:from>
    <xdr:to>
      <xdr:col>27</xdr:col>
      <xdr:colOff>373745</xdr:colOff>
      <xdr:row>22</xdr:row>
      <xdr:rowOff>166622</xdr:rowOff>
    </xdr:to>
    <xdr:pic>
      <xdr:nvPicPr>
        <xdr:cNvPr id="2" name="图片 1">
          <a:extLst>
            <a:ext uri="{FF2B5EF4-FFF2-40B4-BE49-F238E27FC236}">
              <a16:creationId xmlns:a16="http://schemas.microsoft.com/office/drawing/2014/main" id="{92DD327B-5C89-F1EF-B664-1BC8225F4D5B}"/>
            </a:ext>
          </a:extLst>
        </xdr:cNvPr>
        <xdr:cNvPicPr>
          <a:picLocks noChangeAspect="1"/>
        </xdr:cNvPicPr>
      </xdr:nvPicPr>
      <xdr:blipFill>
        <a:blip xmlns:r="http://schemas.openxmlformats.org/officeDocument/2006/relationships" r:embed="rId1"/>
        <a:stretch>
          <a:fillRect/>
        </a:stretch>
      </xdr:blipFill>
      <xdr:spPr>
        <a:xfrm>
          <a:off x="20621625" y="4238625"/>
          <a:ext cx="885714" cy="5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16</xdr:row>
      <xdr:rowOff>111256</xdr:rowOff>
    </xdr:from>
    <xdr:to>
      <xdr:col>15</xdr:col>
      <xdr:colOff>608505</xdr:colOff>
      <xdr:row>29</xdr:row>
      <xdr:rowOff>27911</xdr:rowOff>
    </xdr:to>
    <xdr:pic>
      <xdr:nvPicPr>
        <xdr:cNvPr id="14" name="图片 13">
          <a:extLst>
            <a:ext uri="{FF2B5EF4-FFF2-40B4-BE49-F238E27FC236}">
              <a16:creationId xmlns:a16="http://schemas.microsoft.com/office/drawing/2014/main" id="{8D0F544C-C2BD-2967-167D-4B4DC663E044}"/>
            </a:ext>
          </a:extLst>
        </xdr:cNvPr>
        <xdr:cNvPicPr>
          <a:picLocks noChangeAspect="1"/>
        </xdr:cNvPicPr>
      </xdr:nvPicPr>
      <xdr:blipFill>
        <a:blip xmlns:r="http://schemas.openxmlformats.org/officeDocument/2006/relationships" r:embed="rId2"/>
        <a:stretch>
          <a:fillRect/>
        </a:stretch>
      </xdr:blipFill>
      <xdr:spPr>
        <a:xfrm>
          <a:off x="7400925" y="4073656"/>
          <a:ext cx="6599730" cy="4002880"/>
        </a:xfrm>
        <a:prstGeom prst="rect">
          <a:avLst/>
        </a:prstGeom>
      </xdr:spPr>
    </xdr:pic>
    <xdr:clientData/>
  </xdr:twoCellAnchor>
  <xdr:twoCellAnchor editAs="oneCell">
    <xdr:from>
      <xdr:col>0</xdr:col>
      <xdr:colOff>47625</xdr:colOff>
      <xdr:row>4</xdr:row>
      <xdr:rowOff>58203</xdr:rowOff>
    </xdr:from>
    <xdr:to>
      <xdr:col>6</xdr:col>
      <xdr:colOff>548188</xdr:colOff>
      <xdr:row>21</xdr:row>
      <xdr:rowOff>76201</xdr:rowOff>
    </xdr:to>
    <xdr:pic>
      <xdr:nvPicPr>
        <xdr:cNvPr id="2" name="图片 1">
          <a:extLst>
            <a:ext uri="{FF2B5EF4-FFF2-40B4-BE49-F238E27FC236}">
              <a16:creationId xmlns:a16="http://schemas.microsoft.com/office/drawing/2014/main" id="{46D45363-D6CD-7DB2-0E9E-37512C6F1A78}"/>
            </a:ext>
          </a:extLst>
        </xdr:cNvPr>
        <xdr:cNvPicPr>
          <a:picLocks noChangeAspect="1"/>
        </xdr:cNvPicPr>
      </xdr:nvPicPr>
      <xdr:blipFill>
        <a:blip xmlns:r="http://schemas.openxmlformats.org/officeDocument/2006/relationships" r:embed="rId3"/>
        <a:stretch>
          <a:fillRect/>
        </a:stretch>
      </xdr:blipFill>
      <xdr:spPr>
        <a:xfrm>
          <a:off x="47625" y="1153578"/>
          <a:ext cx="7377613" cy="4456648"/>
        </a:xfrm>
        <a:prstGeom prst="rect">
          <a:avLst/>
        </a:prstGeom>
      </xdr:spPr>
    </xdr:pic>
    <xdr:clientData/>
  </xdr:twoCellAnchor>
  <xdr:twoCellAnchor editAs="oneCell">
    <xdr:from>
      <xdr:col>3</xdr:col>
      <xdr:colOff>190500</xdr:colOff>
      <xdr:row>5</xdr:row>
      <xdr:rowOff>153453</xdr:rowOff>
    </xdr:from>
    <xdr:to>
      <xdr:col>6</xdr:col>
      <xdr:colOff>285427</xdr:colOff>
      <xdr:row>19</xdr:row>
      <xdr:rowOff>29189</xdr:rowOff>
    </xdr:to>
    <xdr:pic>
      <xdr:nvPicPr>
        <xdr:cNvPr id="4" name="图片 3">
          <a:extLst>
            <a:ext uri="{FF2B5EF4-FFF2-40B4-BE49-F238E27FC236}">
              <a16:creationId xmlns:a16="http://schemas.microsoft.com/office/drawing/2014/main" id="{D042D330-6650-9226-0483-5CDA5BB9EF37}"/>
            </a:ext>
          </a:extLst>
        </xdr:cNvPr>
        <xdr:cNvPicPr>
          <a:picLocks noChangeAspect="1"/>
        </xdr:cNvPicPr>
      </xdr:nvPicPr>
      <xdr:blipFill>
        <a:blip xmlns:r="http://schemas.openxmlformats.org/officeDocument/2006/relationships" r:embed="rId4"/>
        <a:stretch>
          <a:fillRect/>
        </a:stretch>
      </xdr:blipFill>
      <xdr:spPr>
        <a:xfrm>
          <a:off x="4581525" y="1420278"/>
          <a:ext cx="2580952" cy="3514286"/>
        </a:xfrm>
        <a:prstGeom prst="rect">
          <a:avLst/>
        </a:prstGeom>
      </xdr:spPr>
    </xdr:pic>
    <xdr:clientData/>
  </xdr:twoCellAnchor>
  <xdr:twoCellAnchor editAs="oneCell">
    <xdr:from>
      <xdr:col>7</xdr:col>
      <xdr:colOff>142875</xdr:colOff>
      <xdr:row>5</xdr:row>
      <xdr:rowOff>94138</xdr:rowOff>
    </xdr:from>
    <xdr:to>
      <xdr:col>28</xdr:col>
      <xdr:colOff>416957</xdr:colOff>
      <xdr:row>11</xdr:row>
      <xdr:rowOff>47439</xdr:rowOff>
    </xdr:to>
    <xdr:pic>
      <xdr:nvPicPr>
        <xdr:cNvPr id="5" name="图片 4">
          <a:extLst>
            <a:ext uri="{FF2B5EF4-FFF2-40B4-BE49-F238E27FC236}">
              <a16:creationId xmlns:a16="http://schemas.microsoft.com/office/drawing/2014/main" id="{041059C9-FD60-7474-FDA6-E18CF01002DA}"/>
            </a:ext>
          </a:extLst>
        </xdr:cNvPr>
        <xdr:cNvPicPr>
          <a:picLocks noChangeAspect="1"/>
        </xdr:cNvPicPr>
      </xdr:nvPicPr>
      <xdr:blipFill>
        <a:blip xmlns:r="http://schemas.openxmlformats.org/officeDocument/2006/relationships" r:embed="rId5"/>
        <a:stretch>
          <a:fillRect/>
        </a:stretch>
      </xdr:blipFill>
      <xdr:spPr>
        <a:xfrm>
          <a:off x="7743825" y="1360963"/>
          <a:ext cx="15828407" cy="1363001"/>
        </a:xfrm>
        <a:prstGeom prst="rect">
          <a:avLst/>
        </a:prstGeom>
      </xdr:spPr>
    </xdr:pic>
    <xdr:clientData/>
  </xdr:twoCellAnchor>
  <xdr:twoCellAnchor editAs="oneCell">
    <xdr:from>
      <xdr:col>28</xdr:col>
      <xdr:colOff>457200</xdr:colOff>
      <xdr:row>5</xdr:row>
      <xdr:rowOff>85725</xdr:rowOff>
    </xdr:from>
    <xdr:to>
      <xdr:col>33</xdr:col>
      <xdr:colOff>123825</xdr:colOff>
      <xdr:row>11</xdr:row>
      <xdr:rowOff>43039</xdr:rowOff>
    </xdr:to>
    <xdr:pic>
      <xdr:nvPicPr>
        <xdr:cNvPr id="7" name="图片 6">
          <a:extLst>
            <a:ext uri="{FF2B5EF4-FFF2-40B4-BE49-F238E27FC236}">
              <a16:creationId xmlns:a16="http://schemas.microsoft.com/office/drawing/2014/main" id="{14E85BAB-59AB-6B4D-E8B3-C560A3D1F2BD}"/>
            </a:ext>
          </a:extLst>
        </xdr:cNvPr>
        <xdr:cNvPicPr>
          <a:picLocks noChangeAspect="1"/>
        </xdr:cNvPicPr>
      </xdr:nvPicPr>
      <xdr:blipFill>
        <a:blip xmlns:r="http://schemas.openxmlformats.org/officeDocument/2006/relationships" r:embed="rId6"/>
        <a:stretch>
          <a:fillRect/>
        </a:stretch>
      </xdr:blipFill>
      <xdr:spPr>
        <a:xfrm>
          <a:off x="23612475" y="1352550"/>
          <a:ext cx="3095625" cy="1367014"/>
        </a:xfrm>
        <a:prstGeom prst="rect">
          <a:avLst/>
        </a:prstGeom>
      </xdr:spPr>
    </xdr:pic>
    <xdr:clientData/>
  </xdr:twoCellAnchor>
  <xdr:twoCellAnchor editAs="oneCell">
    <xdr:from>
      <xdr:col>0</xdr:col>
      <xdr:colOff>276225</xdr:colOff>
      <xdr:row>22</xdr:row>
      <xdr:rowOff>95250</xdr:rowOff>
    </xdr:from>
    <xdr:to>
      <xdr:col>4</xdr:col>
      <xdr:colOff>458996</xdr:colOff>
      <xdr:row>60</xdr:row>
      <xdr:rowOff>36571</xdr:rowOff>
    </xdr:to>
    <xdr:pic>
      <xdr:nvPicPr>
        <xdr:cNvPr id="3" name="图片 2">
          <a:extLst>
            <a:ext uri="{FF2B5EF4-FFF2-40B4-BE49-F238E27FC236}">
              <a16:creationId xmlns:a16="http://schemas.microsoft.com/office/drawing/2014/main" id="{D8C62367-7E8A-AD0C-1EEA-DA19AA1C3566}"/>
            </a:ext>
          </a:extLst>
        </xdr:cNvPr>
        <xdr:cNvPicPr>
          <a:picLocks noChangeAspect="1"/>
        </xdr:cNvPicPr>
      </xdr:nvPicPr>
      <xdr:blipFill>
        <a:blip xmlns:r="http://schemas.openxmlformats.org/officeDocument/2006/relationships" r:embed="rId7"/>
        <a:stretch>
          <a:fillRect/>
        </a:stretch>
      </xdr:blipFill>
      <xdr:spPr>
        <a:xfrm>
          <a:off x="276225" y="5943600"/>
          <a:ext cx="5297696" cy="8599546"/>
        </a:xfrm>
        <a:prstGeom prst="rect">
          <a:avLst/>
        </a:prstGeom>
      </xdr:spPr>
    </xdr:pic>
    <xdr:clientData/>
  </xdr:twoCellAnchor>
  <xdr:twoCellAnchor editAs="oneCell">
    <xdr:from>
      <xdr:col>0</xdr:col>
      <xdr:colOff>0</xdr:colOff>
      <xdr:row>61</xdr:row>
      <xdr:rowOff>85726</xdr:rowOff>
    </xdr:from>
    <xdr:to>
      <xdr:col>4</xdr:col>
      <xdr:colOff>408709</xdr:colOff>
      <xdr:row>112</xdr:row>
      <xdr:rowOff>28576</xdr:rowOff>
    </xdr:to>
    <xdr:pic>
      <xdr:nvPicPr>
        <xdr:cNvPr id="6" name="图片 5">
          <a:extLst>
            <a:ext uri="{FF2B5EF4-FFF2-40B4-BE49-F238E27FC236}">
              <a16:creationId xmlns:a16="http://schemas.microsoft.com/office/drawing/2014/main" id="{A80CEFC8-DC2D-96D4-C124-CBE53134CBB6}"/>
            </a:ext>
          </a:extLst>
        </xdr:cNvPr>
        <xdr:cNvPicPr>
          <a:picLocks noChangeAspect="1"/>
        </xdr:cNvPicPr>
      </xdr:nvPicPr>
      <xdr:blipFill>
        <a:blip xmlns:r="http://schemas.openxmlformats.org/officeDocument/2006/relationships" r:embed="rId8"/>
        <a:stretch>
          <a:fillRect/>
        </a:stretch>
      </xdr:blipFill>
      <xdr:spPr>
        <a:xfrm>
          <a:off x="0" y="14763751"/>
          <a:ext cx="5523634" cy="8686800"/>
        </a:xfrm>
        <a:prstGeom prst="rect">
          <a:avLst/>
        </a:prstGeom>
      </xdr:spPr>
    </xdr:pic>
    <xdr:clientData/>
  </xdr:twoCellAnchor>
  <xdr:twoCellAnchor editAs="oneCell">
    <xdr:from>
      <xdr:col>37</xdr:col>
      <xdr:colOff>28575</xdr:colOff>
      <xdr:row>16</xdr:row>
      <xdr:rowOff>133350</xdr:rowOff>
    </xdr:from>
    <xdr:to>
      <xdr:col>39</xdr:col>
      <xdr:colOff>495070</xdr:colOff>
      <xdr:row>18</xdr:row>
      <xdr:rowOff>142795</xdr:rowOff>
    </xdr:to>
    <xdr:pic>
      <xdr:nvPicPr>
        <xdr:cNvPr id="8" name="图片 7">
          <a:extLst>
            <a:ext uri="{FF2B5EF4-FFF2-40B4-BE49-F238E27FC236}">
              <a16:creationId xmlns:a16="http://schemas.microsoft.com/office/drawing/2014/main" id="{39921B76-D203-F732-1704-6681E2143B79}"/>
            </a:ext>
          </a:extLst>
        </xdr:cNvPr>
        <xdr:cNvPicPr>
          <a:picLocks noChangeAspect="1"/>
        </xdr:cNvPicPr>
      </xdr:nvPicPr>
      <xdr:blipFill>
        <a:blip xmlns:r="http://schemas.openxmlformats.org/officeDocument/2006/relationships" r:embed="rId9"/>
        <a:stretch>
          <a:fillRect/>
        </a:stretch>
      </xdr:blipFill>
      <xdr:spPr>
        <a:xfrm>
          <a:off x="29356050" y="4095750"/>
          <a:ext cx="1838095" cy="638095"/>
        </a:xfrm>
        <a:prstGeom prst="rect">
          <a:avLst/>
        </a:prstGeom>
      </xdr:spPr>
    </xdr:pic>
    <xdr:clientData/>
  </xdr:twoCellAnchor>
  <xdr:twoCellAnchor editAs="oneCell">
    <xdr:from>
      <xdr:col>36</xdr:col>
      <xdr:colOff>133350</xdr:colOff>
      <xdr:row>1</xdr:row>
      <xdr:rowOff>190501</xdr:rowOff>
    </xdr:from>
    <xdr:to>
      <xdr:col>40</xdr:col>
      <xdr:colOff>333375</xdr:colOff>
      <xdr:row>6</xdr:row>
      <xdr:rowOff>415784</xdr:rowOff>
    </xdr:to>
    <xdr:pic>
      <xdr:nvPicPr>
        <xdr:cNvPr id="9" name="图片 8">
          <a:extLst>
            <a:ext uri="{FF2B5EF4-FFF2-40B4-BE49-F238E27FC236}">
              <a16:creationId xmlns:a16="http://schemas.microsoft.com/office/drawing/2014/main" id="{0FFAAB9E-BF92-E62B-A7EA-80B29CDAD6F2}"/>
            </a:ext>
          </a:extLst>
        </xdr:cNvPr>
        <xdr:cNvPicPr>
          <a:picLocks noChangeAspect="1"/>
        </xdr:cNvPicPr>
      </xdr:nvPicPr>
      <xdr:blipFill>
        <a:blip xmlns:r="http://schemas.openxmlformats.org/officeDocument/2006/relationships" r:embed="rId10"/>
        <a:stretch>
          <a:fillRect/>
        </a:stretch>
      </xdr:blipFill>
      <xdr:spPr>
        <a:xfrm>
          <a:off x="28775025" y="361951"/>
          <a:ext cx="2943225" cy="1492108"/>
        </a:xfrm>
        <a:prstGeom prst="rect">
          <a:avLst/>
        </a:prstGeom>
      </xdr:spPr>
    </xdr:pic>
    <xdr:clientData/>
  </xdr:twoCellAnchor>
  <xdr:twoCellAnchor editAs="oneCell">
    <xdr:from>
      <xdr:col>36</xdr:col>
      <xdr:colOff>238125</xdr:colOff>
      <xdr:row>7</xdr:row>
      <xdr:rowOff>133350</xdr:rowOff>
    </xdr:from>
    <xdr:to>
      <xdr:col>40</xdr:col>
      <xdr:colOff>135373</xdr:colOff>
      <xdr:row>15</xdr:row>
      <xdr:rowOff>142875</xdr:rowOff>
    </xdr:to>
    <xdr:pic>
      <xdr:nvPicPr>
        <xdr:cNvPr id="10" name="图片 9">
          <a:extLst>
            <a:ext uri="{FF2B5EF4-FFF2-40B4-BE49-F238E27FC236}">
              <a16:creationId xmlns:a16="http://schemas.microsoft.com/office/drawing/2014/main" id="{3C64FC53-56EF-A37A-835A-F3E9A2B1F88F}"/>
            </a:ext>
          </a:extLst>
        </xdr:cNvPr>
        <xdr:cNvPicPr>
          <a:picLocks noChangeAspect="1"/>
        </xdr:cNvPicPr>
      </xdr:nvPicPr>
      <xdr:blipFill>
        <a:blip xmlns:r="http://schemas.openxmlformats.org/officeDocument/2006/relationships" r:embed="rId11"/>
        <a:stretch>
          <a:fillRect/>
        </a:stretch>
      </xdr:blipFill>
      <xdr:spPr>
        <a:xfrm>
          <a:off x="28879800" y="2124075"/>
          <a:ext cx="2640448" cy="1666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估价对象为北京市房地产，为所有。根据《国有土地使用证》[]，估价对象（分摊）出让国有建设用地使用权面积为0平方米，建筑面积为49.92平方米。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估价对象为北京市房地产,属开发建设的，该项目尚在开发建设中。根据《国有土地使用证》[]，估价对象（分摊）出让国有建设用地使用权面积为0平方米，规划建筑面积为49.92平方米。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2024年10月18日（评估专业人员实地查勘之日）</v>
      </c>
    </row>
    <row r="13" spans="1:2">
      <c r="A13" s="1117" t="s">
        <v>529</v>
      </c>
      <c r="B13" s="1118" t="str">
        <f>'预评函-1'!A18</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49.92</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1" t="str">
        <f>项目基本情况!B1</f>
        <v>北京市预评估</v>
      </c>
      <c r="C37" s="3191"/>
      <c r="D37" s="3191"/>
      <c r="E37" s="3191"/>
      <c r="F37" s="3191"/>
      <c r="G37" s="3191"/>
      <c r="H37" s="3191"/>
      <c r="I37" s="3191"/>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估价对象为北京市房地产，为所有。根据《国有土地使用证》[]，估价对象（分摊）出让国有建设用地使用权面积为0平方米，建筑面积为49.92平方米。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估价对象为北京市房地产,属开发建设的，该项目尚在开发建设中。根据《国有土地使用证》[]，估价对象（分摊）出让国有建设用地使用权面积为0平方米，规划建筑面积为49.92平方米。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2024年10月18日（评估专业人员实地查勘之日）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6"/>
      <c r="C2" s="3196"/>
      <c r="D2" s="3196"/>
      <c r="E2" s="3196"/>
    </row>
    <row r="3" spans="1:5" ht="18">
      <c r="A3" s="3197" t="str">
        <f>IF(项目基本情况!B9="房地产市场价值","估价结果一览表（市场价值不需“结果表-1”）","估价结果一览表")</f>
        <v>估价结果一览表</v>
      </c>
      <c r="B3" s="3197"/>
      <c r="C3" s="3197"/>
      <c r="D3" s="3197"/>
      <c r="E3" s="3197"/>
    </row>
    <row r="4" spans="1:5" ht="19.5" thickBot="1">
      <c r="A4" s="1389"/>
      <c r="B4" s="3195" t="s">
        <v>917</v>
      </c>
      <c r="C4" s="3195"/>
      <c r="D4" s="3195"/>
      <c r="E4" s="1389"/>
    </row>
    <row r="5" spans="1:5" ht="16.5" thickTop="1">
      <c r="B5" s="3193" t="s">
        <v>909</v>
      </c>
      <c r="C5" s="1390" t="s">
        <v>910</v>
      </c>
      <c r="D5" s="796" t="e">
        <f ca="1">结果表!H101</f>
        <v>#REF!</v>
      </c>
    </row>
    <row r="6" spans="1:5" ht="15.75">
      <c r="B6" s="3193"/>
      <c r="C6" s="1390" t="s">
        <v>911</v>
      </c>
      <c r="D6" s="796" t="e">
        <f ca="1">NUMBERSTRING(INT(D5*10000),2)&amp;"元整"</f>
        <v>#REF!</v>
      </c>
    </row>
    <row r="7" spans="1:5" ht="15.75">
      <c r="B7" s="3198"/>
      <c r="C7" s="1391" t="s">
        <v>912</v>
      </c>
      <c r="D7" s="797" t="e">
        <f ca="1">结果表!H102</f>
        <v>#REF!</v>
      </c>
    </row>
    <row r="8" spans="1:5" ht="15.75">
      <c r="B8" s="3199" t="str">
        <f>结果表!E103</f>
        <v>2.估价师知悉的法定优先受偿款</v>
      </c>
      <c r="C8" s="1392" t="s">
        <v>913</v>
      </c>
      <c r="D8" s="797">
        <f>结果表!H103</f>
        <v>0</v>
      </c>
    </row>
    <row r="9" spans="1:5" ht="15.75">
      <c r="B9" s="3201"/>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2" t="str">
        <f>结果表!E107</f>
        <v>3.房地产抵押价值</v>
      </c>
      <c r="C13" s="1395" t="s">
        <v>910</v>
      </c>
      <c r="D13" s="799" t="e">
        <f ca="1">结果表!H107</f>
        <v>#REF!</v>
      </c>
    </row>
    <row r="14" spans="1:5" ht="15.75">
      <c r="B14" s="3193"/>
      <c r="C14" s="1390" t="s">
        <v>911</v>
      </c>
      <c r="D14" s="796" t="e">
        <f ca="1">NUMBERSTRING(INT(D13*10000),2)&amp;"元整"</f>
        <v>#REF!</v>
      </c>
    </row>
    <row r="15" spans="1:5" ht="15">
      <c r="B15" s="3198"/>
      <c r="C15" s="1391" t="s">
        <v>921</v>
      </c>
      <c r="D15" s="805" t="e">
        <f ca="1">结果表!H108</f>
        <v>#REF!</v>
      </c>
    </row>
    <row r="16" spans="1:5" ht="15">
      <c r="B16" s="3199" t="str">
        <f>结果表!E109</f>
        <v>——</v>
      </c>
      <c r="C16" s="1395" t="s">
        <v>922</v>
      </c>
      <c r="D16" s="1396" t="str">
        <f>结果表!H109</f>
        <v>——</v>
      </c>
    </row>
    <row r="17" spans="1:5" ht="15.75">
      <c r="B17" s="3200"/>
      <c r="C17" s="1390" t="s">
        <v>923</v>
      </c>
      <c r="D17" s="796" t="e">
        <f>NUMBERSTRING(INT(D16*10000),2)&amp;"元整"</f>
        <v>#VALUE!</v>
      </c>
    </row>
    <row r="18" spans="1:5" ht="15">
      <c r="B18" s="3201"/>
      <c r="C18" s="1391" t="s">
        <v>912</v>
      </c>
      <c r="D18" s="805" t="str">
        <f>结果表!H110</f>
        <v>——</v>
      </c>
    </row>
    <row r="19" spans="1:5" ht="15.75">
      <c r="B19" s="3192" t="str">
        <f>结果表!E111</f>
        <v>——</v>
      </c>
      <c r="C19" s="1395" t="s">
        <v>910</v>
      </c>
      <c r="D19" s="797" t="str">
        <f>结果表!H111</f>
        <v>——</v>
      </c>
    </row>
    <row r="20" spans="1:5" ht="15.75">
      <c r="B20" s="3193"/>
      <c r="C20" s="1390" t="s">
        <v>923</v>
      </c>
      <c r="D20" s="796" t="e">
        <f>NUMBERSTRING(INT(D19*10000),2)&amp;"元整"</f>
        <v>#VALUE!</v>
      </c>
    </row>
    <row r="21" spans="1:5" ht="15.75" thickBot="1">
      <c r="B21" s="3194"/>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2" t="str">
        <f>IF(项目基本情况!B9="房地产市场价值","估价结果一览表","结果表-2")</f>
        <v>结果表-2</v>
      </c>
      <c r="B1" s="3202"/>
      <c r="C1" s="3202"/>
      <c r="D1" s="3202"/>
      <c r="E1" s="3202"/>
      <c r="F1" s="3202"/>
      <c r="G1" s="3202"/>
      <c r="H1" s="3202"/>
      <c r="I1" s="3202"/>
    </row>
    <row r="2" spans="1:9" ht="30" customHeight="1" thickTop="1">
      <c r="A2" s="3203" t="s">
        <v>928</v>
      </c>
      <c r="B2" s="3203" t="s">
        <v>929</v>
      </c>
      <c r="C2" s="3203" t="s">
        <v>930</v>
      </c>
      <c r="D2" s="3203" t="str">
        <f>结果表!D116</f>
        <v>出让国有建设用地使用权价值</v>
      </c>
      <c r="E2" s="3203"/>
      <c r="F2" s="3203" t="str">
        <f>结果表!F116</f>
        <v>在建建筑物价值</v>
      </c>
      <c r="G2" s="3203"/>
      <c r="H2" s="3203" t="str">
        <f>IF(项目基本情况!B9="房地产市场价值","房地产市场价值","房地产价值")</f>
        <v>房地产价值</v>
      </c>
      <c r="I2" s="3203"/>
    </row>
    <row r="3" spans="1:9" ht="15">
      <c r="A3" s="3204"/>
      <c r="B3" s="3204"/>
      <c r="C3" s="3204"/>
      <c r="D3" s="800" t="s">
        <v>925</v>
      </c>
      <c r="E3" s="800" t="s">
        <v>931</v>
      </c>
      <c r="F3" s="800" t="s">
        <v>925</v>
      </c>
      <c r="G3" s="800" t="s">
        <v>926</v>
      </c>
      <c r="H3" s="800" t="s">
        <v>925</v>
      </c>
      <c r="I3" s="800" t="s">
        <v>926</v>
      </c>
    </row>
    <row r="4" spans="1:9" ht="15">
      <c r="A4" s="1401" t="str">
        <f>项目基本情况!S2</f>
        <v>北京市房地产</v>
      </c>
      <c r="B4" s="800">
        <f>项目基本情况!C17</f>
        <v>49.92</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4" t="s">
        <v>927</v>
      </c>
      <c r="B5" s="3204"/>
      <c r="C5" s="3204"/>
      <c r="D5" s="3204" t="e">
        <f ca="1">结果表!D119</f>
        <v>#REF!</v>
      </c>
      <c r="E5" s="3204"/>
      <c r="F5" s="3204" t="e">
        <f ca="1">结果表!F119</f>
        <v>#REF!</v>
      </c>
      <c r="G5" s="3204"/>
      <c r="H5" s="3204" t="e">
        <f ca="1">结果表!H119</f>
        <v>#REF!</v>
      </c>
      <c r="I5" s="3204"/>
    </row>
    <row r="6" spans="1:9" ht="15.75">
      <c r="A6" s="3205" t="str">
        <f>结果表!A120</f>
        <v>估价师知悉的法定优先受偿款</v>
      </c>
      <c r="B6" s="3205"/>
      <c r="C6" s="3205"/>
      <c r="D6" s="3205">
        <f>结果表!D120</f>
        <v>0</v>
      </c>
      <c r="E6" s="3205"/>
      <c r="F6" s="3205"/>
      <c r="G6" s="3205"/>
      <c r="H6" s="3205"/>
      <c r="I6" s="3205"/>
    </row>
    <row r="7" spans="1:9" ht="15">
      <c r="A7" s="3204" t="s">
        <v>927</v>
      </c>
      <c r="B7" s="3204"/>
      <c r="C7" s="3204"/>
      <c r="D7" s="3206" t="str">
        <f>结果表!D121</f>
        <v>零元整</v>
      </c>
      <c r="E7" s="3207"/>
      <c r="F7" s="3207"/>
      <c r="G7" s="3207"/>
      <c r="H7" s="3207"/>
      <c r="I7" s="3208"/>
    </row>
    <row r="8" spans="1:9" ht="15.75">
      <c r="A8" s="3205" t="str">
        <f>结果表!A122</f>
        <v>房地产抵押价值</v>
      </c>
      <c r="B8" s="3205"/>
      <c r="C8" s="3205"/>
      <c r="D8" s="3205" t="e">
        <f ca="1">结果表!D122</f>
        <v>#REF!</v>
      </c>
      <c r="E8" s="3205"/>
      <c r="F8" s="3205"/>
      <c r="G8" s="3205"/>
      <c r="H8" s="3205"/>
      <c r="I8" s="3205"/>
    </row>
    <row r="9" spans="1:9" ht="15">
      <c r="A9" s="3204" t="s">
        <v>927</v>
      </c>
      <c r="B9" s="3204"/>
      <c r="C9" s="3204"/>
      <c r="D9" s="3204" t="e">
        <f ca="1">结果表!D123</f>
        <v>#REF!</v>
      </c>
      <c r="E9" s="3204"/>
      <c r="F9" s="3204"/>
      <c r="G9" s="3204"/>
      <c r="H9" s="3204"/>
      <c r="I9" s="3204"/>
    </row>
    <row r="10" spans="1:9" ht="15.75">
      <c r="A10" s="3205" t="str">
        <f>结果表!A124</f>
        <v/>
      </c>
      <c r="B10" s="3205"/>
      <c r="C10" s="3205"/>
      <c r="D10" s="3205" t="str">
        <f>结果表!D124</f>
        <v>——</v>
      </c>
      <c r="E10" s="3205"/>
      <c r="F10" s="3205"/>
      <c r="G10" s="3205"/>
      <c r="H10" s="3205"/>
      <c r="I10" s="3205"/>
    </row>
    <row r="11" spans="1:9" ht="15">
      <c r="A11" s="3204" t="s">
        <v>927</v>
      </c>
      <c r="B11" s="3204"/>
      <c r="C11" s="3204"/>
      <c r="D11" s="3204" t="e">
        <f>结果表!D125</f>
        <v>#VALUE!</v>
      </c>
      <c r="E11" s="3204"/>
      <c r="F11" s="3204"/>
      <c r="G11" s="3204"/>
      <c r="H11" s="3204"/>
      <c r="I11" s="3204"/>
    </row>
    <row r="12" spans="1:9" ht="15.75">
      <c r="A12" s="3205" t="str">
        <f>结果表!A126</f>
        <v/>
      </c>
      <c r="B12" s="3205"/>
      <c r="C12" s="3205"/>
      <c r="D12" s="3205" t="str">
        <f>结果表!D126</f>
        <v>——</v>
      </c>
      <c r="E12" s="3205"/>
      <c r="F12" s="3205"/>
      <c r="G12" s="3205"/>
      <c r="H12" s="3205"/>
      <c r="I12" s="3205"/>
    </row>
    <row r="13" spans="1:9" ht="15.75" thickBot="1">
      <c r="A13" s="3209" t="s">
        <v>927</v>
      </c>
      <c r="B13" s="3209"/>
      <c r="C13" s="3209"/>
      <c r="D13" s="3209" t="e">
        <f>结果表!D127</f>
        <v>#VALUE!</v>
      </c>
      <c r="E13" s="3209"/>
      <c r="F13" s="3209"/>
      <c r="G13" s="3209"/>
      <c r="H13" s="3209"/>
      <c r="I13" s="3209"/>
    </row>
    <row r="14" spans="1:9" ht="15" thickTop="1">
      <c r="A14" s="3210" t="s">
        <v>932</v>
      </c>
      <c r="B14" s="3210"/>
      <c r="C14" s="3210"/>
      <c r="D14" s="3210"/>
      <c r="E14" s="3210"/>
      <c r="F14" s="3210"/>
      <c r="G14" s="3210"/>
      <c r="H14" s="3210"/>
      <c r="I14" s="3210"/>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1" t="s">
        <v>949</v>
      </c>
      <c r="B1" s="3211"/>
      <c r="C1" s="3211"/>
      <c r="D1" s="3211"/>
    </row>
    <row r="2" spans="1:4" ht="18">
      <c r="A2" s="3212" t="s">
        <v>933</v>
      </c>
      <c r="B2" s="3212"/>
      <c r="C2" s="3212"/>
      <c r="D2" s="3212"/>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2" t="s">
        <v>939</v>
      </c>
      <c r="B6" s="3212"/>
      <c r="C6" s="3212"/>
      <c r="D6" s="3212"/>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3" t="s">
        <v>942</v>
      </c>
      <c r="B11" s="3214"/>
      <c r="C11" s="3214"/>
      <c r="D11" s="3214"/>
    </row>
    <row r="12" spans="1:4" ht="15.75">
      <c r="A12" s="32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5"/>
      <c r="C12" s="3215"/>
      <c r="D12" s="3215"/>
    </row>
    <row r="13" spans="1:4" ht="30" customHeight="1">
      <c r="A13" s="3214" t="str">
        <f>IF(项目基本情况!B8="抵押","3.抵押双方在办理抵押登记手续时，应使用本公司出具的正式《房地产评估报告》，特提醒报告使用者注意。","——")</f>
        <v>——</v>
      </c>
      <c r="B13" s="3215"/>
      <c r="C13" s="3215"/>
      <c r="D13" s="3215"/>
    </row>
    <row r="14" spans="1:4" ht="15.75" customHeight="1">
      <c r="A14" s="3214" t="str">
        <f>IF(项目基本情况!B8="抵押","4.本次评估估价师所知悉的法定优先受偿款情况说明如下：","——")</f>
        <v>——</v>
      </c>
      <c r="B14" s="3215"/>
      <c r="C14" s="3215"/>
      <c r="D14" s="3215"/>
    </row>
    <row r="15" spans="1:4" ht="42" customHeight="1">
      <c r="A15" s="3214" t="str">
        <f>IF(项目基本情况!B8="抵押","（1）"&amp;CONCATENATE(项目基本情况!L20,项目基本情况!L21,项目基本情况!L22),"——")</f>
        <v>——</v>
      </c>
      <c r="B15" s="3214"/>
      <c r="C15" s="3214"/>
      <c r="D15" s="3214"/>
    </row>
    <row r="16" spans="1:4" ht="30" customHeight="1">
      <c r="A16" s="3217" t="s">
        <v>943</v>
      </c>
      <c r="B16" s="3217"/>
      <c r="C16" s="3217"/>
      <c r="D16" s="3217"/>
    </row>
    <row r="17" spans="1:4" ht="144" customHeight="1">
      <c r="A17" s="3217" t="s">
        <v>944</v>
      </c>
      <c r="B17" s="3217"/>
      <c r="C17" s="3217"/>
      <c r="D17" s="3217"/>
    </row>
    <row r="18" spans="1:4" ht="15.75" customHeight="1">
      <c r="A18" s="3214" t="str">
        <f>IF(项目基本情况!B8="抵押",结果表!K120,"——")</f>
        <v>——</v>
      </c>
      <c r="B18" s="3214"/>
      <c r="C18" s="3214"/>
      <c r="D18" s="3214"/>
    </row>
    <row r="19" spans="1:4" ht="46.5" customHeight="1">
      <c r="A19" s="32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4"/>
      <c r="C19" s="3214"/>
      <c r="D19" s="3214"/>
    </row>
    <row r="20" spans="1:4" ht="57.75" customHeight="1">
      <c r="A20" s="32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4"/>
      <c r="C20" s="3214"/>
      <c r="D20" s="3214"/>
    </row>
    <row r="21" spans="1:4" ht="57.75" customHeight="1">
      <c r="A21" s="32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8"/>
      <c r="C21" s="3218"/>
      <c r="D21" s="3218"/>
    </row>
    <row r="22" spans="1:4" ht="18.75" customHeight="1">
      <c r="A22" s="3219" t="s">
        <v>945</v>
      </c>
      <c r="B22" s="3219"/>
      <c r="C22" s="3219"/>
      <c r="D22" s="3219"/>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6">
        <v>42551</v>
      </c>
      <c r="D31" s="321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5" t="s">
        <v>956</v>
      </c>
      <c r="B15" s="3220" t="s">
        <v>109</v>
      </c>
      <c r="C15" s="3221"/>
    </row>
    <row r="16" spans="1:7" ht="13.5">
      <c r="A16" s="3226"/>
      <c r="B16" s="3220" t="s">
        <v>42</v>
      </c>
      <c r="C16" s="3221"/>
    </row>
    <row r="17" spans="1:3" ht="13.5">
      <c r="A17" s="3226"/>
      <c r="B17" s="3223" t="s">
        <v>957</v>
      </c>
      <c r="C17" s="1427" t="s">
        <v>956</v>
      </c>
    </row>
    <row r="18" spans="1:3" ht="13.5">
      <c r="A18" s="3226"/>
      <c r="B18" s="3223"/>
      <c r="C18" s="1427" t="s">
        <v>958</v>
      </c>
    </row>
    <row r="19" spans="1:3" ht="13.5">
      <c r="A19" s="3226"/>
      <c r="B19" s="3223"/>
      <c r="C19" s="1427" t="s">
        <v>959</v>
      </c>
    </row>
    <row r="20" spans="1:3" ht="13.5">
      <c r="A20" s="3227"/>
      <c r="B20" s="3222" t="s">
        <v>960</v>
      </c>
      <c r="C20" s="3221"/>
    </row>
    <row r="21" spans="1:3" ht="13.5">
      <c r="A21" s="1428" t="s">
        <v>961</v>
      </c>
      <c r="B21" s="1429"/>
      <c r="C21" s="1430"/>
    </row>
    <row r="22" spans="1:3" ht="13.5">
      <c r="A22" s="3224" t="s">
        <v>962</v>
      </c>
      <c r="B22" s="3222" t="s">
        <v>963</v>
      </c>
      <c r="C22" s="3221"/>
    </row>
    <row r="23" spans="1:3" ht="13.5">
      <c r="A23" s="3224"/>
      <c r="B23" s="3222" t="s">
        <v>964</v>
      </c>
      <c r="C23" s="3221"/>
    </row>
    <row r="24" spans="1:3" ht="13.5">
      <c r="A24" s="3224"/>
      <c r="B24" s="3222" t="s">
        <v>965</v>
      </c>
      <c r="C24" s="3221"/>
    </row>
    <row r="25" spans="1:3" ht="13.5">
      <c r="A25" s="3224"/>
      <c r="B25" s="3223" t="s">
        <v>966</v>
      </c>
      <c r="C25" s="1427" t="s">
        <v>967</v>
      </c>
    </row>
    <row r="26" spans="1:3" ht="13.5">
      <c r="A26" s="3224"/>
      <c r="B26" s="3223"/>
      <c r="C26" s="1427" t="s">
        <v>968</v>
      </c>
    </row>
    <row r="27" spans="1:3" ht="13.5">
      <c r="A27" s="3224"/>
      <c r="B27" s="3223"/>
      <c r="C27" s="1427" t="s">
        <v>969</v>
      </c>
    </row>
    <row r="28" spans="1:3" ht="13.5">
      <c r="A28" s="3224"/>
      <c r="B28" s="3223"/>
      <c r="C28" s="1427" t="s">
        <v>970</v>
      </c>
    </row>
    <row r="29" spans="1:3" ht="13.5">
      <c r="A29" s="3224"/>
      <c r="B29" s="3223"/>
      <c r="C29" s="1427" t="s">
        <v>971</v>
      </c>
    </row>
    <row r="30" spans="1:3" ht="13.5">
      <c r="A30" s="3224"/>
      <c r="B30" s="3223"/>
      <c r="C30" s="1427" t="s">
        <v>972</v>
      </c>
    </row>
    <row r="31" spans="1:3" ht="13.5">
      <c r="A31" s="3224"/>
      <c r="B31" s="3223"/>
      <c r="C31" s="1427" t="s">
        <v>973</v>
      </c>
    </row>
    <row r="32" spans="1:3" ht="13.5">
      <c r="A32" s="3224"/>
      <c r="B32" s="3223"/>
      <c r="C32" s="1427" t="s">
        <v>974</v>
      </c>
    </row>
    <row r="33" spans="1:3" ht="13.5">
      <c r="A33" s="3224"/>
      <c r="B33" s="3223"/>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45593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8" t="s">
        <v>2157</v>
      </c>
      <c r="B17" s="3228"/>
      <c r="C17" s="3228"/>
      <c r="D17" s="3228"/>
      <c r="E17" s="3228"/>
      <c r="F17" s="3228"/>
      <c r="G17" s="3228"/>
      <c r="H17" s="3228"/>
    </row>
    <row r="18" spans="1:8" ht="24" customHeight="1">
      <c r="A18" s="3229" t="s">
        <v>2158</v>
      </c>
      <c r="B18" s="3229"/>
      <c r="C18" s="3229"/>
      <c r="D18" s="2155"/>
      <c r="E18" s="3230" t="s">
        <v>2159</v>
      </c>
      <c r="F18" s="3229"/>
      <c r="G18" s="3229"/>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1"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1"/>
      <c r="B54" s="1445" t="s">
        <v>385</v>
      </c>
      <c r="C54" s="1443" t="s">
        <v>583</v>
      </c>
    </row>
    <row r="55" spans="1:4">
      <c r="A55" s="3231"/>
      <c r="B55" s="1445" t="s">
        <v>386</v>
      </c>
      <c r="C55" s="1443" t="s">
        <v>584</v>
      </c>
    </row>
    <row r="56" spans="1:4">
      <c r="A56" s="3231"/>
      <c r="B56" s="1445" t="s">
        <v>387</v>
      </c>
      <c r="C56" s="1443" t="s">
        <v>588</v>
      </c>
    </row>
    <row r="57" spans="1:4">
      <c r="A57" s="3231"/>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2" t="s">
        <v>2578</v>
      </c>
      <c r="J2" s="3232"/>
      <c r="K2" s="3232"/>
      <c r="L2" s="3232"/>
      <c r="M2" s="3232"/>
      <c r="N2" s="3232"/>
      <c r="O2" s="3232"/>
      <c r="P2" s="3232"/>
      <c r="Q2" s="3232"/>
      <c r="R2" s="3232"/>
    </row>
    <row r="3" spans="1:18">
      <c r="A3" s="2756" t="s">
        <v>2499</v>
      </c>
      <c r="B3" s="2757">
        <f>项目基本情况!D3</f>
        <v>45583</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2.16</v>
      </c>
      <c r="D5" s="2761">
        <f>IF(ISERROR(ROUND(POWER(1+E5,A5-C5)*(POWER(1+E5,C5)-1)/(POWER(1+E5,A5)-1),3)),0,ROUND(POWER(1+E5,A5-C5)*(POWER(1+E5,C5)-1)/(POWER(1+E5,A5)-1),4))</f>
        <v>0.1026</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12.17</v>
      </c>
      <c r="D6" s="2761">
        <f>IF(ISERROR(ROUND(POWER(1+E6,A6-C6)*(POWER(1+E6,C6)-1)/(POWER(1+E6,A6)-1),3)),0,ROUND(POWER(1+E6,A6-C6)*(POWER(1+E6,C6)-1)/(POWER(1+E6,A6)-1),4))</f>
        <v>0.44169999999999998</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32.19</v>
      </c>
      <c r="D7" s="2761">
        <f>IF(ISERROR(ROUND(POWER(1+E7,A7-C7)*(POWER(1+E7,C7)-1)/(POWER(1+E7,A7)-1),3)),0,ROUND(POWER(1+E7,A7-C7)*(POWER(1+E7,C7)-1)/(POWER(1+E7,A7)-1),4))</f>
        <v>0.76629999999999998</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J38" sqref="J38"/>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33" t="str">
        <f>IF(B10="北京市","北京市",C10)&amp;F10&amp;IF(结果表!G1="在建","出让国有建设用地使用权及在建建筑物",IF(结果表!G1="土地","出让国有建设用地使用权",))&amp;B9&amp;"预评估"</f>
        <v>北京市预评估</v>
      </c>
      <c r="C1" s="3234"/>
      <c r="D1" s="3234"/>
      <c r="E1" s="3234"/>
      <c r="F1" s="3234"/>
      <c r="G1" s="3234"/>
      <c r="H1" s="3234"/>
      <c r="I1" s="3235"/>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45583</v>
      </c>
      <c r="C3" s="2181" t="s">
        <v>2168</v>
      </c>
      <c r="D3" s="2180">
        <f>B3</f>
        <v>45583</v>
      </c>
      <c r="E3" s="3148"/>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36" t="s">
        <v>2174</v>
      </c>
      <c r="E8" s="2197"/>
      <c r="F8" s="2198"/>
      <c r="G8" s="2436"/>
      <c r="H8" s="2436"/>
      <c r="I8" s="2436"/>
      <c r="J8" s="2240"/>
      <c r="K8" s="2394"/>
      <c r="L8" s="2393"/>
      <c r="M8" s="2393"/>
      <c r="N8" s="2240"/>
      <c r="O8" s="1668"/>
      <c r="P8" s="2240"/>
      <c r="Q8" s="2240"/>
      <c r="R8" s="2240"/>
    </row>
    <row r="9" spans="1:30" ht="13.5" thickBot="1">
      <c r="A9" s="2199" t="s">
        <v>2175</v>
      </c>
      <c r="B9" s="2200"/>
      <c r="C9" s="2201"/>
      <c r="D9" s="3237"/>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71151</v>
      </c>
      <c r="D13" s="802"/>
      <c r="E13" s="802"/>
      <c r="F13" s="802"/>
      <c r="G13" s="802"/>
      <c r="H13" s="802"/>
      <c r="I13" s="802"/>
      <c r="J13" s="2796"/>
      <c r="K13" s="2393"/>
      <c r="L13" s="2393"/>
      <c r="M13" s="2240"/>
      <c r="N13" s="1668"/>
      <c r="O13" s="2240"/>
      <c r="P13" s="2240"/>
      <c r="Q13" s="2240"/>
      <c r="AD13" s="1616"/>
    </row>
    <row r="14" spans="1:30">
      <c r="A14" s="1017"/>
      <c r="B14" s="2213" t="s">
        <v>2188</v>
      </c>
      <c r="C14" s="2214">
        <v>70</v>
      </c>
      <c r="D14" s="2214"/>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70</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43"/>
      <c r="C16" s="3244"/>
      <c r="D16" s="3245"/>
      <c r="E16" s="2217" t="s">
        <v>2191</v>
      </c>
      <c r="F16" s="3246">
        <v>70</v>
      </c>
      <c r="G16" s="3247"/>
      <c r="H16" s="3247"/>
      <c r="I16" s="3248"/>
      <c r="J16" s="2240"/>
      <c r="K16" s="2397"/>
      <c r="L16" s="1668"/>
      <c r="M16" s="1668"/>
      <c r="N16" s="2240"/>
      <c r="O16" s="1668"/>
      <c r="P16" s="2240"/>
      <c r="Q16" s="2240"/>
      <c r="R16" s="2240"/>
    </row>
    <row r="17" spans="1:28">
      <c r="A17" s="304" t="s">
        <v>2192</v>
      </c>
      <c r="B17" s="293" t="s">
        <v>2193</v>
      </c>
      <c r="C17" s="8">
        <f>'数据-汇总表'!E3</f>
        <v>49.92</v>
      </c>
      <c r="D17" s="1254" t="s">
        <v>2194</v>
      </c>
      <c r="E17" s="3249" t="s">
        <v>2195</v>
      </c>
      <c r="F17" s="3250"/>
      <c r="G17" s="3250"/>
      <c r="H17" s="3250"/>
      <c r="I17" s="3251"/>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2" t="s">
        <v>2199</v>
      </c>
      <c r="F18" s="3253"/>
      <c r="G18" s="3253"/>
      <c r="H18" s="3253"/>
      <c r="I18" s="3254"/>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39" t="s">
        <v>2203</v>
      </c>
      <c r="C20" s="3240"/>
      <c r="D20" s="3241" t="s">
        <v>2204</v>
      </c>
      <c r="E20" s="3242"/>
      <c r="F20" s="2424" t="s">
        <v>1056</v>
      </c>
      <c r="G20" s="2436"/>
      <c r="H20" s="2436"/>
      <c r="I20" s="2436"/>
      <c r="J20" s="2240"/>
      <c r="K20" s="3238"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3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3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56"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56"/>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56"/>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57"/>
      <c r="B30" s="293" t="s">
        <v>2215</v>
      </c>
      <c r="C30" s="3258"/>
      <c r="D30" s="3259"/>
      <c r="E30" s="2436"/>
      <c r="F30" s="2436"/>
      <c r="G30" s="2436"/>
      <c r="H30" s="2436"/>
      <c r="I30" s="2436"/>
      <c r="J30" s="2240"/>
      <c r="K30" s="2396"/>
      <c r="L30" s="2393"/>
      <c r="M30" s="2393"/>
      <c r="N30" s="2240"/>
      <c r="O30" s="1668"/>
      <c r="P30" s="2240"/>
      <c r="Q30" s="2240"/>
      <c r="R30" s="2240"/>
      <c r="S30" s="2240"/>
      <c r="T30" s="2240"/>
      <c r="U30" s="2240"/>
      <c r="V30" s="2240"/>
    </row>
    <row r="31" spans="1:28">
      <c r="A31" s="3260"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61"/>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61"/>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55" t="s">
        <v>2225</v>
      </c>
      <c r="T34" s="314" t="str">
        <f>NUMBERSTRING(7-K34,1)&amp;"通"</f>
        <v>七通</v>
      </c>
      <c r="U34" s="2240"/>
      <c r="V34" s="2240"/>
    </row>
    <row r="35" spans="1:30">
      <c r="A35" s="2231"/>
      <c r="B35" s="3255" t="s">
        <v>2226</v>
      </c>
      <c r="C35" s="3255"/>
      <c r="D35" s="3255"/>
      <c r="E35" s="3255"/>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55"/>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303</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149</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45" sqref="N45"/>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49.92</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49.92</v>
      </c>
      <c r="H5" s="13">
        <f t="shared" ref="H5:AT5" si="0">SUM(H13:H656)</f>
        <v>49.92</v>
      </c>
      <c r="I5" s="13">
        <f t="shared" si="0"/>
        <v>49.92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49.92</v>
      </c>
      <c r="BA5" s="15">
        <f t="shared" si="1"/>
        <v>49.92</v>
      </c>
      <c r="BB5" s="15">
        <f t="shared" si="1"/>
        <v>49.92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3463</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49.92</v>
      </c>
      <c r="H13" s="17">
        <f>SUMIF(I$12:AB$12,"总值",I13:AB13)</f>
        <v>49.92</v>
      </c>
      <c r="I13" s="1512">
        <v>49.92</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49.92</v>
      </c>
      <c r="BA13" s="13">
        <f>SUM(BB13:BK13)</f>
        <v>49.92</v>
      </c>
      <c r="BB13" s="13">
        <f>IF($D13="是",I13-J13,0)</f>
        <v>49.92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1" t="s">
        <v>1131</v>
      </c>
      <c r="B2" s="3271"/>
      <c r="C2" s="3271"/>
      <c r="D2" s="747" t="s">
        <v>1107</v>
      </c>
      <c r="E2" s="1521" t="s">
        <v>1108</v>
      </c>
      <c r="F2" s="2433"/>
      <c r="G2" s="2426"/>
      <c r="H2" s="2427"/>
      <c r="I2" s="2141" t="s">
        <v>1132</v>
      </c>
      <c r="J2" s="2433"/>
      <c r="K2" s="2433"/>
      <c r="L2" s="2433"/>
      <c r="M2" s="2433"/>
      <c r="N2" s="2434"/>
      <c r="O2" s="2433"/>
      <c r="P2" s="2433"/>
    </row>
    <row r="3" spans="1:16" ht="15.75" thickBot="1">
      <c r="A3" s="3272" t="s">
        <v>1105</v>
      </c>
      <c r="B3" s="3272"/>
      <c r="C3" s="3272"/>
      <c r="D3" s="41">
        <f>'数据-基础表'!AY6</f>
        <v>0</v>
      </c>
      <c r="E3" s="41">
        <f>'数据-基础表'!AZ5</f>
        <v>49.92</v>
      </c>
      <c r="F3" s="2433"/>
      <c r="G3" s="42"/>
      <c r="H3" s="43" t="s">
        <v>1106</v>
      </c>
      <c r="I3" s="801" t="e">
        <f>ROUND('数据-基础表'!B3/'数据-基础表'!A3,2)</f>
        <v>#DIV/0!</v>
      </c>
      <c r="J3" s="2433"/>
      <c r="K3" s="2433"/>
      <c r="L3" s="2433"/>
      <c r="M3" s="2433"/>
      <c r="N3" s="2434"/>
      <c r="O3" s="2433"/>
      <c r="P3" s="2433"/>
    </row>
    <row r="4" spans="1:16" ht="15">
      <c r="A4" s="3273"/>
      <c r="B4" s="3274"/>
      <c r="C4" s="3275"/>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6" t="s">
        <v>1110</v>
      </c>
      <c r="C5" s="3276"/>
      <c r="D5" s="43">
        <f>ROUND($D$3*E5/$E$3,2)</f>
        <v>0</v>
      </c>
      <c r="E5" s="44">
        <f>SUMIF('数据-基础表'!$11:$11,"住宅",'数据-基础表'!$5:$5)</f>
        <v>49.92</v>
      </c>
      <c r="F5" s="2433"/>
      <c r="G5" s="42"/>
      <c r="H5" s="43" t="s">
        <v>1106</v>
      </c>
      <c r="I5" s="801" t="e">
        <f>ROUND(E31/D31,2)</f>
        <v>#DIV/0!</v>
      </c>
      <c r="J5" s="2433"/>
      <c r="K5" s="2433"/>
      <c r="L5" s="2433"/>
      <c r="M5" s="2433"/>
      <c r="N5" s="2433"/>
      <c r="O5" s="2433"/>
      <c r="P5" s="2433"/>
    </row>
    <row r="6" spans="1:16" ht="15" thickBot="1">
      <c r="A6" s="1525"/>
      <c r="B6" s="3276" t="s">
        <v>1111</v>
      </c>
      <c r="C6" s="3276"/>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8"/>
      <c r="B7" s="3269"/>
      <c r="C7" s="3270"/>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49.92</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49.92</v>
      </c>
      <c r="F16" s="2433"/>
      <c r="G16" s="2433"/>
      <c r="H16" s="1529" t="s">
        <v>1135</v>
      </c>
      <c r="I16" s="1530"/>
      <c r="J16" s="1070"/>
      <c r="K16" s="3265" t="s">
        <v>1135</v>
      </c>
      <c r="L16" s="3266"/>
      <c r="M16" s="3266"/>
      <c r="N16" s="3266"/>
      <c r="O16" s="3266"/>
      <c r="P16" s="3267"/>
    </row>
    <row r="17" spans="1:19" ht="15">
      <c r="A17" s="1531" t="s">
        <v>1136</v>
      </c>
      <c r="B17" s="1532" t="s">
        <v>1137</v>
      </c>
      <c r="C17" s="1533" t="s">
        <v>1138</v>
      </c>
      <c r="D17" s="1534" t="s">
        <v>1126</v>
      </c>
      <c r="E17" s="1535" t="s">
        <v>1127</v>
      </c>
      <c r="F17" s="1536"/>
      <c r="G17" s="1537"/>
      <c r="H17" s="1538" t="s">
        <v>1139</v>
      </c>
      <c r="I17" s="1539" t="s">
        <v>1124</v>
      </c>
      <c r="J17" s="1070"/>
      <c r="K17" s="3262" t="s">
        <v>1140</v>
      </c>
      <c r="L17" s="3263"/>
      <c r="M17" s="3264"/>
      <c r="N17" s="3262" t="s">
        <v>1141</v>
      </c>
      <c r="O17" s="3263"/>
      <c r="P17" s="3264"/>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49.92</v>
      </c>
      <c r="F19" s="2552">
        <f>'数据-基础表'!I13</f>
        <v>49.92</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49.92</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49.92</v>
      </c>
      <c r="F27" s="1071">
        <f>IF(SUM(F19:F26)=E8,SUM(F19:F26),"地上面积有误")</f>
        <v>49.92</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49.92</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49.92</v>
      </c>
      <c r="F31" s="643">
        <f>F27+F30</f>
        <v>49.92</v>
      </c>
      <c r="G31" s="644">
        <f>G27+G30</f>
        <v>0</v>
      </c>
      <c r="H31" s="2433"/>
      <c r="I31" s="2433"/>
      <c r="J31" s="2433"/>
      <c r="K31" s="2433"/>
      <c r="L31" s="2433"/>
      <c r="M31" s="2433"/>
      <c r="N31" s="2433"/>
      <c r="O31" s="2433"/>
      <c r="P31" s="2433"/>
    </row>
    <row r="32" spans="1:19">
      <c r="A32" s="1524"/>
      <c r="B32" s="1524" t="s">
        <v>1159</v>
      </c>
      <c r="C32" s="1524"/>
      <c r="D32" s="1524"/>
      <c r="E32" s="989">
        <f>SUMIF(C19:C26,"*住宅*",E19:E26)</f>
        <v>49.92</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AL26" sqref="AL2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45583</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71151</v>
      </c>
      <c r="F6" s="61">
        <f>SUMIF(项目基本情况!C$12:I$12,C6,项目基本情况!C$15:I$15)</f>
        <v>70</v>
      </c>
      <c r="G6" s="62">
        <f t="shared" ref="G6:G13" si="0">IF(ISERROR(ROUND(POWER(1+H6,D6-F6)*(POWER(1+H6,F6)-1)/(POWER(1+H6,D6)-1),3)),0,ROUND(POWER(1+H6,D6-F6)*(POWER(1+H6,F6)-1)/(POWER(1+H6,D6)-1),3))</f>
        <v>1</v>
      </c>
      <c r="H6" s="690">
        <v>0.03</v>
      </c>
      <c r="I6" s="690">
        <v>0.04</v>
      </c>
      <c r="J6" s="63">
        <v>0.05</v>
      </c>
      <c r="K6" s="969">
        <f>SUMIF('数据-汇总表'!C$19:C$33,A6,'数据-汇总表'!E$19:E$33)</f>
        <v>49.92</v>
      </c>
      <c r="L6" s="3183">
        <v>3500</v>
      </c>
      <c r="M6" s="64">
        <f t="shared" ref="M6:M14" si="1">ROUND(K6*L6/10000,0)</f>
        <v>17</v>
      </c>
      <c r="N6" s="3184">
        <v>0.95</v>
      </c>
      <c r="O6" s="64" t="str">
        <f>IF($N$5="成新度","——",ROUND(M6*N6,0))</f>
        <v>——</v>
      </c>
      <c r="P6" s="65" t="str">
        <f>IF($N$5="成新度","——",M6-O6)</f>
        <v>——</v>
      </c>
      <c r="Q6" s="692">
        <v>0.2</v>
      </c>
      <c r="R6" s="66">
        <f ca="1">SUMIF('数据-汇总表'!C$19:C$33,A6,'数据-汇总表'!R$19:R$27)</f>
        <v>0</v>
      </c>
      <c r="S6" s="49">
        <f>IF('数据-汇总表'!$I$17="按面积比例",SUMIF('数据-汇总表'!C$19:C$33,A6,'数据-汇总表'!K$19:K$33),SUMIF('数据-汇总表'!C$19:C$33,A6,'数据-汇总表'!N$19:N$33))</f>
        <v>0</v>
      </c>
      <c r="T6" s="1091">
        <f>ROUND($L$14*S6/10000,0)</f>
        <v>0</v>
      </c>
      <c r="U6" s="3120">
        <v>6800</v>
      </c>
      <c r="V6" s="67">
        <v>0.02</v>
      </c>
      <c r="W6" s="67"/>
      <c r="X6" s="978"/>
      <c r="Y6" s="68">
        <f>N6</f>
        <v>0.95</v>
      </c>
      <c r="Z6" s="69">
        <v>6950</v>
      </c>
      <c r="AA6" s="63">
        <f>V6</f>
        <v>0.02</v>
      </c>
      <c r="AB6" s="63">
        <v>0.05</v>
      </c>
      <c r="AC6" s="978"/>
      <c r="AD6" s="70">
        <f>N6</f>
        <v>0.95</v>
      </c>
      <c r="AE6" s="979">
        <f ca="1">IF(AN6="",0,SUMIF(INDIRECT("'"&amp;AN6&amp;"'"&amp;"!E:E"),$AE$5,INDIRECT("'"&amp;AN6&amp;"'"&amp;"!F:F")))</f>
        <v>70</v>
      </c>
      <c r="AF6" s="74">
        <v>0.52</v>
      </c>
      <c r="AG6" s="129">
        <f ca="1">IF(AF6="",0,AE6-AF6)</f>
        <v>69.48</v>
      </c>
      <c r="AH6" s="71">
        <v>1</v>
      </c>
      <c r="AI6" s="73">
        <v>12</v>
      </c>
      <c r="AJ6" s="74"/>
      <c r="AK6" s="75">
        <v>0.01</v>
      </c>
      <c r="AL6" s="76">
        <v>1E-3</v>
      </c>
      <c r="AM6" s="77">
        <v>0.01</v>
      </c>
      <c r="AN6" s="1587" t="s">
        <v>3394</v>
      </c>
      <c r="AO6" s="50">
        <f ca="1">SUMIF(INDIRECT("'"&amp;AN6&amp;"'"&amp;"!A:A"),"总价",INDIRECT("'"&amp;AN6&amp;"'"&amp;"!B:B"))</f>
        <v>270.85660000000001</v>
      </c>
      <c r="AP6" s="1588">
        <f>IF(C6="住宅",K6*L6,0)</f>
        <v>174720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1</v>
      </c>
      <c r="H16" s="84">
        <f>ROUND(SUMPRODUCT(H6:H13,K6:K13)/SUMPRODUCT((H6:H13&gt;0)*(K6:K13)),3)</f>
        <v>0.03</v>
      </c>
      <c r="I16" s="85"/>
      <c r="J16" s="85"/>
      <c r="K16" s="86">
        <f>SUM(K6:K15)</f>
        <v>49.92</v>
      </c>
      <c r="L16" s="87">
        <f>ROUND(M16*10000/SUM(K6:K14),0)</f>
        <v>3405</v>
      </c>
      <c r="M16" s="87">
        <f>SUM(M6:M14)</f>
        <v>17</v>
      </c>
      <c r="N16" s="88">
        <f>ROUND(SUMPRODUCT(M6:M14,N6:N14)/M16,3)</f>
        <v>0.95</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9">
        <v>2019</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0">
        <v>2</v>
      </c>
      <c r="C20" s="2556" t="s">
        <v>2298</v>
      </c>
      <c r="D20" s="2446"/>
      <c r="E20" s="2433"/>
      <c r="F20" s="2433"/>
      <c r="G20" s="2433"/>
      <c r="H20" s="2433"/>
      <c r="I20" s="2433"/>
      <c r="J20" s="2433"/>
      <c r="K20" s="2444"/>
      <c r="L20" s="2444"/>
      <c r="M20" s="3149">
        <f>2024-M19</f>
        <v>5</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0">
        <f>B20</f>
        <v>2</v>
      </c>
      <c r="C21" s="2433"/>
      <c r="D21" s="2446"/>
      <c r="E21" s="2433"/>
      <c r="F21" s="2433"/>
      <c r="G21" s="2433"/>
      <c r="H21" s="2433"/>
      <c r="I21" s="2433"/>
      <c r="J21" s="2433"/>
      <c r="K21" s="2444"/>
      <c r="L21" s="2444"/>
      <c r="M21" s="3150">
        <f>1-(M20)/60</f>
        <v>0.91666666666666663</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1">
        <v>0.95</v>
      </c>
      <c r="N22" s="3139">
        <f>ROUND(M21*0.3+M22*0.7,3)</f>
        <v>0.94</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f>U6*(1+V6)</f>
        <v>6936</v>
      </c>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7987</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81">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7.0000000000000007E-2</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7" t="s">
        <v>2281</v>
      </c>
      <c r="B1" s="3278"/>
      <c r="C1" s="3278"/>
      <c r="D1" s="3278"/>
      <c r="E1" s="3278"/>
      <c r="F1" s="3278"/>
      <c r="G1" s="3278"/>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4" t="s">
        <v>3483</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5" t="s">
        <v>3484</v>
      </c>
      <c r="D6" s="2260"/>
      <c r="E6" s="2264"/>
      <c r="F6" s="314" t="s">
        <v>2260</v>
      </c>
      <c r="G6" s="2265" t="s">
        <v>2261</v>
      </c>
      <c r="H6" s="750"/>
      <c r="I6" s="750"/>
      <c r="J6" s="750"/>
      <c r="K6" s="750"/>
      <c r="L6" s="750"/>
      <c r="M6" s="750"/>
      <c r="N6" s="750"/>
      <c r="O6" s="750"/>
      <c r="P6" s="750"/>
      <c r="Q6" s="750"/>
    </row>
    <row r="7" spans="1:29" ht="144.75" thickBot="1">
      <c r="A7" s="2243"/>
      <c r="B7" s="314" t="s">
        <v>2257</v>
      </c>
      <c r="C7" s="3155" t="s">
        <v>3486</v>
      </c>
      <c r="D7" s="2240"/>
      <c r="E7" s="2266"/>
      <c r="F7" s="2267" t="s">
        <v>2262</v>
      </c>
      <c r="G7" s="2268" t="s">
        <v>2263</v>
      </c>
      <c r="H7" s="750"/>
      <c r="I7" s="750"/>
      <c r="J7" s="750"/>
      <c r="K7" s="750"/>
      <c r="L7" s="750"/>
      <c r="M7" s="750"/>
      <c r="N7" s="750"/>
      <c r="O7" s="750"/>
      <c r="P7" s="750"/>
      <c r="Q7" s="750"/>
    </row>
    <row r="8" spans="1:29">
      <c r="A8" s="2243"/>
      <c r="B8" s="314" t="s">
        <v>2260</v>
      </c>
      <c r="C8" s="3155" t="s">
        <v>3449</v>
      </c>
      <c r="D8" s="2240"/>
      <c r="E8" s="2240"/>
      <c r="F8" s="120"/>
      <c r="G8" s="120"/>
      <c r="H8" s="750"/>
      <c r="I8" s="750"/>
      <c r="J8" s="750"/>
      <c r="K8" s="750"/>
      <c r="L8" s="750"/>
      <c r="M8" s="750"/>
      <c r="N8" s="750"/>
      <c r="O8" s="750"/>
      <c r="P8" s="750"/>
      <c r="Q8" s="750"/>
    </row>
    <row r="9" spans="1:29" ht="36">
      <c r="A9" s="2243"/>
      <c r="B9" s="314" t="s">
        <v>2264</v>
      </c>
      <c r="C9" s="3158" t="s">
        <v>3485</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周边有如园、景和园、冬晴园、百旺茉莉园等住宅小区，居住社区成熟度较好。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周边有333路、908路、909路等多条公交线路及地铁16号线西北旺站，综合评价交通便捷度较好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38.25">
      <c r="A20" s="2247"/>
      <c r="B20" s="2287" t="s">
        <v>2273</v>
      </c>
      <c r="C20" s="2286" t="str">
        <f>C9</f>
        <v>自然环境：百望山森林公园、中关村公园等自然景观；
综合评价环境状况较好。</v>
      </c>
      <c r="D20" s="2240"/>
      <c r="E20" s="2248"/>
      <c r="F20" s="314" t="s">
        <v>2260</v>
      </c>
      <c r="G20" s="2288" t="str">
        <f>G6</f>
        <v>估价对象所在区域基础设施水平</v>
      </c>
    </row>
    <row r="21" spans="1:17" ht="153">
      <c r="A21" s="2247"/>
      <c r="B21" s="314" t="s">
        <v>2257</v>
      </c>
      <c r="C21" s="2288" t="str">
        <f>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49.92</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45583</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360.2876</v>
      </c>
      <c r="C5" s="2294" t="e">
        <f ca="1">IF(B5=D14,结果表!H102,ROUND(B5*10000/$B$1,0))</f>
        <v>#N/A</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49.92</v>
      </c>
      <c r="C14" s="2300"/>
      <c r="D14" s="2300">
        <f ca="1">ROUND(E14*B14/10000,4)</f>
        <v>360.2876</v>
      </c>
      <c r="E14" s="2300">
        <f ca="1">结果表!G20</f>
        <v>72173</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I22" sqref="I22"/>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46" t="str">
        <f>项目基本情况!S2</f>
        <v>北京市房地产</v>
      </c>
      <c r="B2" s="3347"/>
      <c r="C2" s="3347"/>
      <c r="D2" s="3347"/>
      <c r="E2" s="3347"/>
      <c r="F2" s="3347"/>
      <c r="G2" s="3347"/>
      <c r="H2" s="3347"/>
      <c r="I2" s="3348"/>
    </row>
    <row r="3" spans="1:12" ht="12.75">
      <c r="A3" s="3350" t="s">
        <v>1264</v>
      </c>
      <c r="B3" s="3351"/>
      <c r="C3" s="3351"/>
      <c r="D3" s="3351"/>
      <c r="E3" s="3351"/>
      <c r="F3" s="3351"/>
      <c r="G3" s="3351"/>
      <c r="H3" s="3351"/>
      <c r="I3" s="3351"/>
    </row>
    <row r="4" spans="1:12" ht="14.25">
      <c r="A4" s="1622" t="s">
        <v>1265</v>
      </c>
      <c r="B4" s="1623" t="s">
        <v>1266</v>
      </c>
      <c r="C4" s="1624" t="s">
        <v>3394</v>
      </c>
      <c r="D4" s="1624" t="s">
        <v>3399</v>
      </c>
      <c r="E4" s="3355" t="s">
        <v>1267</v>
      </c>
      <c r="F4" s="3356"/>
      <c r="G4" s="3356"/>
      <c r="H4" s="3356"/>
      <c r="I4" s="3357"/>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4" t="s">
        <v>1268</v>
      </c>
      <c r="B5" s="3349">
        <v>25</v>
      </c>
      <c r="C5" s="3352"/>
      <c r="D5" s="3340"/>
      <c r="E5" s="122" t="s">
        <v>1269</v>
      </c>
      <c r="F5" s="1625"/>
      <c r="G5" s="1625"/>
      <c r="H5" s="1625"/>
      <c r="I5" s="1279"/>
    </row>
    <row r="6" spans="1:12" ht="12.75">
      <c r="A6" s="3294"/>
      <c r="B6" s="3349"/>
      <c r="C6" s="3354"/>
      <c r="D6" s="3340"/>
      <c r="E6" s="122" t="s">
        <v>1270</v>
      </c>
      <c r="F6" s="1625"/>
      <c r="G6" s="1625"/>
      <c r="H6" s="1625"/>
      <c r="I6" s="1279"/>
    </row>
    <row r="7" spans="1:12" ht="12.75">
      <c r="A7" s="3294"/>
      <c r="B7" s="3349"/>
      <c r="C7" s="3353"/>
      <c r="D7" s="3340"/>
      <c r="E7" s="122" t="s">
        <v>1271</v>
      </c>
      <c r="F7" s="1625"/>
      <c r="G7" s="1625"/>
      <c r="H7" s="1625"/>
      <c r="I7" s="1279"/>
    </row>
    <row r="8" spans="1:12" ht="12.75">
      <c r="A8" s="3294" t="s">
        <v>1272</v>
      </c>
      <c r="B8" s="3349">
        <v>15</v>
      </c>
      <c r="C8" s="3352"/>
      <c r="D8" s="3340"/>
      <c r="E8" s="122" t="s">
        <v>1273</v>
      </c>
      <c r="F8" s="1625"/>
      <c r="G8" s="1625"/>
      <c r="H8" s="1625"/>
      <c r="I8" s="1279"/>
    </row>
    <row r="9" spans="1:12" ht="12.75">
      <c r="A9" s="3294"/>
      <c r="B9" s="3349"/>
      <c r="C9" s="3353"/>
      <c r="D9" s="3340"/>
      <c r="E9" s="122" t="s">
        <v>1274</v>
      </c>
      <c r="F9" s="1625"/>
      <c r="G9" s="1625"/>
      <c r="H9" s="1625"/>
      <c r="I9" s="1279"/>
    </row>
    <row r="10" spans="1:12" ht="12.75">
      <c r="A10" s="3294" t="s">
        <v>1275</v>
      </c>
      <c r="B10" s="3349">
        <v>15</v>
      </c>
      <c r="C10" s="3352"/>
      <c r="D10" s="3340"/>
      <c r="E10" s="122" t="s">
        <v>1276</v>
      </c>
      <c r="F10" s="1625"/>
      <c r="G10" s="1625"/>
      <c r="H10" s="1625"/>
      <c r="I10" s="1279"/>
    </row>
    <row r="11" spans="1:12" ht="12.75">
      <c r="A11" s="3294"/>
      <c r="B11" s="3349"/>
      <c r="C11" s="3353"/>
      <c r="D11" s="3340"/>
      <c r="E11" s="122" t="s">
        <v>1277</v>
      </c>
      <c r="F11" s="1625"/>
      <c r="G11" s="1625"/>
      <c r="H11" s="1625"/>
      <c r="I11" s="1279"/>
    </row>
    <row r="12" spans="1:12" ht="12.75">
      <c r="A12" s="3294" t="s">
        <v>1278</v>
      </c>
      <c r="B12" s="3349">
        <v>15</v>
      </c>
      <c r="C12" s="3352"/>
      <c r="D12" s="3340"/>
      <c r="E12" s="122" t="s">
        <v>1279</v>
      </c>
      <c r="F12" s="1625"/>
      <c r="G12" s="1625"/>
      <c r="H12" s="1625"/>
      <c r="I12" s="1279"/>
    </row>
    <row r="13" spans="1:12" ht="12.75">
      <c r="A13" s="3294"/>
      <c r="B13" s="3349"/>
      <c r="C13" s="3353"/>
      <c r="D13" s="3340"/>
      <c r="E13" s="122" t="s">
        <v>1280</v>
      </c>
      <c r="F13" s="1625"/>
      <c r="G13" s="1625"/>
      <c r="H13" s="1625"/>
      <c r="I13" s="1279"/>
    </row>
    <row r="14" spans="1:12" ht="12.75">
      <c r="A14" s="3294" t="s">
        <v>1281</v>
      </c>
      <c r="B14" s="3349">
        <v>30</v>
      </c>
      <c r="C14" s="3352">
        <v>2</v>
      </c>
      <c r="D14" s="3340">
        <f>10-C14</f>
        <v>8</v>
      </c>
      <c r="E14" s="122" t="s">
        <v>1282</v>
      </c>
      <c r="F14" s="1625"/>
      <c r="G14" s="1625"/>
      <c r="H14" s="1625"/>
      <c r="I14" s="1279"/>
    </row>
    <row r="15" spans="1:12" ht="12.75">
      <c r="A15" s="3294"/>
      <c r="B15" s="3349"/>
      <c r="C15" s="3354"/>
      <c r="D15" s="3340"/>
      <c r="E15" s="122" t="s">
        <v>1283</v>
      </c>
      <c r="F15" s="1625"/>
      <c r="G15" s="1625"/>
      <c r="H15" s="1625"/>
      <c r="I15" s="1279"/>
    </row>
    <row r="16" spans="1:12" ht="12.75">
      <c r="A16" s="3294"/>
      <c r="B16" s="3349"/>
      <c r="C16" s="3353"/>
      <c r="D16" s="3340"/>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71" t="s">
        <v>2128</v>
      </c>
      <c r="F18" s="3372"/>
      <c r="G18" s="3372"/>
      <c r="H18" s="3372"/>
      <c r="I18" s="3372"/>
      <c r="K18" s="293" t="s">
        <v>1289</v>
      </c>
      <c r="L18" s="293">
        <f>IF(C1="",'数据-汇总表'!E3,SUMIF(项目类型,C1,'数据-汇总表'!E17:E26)+SUMIF(项目类型,C1,'数据-汇总表'!I17:I26))</f>
        <v>49.92</v>
      </c>
      <c r="M18" s="293">
        <f>IF(C1="",'数据-汇总表'!E3,SUMIF(项目类型,C1,'数据-汇总表'!E17:E26))</f>
        <v>49.92</v>
      </c>
    </row>
    <row r="19" spans="1:36" ht="15">
      <c r="A19" s="1628" t="s">
        <v>1290</v>
      </c>
      <c r="B19" s="1629" t="s">
        <v>1291</v>
      </c>
      <c r="C19" s="125">
        <f ca="1">SUMIF(INDIRECT("'"&amp;C4&amp;"'"&amp;"!A:A"),结果表!B19,INDIRECT("'"&amp;C4&amp;"'"&amp;"!B:B"))</f>
        <v>270.85660000000001</v>
      </c>
      <c r="D19" s="126">
        <f ca="1">SUMIF(INDIRECT("'"&amp;D4&amp;"'"&amp;"!A:A"),结果表!B19,INDIRECT("'"&amp;D4&amp;"'"&amp;"!B:B"))</f>
        <v>382.64679999999998</v>
      </c>
      <c r="E19" s="1628" t="s">
        <v>1292</v>
      </c>
      <c r="F19" s="1629" t="s">
        <v>1291</v>
      </c>
      <c r="G19" s="3162">
        <f ca="1">ROUND((G20*'数据-基础表'!I13)/10000,4)</f>
        <v>360.2876</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54258</v>
      </c>
      <c r="D20" s="129">
        <f ca="1">SUMIF(INDIRECT("'"&amp;D4&amp;"'"&amp;"!A:A"),结果表!B20,INDIRECT("'"&amp;D4&amp;"'"&amp;"!B:B"))</f>
        <v>76652</v>
      </c>
      <c r="E20" s="1631"/>
      <c r="F20" s="43" t="s">
        <v>1295</v>
      </c>
      <c r="G20" s="130">
        <f ca="1">ROUND(C20*$C$18+D20*$D$18,0)</f>
        <v>72173</v>
      </c>
      <c r="H20" s="759" t="s">
        <v>1296</v>
      </c>
      <c r="I20" s="120">
        <f ca="1">G19/J20</f>
        <v>1.0007988888888888</v>
      </c>
      <c r="J20" s="683">
        <v>360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f ca="1">G19/J21</f>
        <v>0.94812526315789469</v>
      </c>
      <c r="J21" s="683">
        <v>380</v>
      </c>
    </row>
    <row r="22" spans="1:36" ht="15" thickBot="1">
      <c r="A22" s="1562" t="s">
        <v>1298</v>
      </c>
      <c r="B22" s="1633"/>
      <c r="C22" s="1634"/>
      <c r="D22" s="679">
        <f ca="1">IF(C19&lt;D19,D19/C19-1,C19/D19-1)</f>
        <v>0.41272835884375714</v>
      </c>
      <c r="E22" s="120"/>
      <c r="F22" s="120"/>
      <c r="G22" s="120"/>
      <c r="H22" s="120"/>
      <c r="I22" s="120"/>
    </row>
    <row r="23" spans="1:36" ht="13.5" thickBot="1">
      <c r="A23" s="645"/>
      <c r="B23" s="645"/>
      <c r="C23" s="645"/>
      <c r="D23" s="645"/>
      <c r="E23" s="120"/>
      <c r="F23" s="120"/>
      <c r="G23" s="120"/>
      <c r="H23" s="120"/>
      <c r="I23" s="120"/>
    </row>
    <row r="24" spans="1:36" ht="14.25">
      <c r="A24" s="3364" t="s">
        <v>1299</v>
      </c>
      <c r="B24" s="1629" t="s">
        <v>1291</v>
      </c>
      <c r="C24" s="127">
        <f>IF(B30=0,0,D30)</f>
        <v>0</v>
      </c>
      <c r="D24" s="1635"/>
      <c r="E24" s="120"/>
      <c r="F24" s="120"/>
      <c r="G24" s="120">
        <f ca="1">系统读取表!D14</f>
        <v>360.2876</v>
      </c>
      <c r="H24" s="120"/>
      <c r="I24" s="120"/>
    </row>
    <row r="25" spans="1:36" ht="14.25">
      <c r="A25" s="3365"/>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4" t="s">
        <v>3444</v>
      </c>
      <c r="B27" s="133">
        <f>'数据-基础表'!I13</f>
        <v>49.92</v>
      </c>
      <c r="C27" s="133"/>
      <c r="D27" s="134">
        <f ca="1">ROUND(G19*10000*3%,0)</f>
        <v>108086</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70008</v>
      </c>
      <c r="D30" s="3165">
        <f ca="1">ROUND((G19*10000-D27)/10000,4)</f>
        <v>349.47899999999998</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72173</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41" t="s">
        <v>1312</v>
      </c>
      <c r="B36" s="1650" t="s">
        <v>1313</v>
      </c>
      <c r="C36" s="136"/>
      <c r="D36" s="1651"/>
      <c r="E36" s="1565"/>
      <c r="F36" s="1652"/>
      <c r="G36" s="120"/>
      <c r="H36" s="120"/>
      <c r="I36" s="120"/>
    </row>
    <row r="37" spans="1:15" ht="15.75" thickBot="1">
      <c r="A37" s="3342"/>
      <c r="B37" s="1553" t="s">
        <v>1314</v>
      </c>
      <c r="C37" s="138"/>
      <c r="D37" s="1070"/>
      <c r="E37" s="1070"/>
      <c r="F37" s="1652"/>
      <c r="G37" s="120"/>
      <c r="H37" s="120"/>
      <c r="I37" s="120"/>
    </row>
    <row r="38" spans="1:15" ht="15.75" thickBot="1">
      <c r="A38" s="3343"/>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61" t="s">
        <v>1326</v>
      </c>
      <c r="B45" s="3362"/>
      <c r="C45" s="3363"/>
      <c r="D45" s="146" t="e">
        <f ca="1">ROUND(H101*F45,0)</f>
        <v>#REF!</v>
      </c>
      <c r="E45" s="147" t="s">
        <v>1327</v>
      </c>
      <c r="F45" s="148">
        <v>1</v>
      </c>
      <c r="G45" s="149" t="s">
        <v>1328</v>
      </c>
      <c r="H45" s="120"/>
      <c r="I45" s="120"/>
      <c r="J45" s="3281" t="s">
        <v>1329</v>
      </c>
      <c r="K45" s="3281"/>
      <c r="L45" s="3281"/>
      <c r="M45" s="3281"/>
      <c r="N45" s="3281"/>
      <c r="O45" s="3281"/>
    </row>
    <row r="46" spans="1:15" ht="14.25" customHeight="1">
      <c r="A46" s="3358" t="s">
        <v>1330</v>
      </c>
      <c r="B46" s="3359"/>
      <c r="C46" s="3359"/>
      <c r="D46" s="3359"/>
      <c r="E46" s="3359"/>
      <c r="F46" s="3359"/>
      <c r="G46" s="3360"/>
      <c r="H46" s="1666"/>
      <c r="I46" s="150"/>
      <c r="J46" s="2304">
        <v>1</v>
      </c>
      <c r="K46" s="3282" t="s">
        <v>1331</v>
      </c>
      <c r="L46" s="3282"/>
      <c r="M46" s="3283"/>
      <c r="N46" s="3283"/>
      <c r="O46" s="3283"/>
    </row>
    <row r="47" spans="1:15" ht="12" customHeight="1">
      <c r="A47" s="151" t="s">
        <v>1332</v>
      </c>
      <c r="B47" s="152"/>
      <c r="C47" s="153"/>
      <c r="D47" s="1023" t="s">
        <v>1333</v>
      </c>
      <c r="E47" s="293" t="s">
        <v>1334</v>
      </c>
      <c r="F47" s="154" t="s">
        <v>1335</v>
      </c>
      <c r="G47" s="2327" t="s">
        <v>1336</v>
      </c>
      <c r="H47" s="2328"/>
      <c r="I47" s="150"/>
      <c r="J47" s="2304">
        <v>2</v>
      </c>
      <c r="K47" s="3282" t="s">
        <v>1337</v>
      </c>
      <c r="L47" s="3282"/>
      <c r="M47" s="3284">
        <f>'数据-取费表'!B2</f>
        <v>45583</v>
      </c>
      <c r="N47" s="3284"/>
      <c r="O47" s="3284"/>
    </row>
    <row r="48" spans="1:15" ht="25.5">
      <c r="A48" s="3344" t="s">
        <v>1338</v>
      </c>
      <c r="B48" s="3345"/>
      <c r="C48" s="3345"/>
      <c r="D48" s="12" t="b">
        <f>IF(H48="情况1",0,IF(H48="情况2",D52,IF(H48="情况3",D53,IF(H48="情况4",D54))))</f>
        <v>0</v>
      </c>
      <c r="E48" s="1254" t="str">
        <f>IF(H48="情况4","(销售额-原购置价)×税（费）率","销售额×税（费）率")</f>
        <v>销售额×税（费）率</v>
      </c>
      <c r="F48" s="2329">
        <f>IF(H48="情况1","免征",'数据-取费表'!B41)</f>
        <v>5.6000000000000001E-2</v>
      </c>
      <c r="G48" s="2330" t="s">
        <v>1339</v>
      </c>
      <c r="H48" s="2331"/>
      <c r="I48" s="1666"/>
      <c r="J48" s="2304">
        <v>3</v>
      </c>
      <c r="K48" s="3282" t="s">
        <v>1340</v>
      </c>
      <c r="L48" s="3282"/>
      <c r="M48" s="3285" t="e">
        <f ca="1">H101</f>
        <v>#REF!</v>
      </c>
      <c r="N48" s="3285"/>
      <c r="O48" s="3285"/>
    </row>
    <row r="49" spans="1:35" ht="25.5" customHeight="1">
      <c r="A49" s="2147" t="s">
        <v>1341</v>
      </c>
      <c r="B49" s="3330" t="s">
        <v>1342</v>
      </c>
      <c r="C49" s="3330"/>
      <c r="D49" s="1476">
        <v>0</v>
      </c>
      <c r="E49" s="315" t="s">
        <v>1343</v>
      </c>
      <c r="F49" s="2228" t="s">
        <v>28</v>
      </c>
      <c r="G49" s="3313"/>
      <c r="H49" s="2129" t="s">
        <v>2131</v>
      </c>
      <c r="I49" s="2130"/>
      <c r="J49" s="2304">
        <v>4</v>
      </c>
      <c r="K49" s="3282" t="str">
        <f>IF(项目基本情况!E8="房地产抵押价值","房地产抵押价值","抵押担保权已注销时的房地产抵押价值")</f>
        <v>抵押担保权已注销时的房地产抵押价值</v>
      </c>
      <c r="L49" s="3282"/>
      <c r="M49" s="3285" t="str">
        <f>IF(项目基本情况!E8="房地产抵押价值",H107,H109)</f>
        <v>——</v>
      </c>
      <c r="N49" s="3285"/>
      <c r="O49" s="3285"/>
    </row>
    <row r="50" spans="1:35" ht="25.5" customHeight="1">
      <c r="A50" s="2332"/>
      <c r="B50" s="3330" t="s">
        <v>1344</v>
      </c>
      <c r="C50" s="3330"/>
      <c r="D50" s="2184"/>
      <c r="E50" s="322"/>
      <c r="F50" s="2228"/>
      <c r="G50" s="3314"/>
      <c r="H50" s="2131" t="s">
        <v>2132</v>
      </c>
      <c r="I50" s="2130"/>
      <c r="J50" s="3281" t="s">
        <v>1345</v>
      </c>
      <c r="K50" s="3281"/>
      <c r="L50" s="3281"/>
      <c r="M50" s="3281"/>
      <c r="N50" s="3281"/>
      <c r="O50" s="3281"/>
    </row>
    <row r="51" spans="1:35" ht="20.45" customHeight="1">
      <c r="A51" s="2333"/>
      <c r="B51" s="3330" t="s">
        <v>1346</v>
      </c>
      <c r="C51" s="3330"/>
      <c r="D51" s="1023"/>
      <c r="E51" s="318"/>
      <c r="F51" s="2228"/>
      <c r="G51" s="3315"/>
      <c r="H51" s="2131" t="s">
        <v>2133</v>
      </c>
      <c r="I51" s="2130"/>
      <c r="J51" s="2305" t="s">
        <v>1347</v>
      </c>
      <c r="K51" s="3282" t="s">
        <v>1348</v>
      </c>
      <c r="L51" s="3282"/>
      <c r="M51" s="2305" t="s">
        <v>1349</v>
      </c>
      <c r="N51" s="2305" t="s">
        <v>1350</v>
      </c>
      <c r="O51" s="2305" t="s">
        <v>1351</v>
      </c>
    </row>
    <row r="52" spans="1:35" ht="24" customHeight="1">
      <c r="A52" s="2148" t="s">
        <v>1352</v>
      </c>
      <c r="B52" s="3330" t="s">
        <v>1353</v>
      </c>
      <c r="C52" s="3330"/>
      <c r="D52" s="1023" t="e">
        <f ca="1">ROUND(D45*'数据-取费表'!B41/(1+'数据-取费表'!C42),0)</f>
        <v>#REF!</v>
      </c>
      <c r="E52" s="1254" t="s">
        <v>1354</v>
      </c>
      <c r="F52" s="2334">
        <f>'数据-取费表'!B41</f>
        <v>5.6000000000000001E-2</v>
      </c>
      <c r="G52" s="2335"/>
      <c r="H52" s="2325"/>
      <c r="I52" s="1667"/>
      <c r="J52" s="2304">
        <v>1</v>
      </c>
      <c r="K52" s="3307" t="s">
        <v>1355</v>
      </c>
      <c r="L52" s="3307"/>
      <c r="M52" s="2306" t="b">
        <f>D48</f>
        <v>0</v>
      </c>
      <c r="N52" s="2304" t="str">
        <f>E48</f>
        <v>销售额×税（费）率</v>
      </c>
      <c r="O52" s="2307">
        <f>F48</f>
        <v>5.6000000000000001E-2</v>
      </c>
    </row>
    <row r="53" spans="1:35" ht="12" customHeight="1">
      <c r="A53" s="2148" t="s">
        <v>1356</v>
      </c>
      <c r="B53" s="3331" t="s">
        <v>2286</v>
      </c>
      <c r="C53" s="3332"/>
      <c r="D53" s="1023" t="e">
        <f ca="1">ROUND(D45*'数据-取费表'!B41/(1+'数据-取费表'!C42),0)</f>
        <v>#REF!</v>
      </c>
      <c r="E53" s="1254" t="s">
        <v>1354</v>
      </c>
      <c r="F53" s="2334">
        <f>'数据-取费表'!B41</f>
        <v>5.6000000000000001E-2</v>
      </c>
      <c r="G53" s="2335"/>
      <c r="H53" s="2325"/>
      <c r="I53" s="1667"/>
      <c r="J53" s="2304">
        <v>2</v>
      </c>
      <c r="K53" s="3307" t="s">
        <v>1357</v>
      </c>
      <c r="L53" s="3307"/>
      <c r="M53" s="2306" t="e">
        <f t="shared" ref="M53:O54" ca="1" si="0">D55</f>
        <v>#REF!</v>
      </c>
      <c r="N53" s="2304" t="str">
        <f t="shared" si="0"/>
        <v>销售额×税（费）率</v>
      </c>
      <c r="O53" s="2307" t="str">
        <f t="shared" si="0"/>
        <v>免征</v>
      </c>
    </row>
    <row r="54" spans="1:35" ht="12" customHeight="1">
      <c r="A54" s="2148" t="s">
        <v>1358</v>
      </c>
      <c r="B54" s="3331" t="s">
        <v>2287</v>
      </c>
      <c r="C54" s="3332"/>
      <c r="D54" s="1023" t="e">
        <f ca="1">C68</f>
        <v>#REF!</v>
      </c>
      <c r="E54" s="318" t="s">
        <v>1359</v>
      </c>
      <c r="F54" s="2334">
        <f>'数据-取费表'!B41</f>
        <v>5.6000000000000001E-2</v>
      </c>
      <c r="G54" s="2335"/>
      <c r="H54" s="2336"/>
      <c r="I54" s="1667"/>
      <c r="J54" s="2304">
        <v>3</v>
      </c>
      <c r="K54" s="3307" t="s">
        <v>1360</v>
      </c>
      <c r="L54" s="3307"/>
      <c r="M54" s="2306" t="e">
        <f t="shared" ca="1" si="0"/>
        <v>#REF!</v>
      </c>
      <c r="N54" s="2304" t="str">
        <f t="shared" si="0"/>
        <v>增值额×税（费）率</v>
      </c>
      <c r="O54" s="2308" t="str">
        <f t="shared" si="0"/>
        <v>免征</v>
      </c>
    </row>
    <row r="55" spans="1:35" ht="24" customHeight="1">
      <c r="A55" s="3367" t="s">
        <v>1361</v>
      </c>
      <c r="B55" s="3345"/>
      <c r="C55" s="3345"/>
      <c r="D55" s="12" t="e">
        <f ca="1">IF(H55="个人住宅",0,ROUND(D45*I55,0))</f>
        <v>#REF!</v>
      </c>
      <c r="E55" s="1254" t="s">
        <v>1362</v>
      </c>
      <c r="F55" s="2334" t="str">
        <f>IF(H55="正常",I55,"免征")</f>
        <v>免征</v>
      </c>
      <c r="G55" s="2335"/>
      <c r="H55" s="2331"/>
      <c r="I55" s="156">
        <f>'数据-取费表'!B49</f>
        <v>5.0000000000000001E-4</v>
      </c>
      <c r="J55" s="2304">
        <f>IF(H59="非个人房产","",4)</f>
        <v>4</v>
      </c>
      <c r="K55" s="3307" t="str">
        <f>IF(H59="非个人房产","——","个人所得税")</f>
        <v>个人所得税</v>
      </c>
      <c r="L55" s="3307"/>
      <c r="M55" s="2309" t="e">
        <f ca="1">D59</f>
        <v>#REF!</v>
      </c>
      <c r="N55" s="1878" t="str">
        <f>E59</f>
        <v>差额计税</v>
      </c>
      <c r="O55" s="2310">
        <f>F59</f>
        <v>0.01</v>
      </c>
    </row>
    <row r="56" spans="1:35" ht="24.75">
      <c r="A56" s="3367" t="s">
        <v>1363</v>
      </c>
      <c r="B56" s="3345"/>
      <c r="C56" s="3345"/>
      <c r="D56" s="12" t="e">
        <f ca="1">IF(H56="个人住宅",D57,D58)</f>
        <v>#REF!</v>
      </c>
      <c r="E56" s="1254" t="s">
        <v>1364</v>
      </c>
      <c r="F56" s="2334" t="str">
        <f>IF(H56="正常",F58,"免征")</f>
        <v>免征</v>
      </c>
      <c r="G56" s="2337" t="s">
        <v>1365</v>
      </c>
      <c r="H56" s="2338"/>
      <c r="I56" s="1668"/>
      <c r="J56" s="2304" t="str">
        <f>IF(项目基本情况!K6="上海银行",IF(J55="",4,J55+1),"")</f>
        <v/>
      </c>
      <c r="K56" s="3288" t="str">
        <f>IF(项目基本情况!K6="上海银行","其他处置费用","")</f>
        <v/>
      </c>
      <c r="L56" s="3289"/>
      <c r="M56" s="2306" t="str">
        <f>IF(项目基本情况!K6="上海银行",M69,"")</f>
        <v/>
      </c>
      <c r="N56" s="3288" t="str">
        <f>IF(项目基本情况!K6="上海银行","包含处置中涉及的律师、诉讼、拍卖、评估等费用","")</f>
        <v/>
      </c>
      <c r="O56" s="3291"/>
    </row>
    <row r="57" spans="1:35" ht="12.75">
      <c r="A57" s="2148" t="s">
        <v>1341</v>
      </c>
      <c r="B57" s="3331" t="s">
        <v>1366</v>
      </c>
      <c r="C57" s="3332"/>
      <c r="D57" s="1476">
        <v>0</v>
      </c>
      <c r="E57" s="315" t="s">
        <v>1343</v>
      </c>
      <c r="F57" s="293"/>
      <c r="G57" s="2335"/>
      <c r="H57" s="2339"/>
      <c r="I57" s="1668"/>
      <c r="J57" s="3307">
        <f>IF(AND(J55="",J56=""),4,IF(项目基本情况!K6="上海银行",结果表!J56+1,结果表!J55+1))</f>
        <v>5</v>
      </c>
      <c r="K57" s="3307" t="s">
        <v>1367</v>
      </c>
      <c r="L57" s="2311" t="s">
        <v>1368</v>
      </c>
      <c r="M57" s="2312"/>
      <c r="N57" s="2313">
        <f ca="1">SUMIF(M52:M56,"&lt;9e307")</f>
        <v>0</v>
      </c>
      <c r="O57" s="2314"/>
      <c r="P57" s="2459" t="e">
        <f ca="1">N57/M49</f>
        <v>#VALUE!</v>
      </c>
    </row>
    <row r="58" spans="1:35" ht="24.75">
      <c r="A58" s="2148" t="s">
        <v>1352</v>
      </c>
      <c r="B58" s="3331" t="s">
        <v>1369</v>
      </c>
      <c r="C58" s="3330"/>
      <c r="D58" s="12" t="e">
        <f ca="1">IF(H58="转让取得",C81,C97)</f>
        <v>#REF!</v>
      </c>
      <c r="E58" s="1254" t="s">
        <v>1364</v>
      </c>
      <c r="F58" s="293" t="s">
        <v>28</v>
      </c>
      <c r="G58" s="2335"/>
      <c r="H58" s="2338"/>
      <c r="I58" s="1668"/>
      <c r="J58" s="3307"/>
      <c r="K58" s="3307"/>
      <c r="L58" s="2311" t="s">
        <v>1370</v>
      </c>
      <c r="M58" s="2315"/>
      <c r="N58" s="2316" t="str">
        <f ca="1">NUMBERSTRING(INT(N57*10000),2)&amp;"元整"</f>
        <v>零元整</v>
      </c>
      <c r="O58" s="2317"/>
    </row>
    <row r="59" spans="1:35" ht="24.75" thickBot="1">
      <c r="A59" s="3311" t="s">
        <v>1371</v>
      </c>
      <c r="B59" s="3312"/>
      <c r="C59" s="3312"/>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09">
        <f>J57+1</f>
        <v>6</v>
      </c>
      <c r="K59" s="3307" t="s">
        <v>1372</v>
      </c>
      <c r="L59" s="2304" t="s">
        <v>1368</v>
      </c>
      <c r="M59" s="2318"/>
      <c r="N59" s="2319" t="e">
        <f ca="1">M49-N57</f>
        <v>#VALUE!</v>
      </c>
      <c r="O59" s="2320"/>
    </row>
    <row r="60" spans="1:35" ht="12" customHeight="1">
      <c r="A60" s="1669"/>
      <c r="B60" s="645"/>
      <c r="C60" s="645"/>
      <c r="D60" s="645"/>
      <c r="E60" s="1464"/>
      <c r="F60" s="1668"/>
      <c r="G60" s="1668"/>
      <c r="H60" s="150"/>
      <c r="I60" s="120"/>
      <c r="J60" s="3310"/>
      <c r="K60" s="3307"/>
      <c r="L60" s="2311" t="s">
        <v>1370</v>
      </c>
      <c r="M60" s="2315"/>
      <c r="N60" s="2316" t="e">
        <f ca="1">NUMBERSTRING(INT(N59*10000),2)&amp;"元整"</f>
        <v>#VALUE!</v>
      </c>
      <c r="O60" s="2317"/>
    </row>
    <row r="61" spans="1:35" ht="13.5" thickBot="1">
      <c r="A61" s="3366" t="s">
        <v>1373</v>
      </c>
      <c r="B61" s="3366"/>
      <c r="C61" s="3366"/>
      <c r="D61" s="3366"/>
      <c r="E61" s="3366"/>
      <c r="F61" s="1668"/>
      <c r="G61" s="1668"/>
      <c r="H61" s="150"/>
      <c r="I61" s="120"/>
      <c r="J61" s="2304">
        <f>J59+1</f>
        <v>7</v>
      </c>
      <c r="K61" s="3307" t="s">
        <v>1374</v>
      </c>
      <c r="L61" s="3307"/>
      <c r="M61" s="2321"/>
      <c r="N61" s="2322" t="e">
        <f ca="1">ROUND(N59*10000/'数据-汇总表'!E3,0)</f>
        <v>#VALUE!</v>
      </c>
      <c r="O61" s="2323"/>
    </row>
    <row r="62" spans="1:35" ht="12.75">
      <c r="A62" s="3326" t="s">
        <v>1375</v>
      </c>
      <c r="B62" s="3327"/>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290"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290"/>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290"/>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290"/>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290"/>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5.6000000000000001E-2</v>
      </c>
      <c r="E68" s="169"/>
      <c r="F68" s="1668"/>
      <c r="G68" s="1668"/>
      <c r="H68" s="150"/>
      <c r="I68" s="120"/>
      <c r="J68" s="3290"/>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290"/>
      <c r="K69" s="1243" t="s">
        <v>1393</v>
      </c>
      <c r="L69" s="1243"/>
      <c r="M69" s="293" t="e">
        <f>ROUND(SUM(M63:M68),0)</f>
        <v>#VALUE!</v>
      </c>
      <c r="N69" s="2326" t="e">
        <f>M69/M49</f>
        <v>#VALUE!</v>
      </c>
      <c r="Z69" s="1621"/>
      <c r="AI69" s="1559"/>
    </row>
    <row r="70" spans="1:35" s="641" customFormat="1" ht="15" thickBot="1">
      <c r="A70" s="3334" t="s">
        <v>1394</v>
      </c>
      <c r="B70" s="3335"/>
      <c r="C70" s="3335"/>
      <c r="D70" s="3335"/>
      <c r="E70" s="3335"/>
      <c r="F70" s="3335"/>
      <c r="G70" s="3335"/>
      <c r="H70" s="3335"/>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26" t="s">
        <v>1375</v>
      </c>
      <c r="B71" s="3327"/>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31" t="s">
        <v>1402</v>
      </c>
      <c r="F76" s="3330"/>
      <c r="G76" s="3330"/>
      <c r="H76" s="3333"/>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6.000000000000001E-3</v>
      </c>
      <c r="E78" s="3323" t="s">
        <v>1406</v>
      </c>
      <c r="F78" s="3324"/>
      <c r="G78" s="3324"/>
      <c r="H78" s="332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4" t="s">
        <v>1410</v>
      </c>
      <c r="B83" s="3335"/>
      <c r="C83" s="3335"/>
      <c r="D83" s="3335"/>
      <c r="E83" s="3335"/>
      <c r="F83" s="3335"/>
      <c r="G83" s="3335"/>
      <c r="H83" s="3335"/>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26" t="s">
        <v>1375</v>
      </c>
      <c r="B84" s="3327"/>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292" t="s">
        <v>2126</v>
      </c>
      <c r="H90" s="3293"/>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23" t="s">
        <v>1419</v>
      </c>
      <c r="F91" s="3324"/>
      <c r="G91" s="3324"/>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23" t="s">
        <v>1422</v>
      </c>
      <c r="F92" s="3324"/>
      <c r="G92" s="3324"/>
      <c r="H92" s="3325"/>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6.000000000000001E-3</v>
      </c>
      <c r="E93" s="3323" t="s">
        <v>1406</v>
      </c>
      <c r="F93" s="3324"/>
      <c r="G93" s="3324"/>
      <c r="H93" s="332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68" t="s">
        <v>1426</v>
      </c>
      <c r="F94" s="3369"/>
      <c r="G94" s="3369"/>
      <c r="H94" s="337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3" t="s">
        <v>1428</v>
      </c>
      <c r="B100" s="3274"/>
      <c r="C100" s="3274"/>
      <c r="D100" s="3308"/>
      <c r="E100" s="3274" t="s">
        <v>1429</v>
      </c>
      <c r="F100" s="3274"/>
      <c r="G100" s="3274"/>
      <c r="H100" s="3308"/>
      <c r="I100" s="120"/>
    </row>
    <row r="101" spans="1:35" ht="18.75" customHeight="1">
      <c r="A101" s="3316" t="s">
        <v>1430</v>
      </c>
      <c r="B101" s="3317"/>
      <c r="C101" s="2365" t="str">
        <f>C4</f>
        <v>收益法 (元)</v>
      </c>
      <c r="D101" s="2366" t="str">
        <f>D4</f>
        <v>比较法-住宅</v>
      </c>
      <c r="E101" s="3286" t="s">
        <v>1431</v>
      </c>
      <c r="F101" s="3287"/>
      <c r="G101" s="1685" t="s">
        <v>1432</v>
      </c>
      <c r="H101" s="2375" t="e">
        <f ca="1">H118</f>
        <v>#REF!</v>
      </c>
      <c r="I101" s="120"/>
    </row>
    <row r="102" spans="1:35" ht="18.75" customHeight="1">
      <c r="A102" s="3318" t="s">
        <v>1433</v>
      </c>
      <c r="B102" s="2364" t="s">
        <v>1432</v>
      </c>
      <c r="C102" s="2365">
        <f ca="1">IF(D32="楼面单价",ROUND(C19,0),C19)</f>
        <v>270.85660000000001</v>
      </c>
      <c r="D102" s="2366">
        <f ca="1">IF(D32="楼面单价",ROUND(D19,0),D19)</f>
        <v>382.64679999999998</v>
      </c>
      <c r="E102" s="3286"/>
      <c r="F102" s="3287"/>
      <c r="G102" s="1685" t="s">
        <v>1434</v>
      </c>
      <c r="H102" s="2335" t="e">
        <f ca="1">I118</f>
        <v>#REF!</v>
      </c>
      <c r="I102" s="120"/>
    </row>
    <row r="103" spans="1:35" ht="42.75" customHeight="1">
      <c r="A103" s="3318"/>
      <c r="B103" s="2364" t="s">
        <v>1434</v>
      </c>
      <c r="C103" s="2367">
        <f ca="1">C20</f>
        <v>54258</v>
      </c>
      <c r="D103" s="2368">
        <f ca="1">D20</f>
        <v>76652</v>
      </c>
      <c r="E103" s="3279" t="s">
        <v>1435</v>
      </c>
      <c r="F103" s="3280"/>
      <c r="G103" s="1686" t="s">
        <v>1436</v>
      </c>
      <c r="H103" s="2375">
        <f>IF(D36="正常操作",H104+H105+H106,H105+H106)</f>
        <v>0</v>
      </c>
      <c r="I103" s="120"/>
    </row>
    <row r="104" spans="1:35" ht="18.75" customHeight="1">
      <c r="A104" s="3318"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8"/>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19" t="str">
        <f>IF(项目基本情况!E8="已注销","——","3.房地产抵押价值")</f>
        <v>3.房地产抵押价值</v>
      </c>
      <c r="F107" s="3287"/>
      <c r="G107" s="1685" t="s">
        <v>1432</v>
      </c>
      <c r="H107" s="2375" t="e">
        <f ca="1">IF(E107="——","——",H101-H103)</f>
        <v>#REF!</v>
      </c>
      <c r="I107" s="120"/>
    </row>
    <row r="108" spans="1:35" ht="18.75" customHeight="1">
      <c r="A108" s="120"/>
      <c r="B108" s="120"/>
      <c r="C108" s="120"/>
      <c r="D108" s="120"/>
      <c r="E108" s="3319"/>
      <c r="F108" s="3287"/>
      <c r="G108" s="1685" t="s">
        <v>1434</v>
      </c>
      <c r="H108" s="2335">
        <f ca="1">IF(H107=H101,H102,ROUND(H107*10000/'数据-汇总表'!E3,0))</f>
        <v>0</v>
      </c>
      <c r="I108" s="120"/>
    </row>
    <row r="109" spans="1:35" ht="18.75" customHeight="1">
      <c r="A109" s="120"/>
      <c r="B109" s="120"/>
      <c r="C109" s="120"/>
      <c r="D109" s="120"/>
      <c r="E109" s="3319" t="str">
        <f>IF(项目基本情况!E8="已注销及未注销","4.抵押担保权已注销时的房地产抵押价值",IF(项目基本情况!E8="已注销","3.抵押担保权已注销时的房地产抵押价值","——"))</f>
        <v>——</v>
      </c>
      <c r="F109" s="3287"/>
      <c r="G109" s="1685" t="s">
        <v>1432</v>
      </c>
      <c r="H109" s="2378" t="str">
        <f>IF(E109="——","——",H101-H105-H106)</f>
        <v>——</v>
      </c>
      <c r="I109" s="120"/>
    </row>
    <row r="110" spans="1:35" ht="18.75" customHeight="1">
      <c r="A110" s="120"/>
      <c r="B110" s="120"/>
      <c r="C110" s="120"/>
      <c r="D110" s="120"/>
      <c r="E110" s="3319"/>
      <c r="F110" s="3287"/>
      <c r="G110" s="1685" t="s">
        <v>1434</v>
      </c>
      <c r="H110" s="2335" t="str">
        <f>IF(H109="——","——",ROUND(H109*10000/'数据-汇总表'!E3,0))</f>
        <v>——</v>
      </c>
      <c r="I110" s="120"/>
    </row>
    <row r="111" spans="1:35" ht="18.75" customHeight="1">
      <c r="A111" s="120"/>
      <c r="B111" s="120"/>
      <c r="C111" s="120"/>
      <c r="D111" s="120"/>
      <c r="E111" s="3320" t="str">
        <f>IF(项目基本情况!E9="抵押净值",IF(OR(项目基本情况!E8="已注销",项目基本情况!E8="房地产抵押价值"),"4.抵押净值","5.抵押净值"),"——")</f>
        <v>——</v>
      </c>
      <c r="F111" s="3306"/>
      <c r="G111" s="1685" t="s">
        <v>1432</v>
      </c>
      <c r="H111" s="2375" t="str">
        <f>IF(E111="——","——",N59)</f>
        <v>——</v>
      </c>
      <c r="I111" s="120"/>
    </row>
    <row r="112" spans="1:35" ht="18.75" customHeight="1" thickBot="1">
      <c r="A112" s="120"/>
      <c r="B112" s="120"/>
      <c r="C112" s="120"/>
      <c r="D112" s="120"/>
      <c r="E112" s="3321"/>
      <c r="F112" s="3322"/>
      <c r="G112" s="1688" t="s">
        <v>1434</v>
      </c>
      <c r="H112" s="2379" t="str">
        <f>IF(E111="——","——",N61)</f>
        <v>——</v>
      </c>
      <c r="I112" s="120"/>
    </row>
    <row r="113" spans="1:27" ht="18.75" customHeight="1">
      <c r="A113" s="120"/>
      <c r="B113" s="120"/>
      <c r="C113" s="120"/>
      <c r="D113" s="120"/>
      <c r="E113" s="3329" t="s">
        <v>1440</v>
      </c>
      <c r="F113" s="3329"/>
      <c r="G113" s="3329"/>
      <c r="H113" s="3329"/>
      <c r="I113" s="120"/>
    </row>
    <row r="114" spans="1:27" ht="3.75" customHeight="1">
      <c r="A114" s="645"/>
      <c r="B114" s="645"/>
      <c r="C114" s="645"/>
      <c r="D114" s="645"/>
      <c r="E114" s="1669"/>
      <c r="F114" s="1669"/>
      <c r="G114" s="1669"/>
      <c r="H114" s="1669"/>
      <c r="I114" s="645"/>
    </row>
    <row r="115" spans="1:27" ht="18.75" customHeight="1">
      <c r="A115" s="3337" t="s">
        <v>1442</v>
      </c>
      <c r="B115" s="3338"/>
      <c r="C115" s="3338"/>
      <c r="D115" s="3338"/>
      <c r="E115" s="3338"/>
      <c r="F115" s="3338"/>
      <c r="G115" s="3338"/>
      <c r="H115" s="3338"/>
      <c r="I115" s="3339"/>
    </row>
    <row r="116" spans="1:27" ht="27" customHeight="1">
      <c r="A116" s="3294" t="s">
        <v>1443</v>
      </c>
      <c r="B116" s="3298" t="s">
        <v>1444</v>
      </c>
      <c r="C116" s="3298" t="s">
        <v>1445</v>
      </c>
      <c r="D116" s="3304" t="s">
        <v>1446</v>
      </c>
      <c r="E116" s="3305"/>
      <c r="F116" s="3336" t="s">
        <v>1447</v>
      </c>
      <c r="G116" s="3336"/>
      <c r="H116" s="3294" t="s">
        <v>1448</v>
      </c>
      <c r="I116" s="3294"/>
    </row>
    <row r="117" spans="1:27" ht="18.75" customHeight="1">
      <c r="A117" s="3294"/>
      <c r="B117" s="3299"/>
      <c r="C117" s="3299"/>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49.92</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4" t="s">
        <v>1452</v>
      </c>
      <c r="B119" s="3294"/>
      <c r="C119" s="3294"/>
      <c r="D119" s="3300" t="e">
        <f ca="1">NUMBERSTRING(INT(D118*10000),2)&amp;"元整"</f>
        <v>#REF!</v>
      </c>
      <c r="E119" s="3301"/>
      <c r="F119" s="3300" t="e">
        <f ca="1">NUMBERSTRING(INT(F118*10000),2)&amp;"元整"</f>
        <v>#REF!</v>
      </c>
      <c r="G119" s="3301"/>
      <c r="H119" s="3300" t="e">
        <f ca="1">NUMBERSTRING(INT(H118*10000),2)&amp;"元整"</f>
        <v>#REF!</v>
      </c>
      <c r="I119" s="3301"/>
    </row>
    <row r="120" spans="1:27" ht="18.75" customHeight="1">
      <c r="A120" s="3295" t="str">
        <f>IF(项目基本情况!B9="房地产市场价值","",MID(E103,3,LEN(E103)-2))</f>
        <v>估价师知悉的法定优先受偿款</v>
      </c>
      <c r="B120" s="3296"/>
      <c r="C120" s="3297"/>
      <c r="D120" s="3295">
        <f>H103</f>
        <v>0</v>
      </c>
      <c r="E120" s="3296"/>
      <c r="F120" s="3296"/>
      <c r="G120" s="3296"/>
      <c r="H120" s="3296"/>
      <c r="I120" s="329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0" t="s">
        <v>1452</v>
      </c>
      <c r="B121" s="3302"/>
      <c r="C121" s="3301"/>
      <c r="D121" s="3300" t="str">
        <f>IF(D120=0,"零元整",NUMBERSTRING(INT(D120*10000),2)&amp;"元整")</f>
        <v>零元整</v>
      </c>
      <c r="E121" s="3302"/>
      <c r="F121" s="3302"/>
      <c r="G121" s="3302"/>
      <c r="H121" s="3302"/>
      <c r="I121" s="3301"/>
      <c r="AA121" s="683"/>
    </row>
    <row r="122" spans="1:27" ht="18.75" customHeight="1">
      <c r="A122" s="3306" t="str">
        <f>IF(项目基本情况!B9="房地产市场价值","",MID(E107,3,LEN(E107)-2))</f>
        <v>房地产抵押价值</v>
      </c>
      <c r="B122" s="3306"/>
      <c r="C122" s="3306"/>
      <c r="D122" s="3295" t="e">
        <f ca="1">H107</f>
        <v>#REF!</v>
      </c>
      <c r="E122" s="3296"/>
      <c r="F122" s="3296"/>
      <c r="G122" s="3296"/>
      <c r="H122" s="3296"/>
      <c r="I122" s="3297"/>
      <c r="AA122" s="683"/>
    </row>
    <row r="123" spans="1:27" ht="18.75" customHeight="1">
      <c r="A123" s="3294" t="s">
        <v>1452</v>
      </c>
      <c r="B123" s="3294"/>
      <c r="C123" s="3294"/>
      <c r="D123" s="3300" t="e">
        <f ca="1">NUMBERSTRING(INT(D122*10000),2)&amp;"元整"</f>
        <v>#REF!</v>
      </c>
      <c r="E123" s="3302"/>
      <c r="F123" s="3302"/>
      <c r="G123" s="3302"/>
      <c r="H123" s="3302"/>
      <c r="I123" s="3301"/>
      <c r="AA123" s="683"/>
    </row>
    <row r="124" spans="1:27" ht="18.75" customHeight="1">
      <c r="A124" s="3306" t="str">
        <f>IF(项目基本情况!B9="房地产市场价值","",MID(E109,3,LEN(E109)-2))</f>
        <v/>
      </c>
      <c r="B124" s="3306"/>
      <c r="C124" s="3306"/>
      <c r="D124" s="3295" t="str">
        <f>H109</f>
        <v>——</v>
      </c>
      <c r="E124" s="3296"/>
      <c r="F124" s="3296"/>
      <c r="G124" s="3296"/>
      <c r="H124" s="3296"/>
      <c r="I124" s="3297"/>
      <c r="AA124" s="683"/>
    </row>
    <row r="125" spans="1:27" ht="18.75" customHeight="1">
      <c r="A125" s="3294" t="s">
        <v>1452</v>
      </c>
      <c r="B125" s="3294"/>
      <c r="C125" s="3294"/>
      <c r="D125" s="3300" t="e">
        <f>NUMBERSTRING(INT(D124*10000),2)&amp;"元整"</f>
        <v>#VALUE!</v>
      </c>
      <c r="E125" s="3302"/>
      <c r="F125" s="3302"/>
      <c r="G125" s="3302"/>
      <c r="H125" s="3302"/>
      <c r="I125" s="3301"/>
      <c r="AA125" s="683"/>
    </row>
    <row r="126" spans="1:27" ht="18.75" customHeight="1">
      <c r="A126" s="3306" t="str">
        <f>IF(项目基本情况!B9="房地产市场价值","",MID(E111,3,LEN(E111)-2))</f>
        <v/>
      </c>
      <c r="B126" s="3306"/>
      <c r="C126" s="3306"/>
      <c r="D126" s="3295" t="str">
        <f>H111</f>
        <v>——</v>
      </c>
      <c r="E126" s="3296"/>
      <c r="F126" s="3296"/>
      <c r="G126" s="3296"/>
      <c r="H126" s="3296"/>
      <c r="I126" s="3297"/>
      <c r="AA126" s="683"/>
    </row>
    <row r="127" spans="1:27" ht="18.75" customHeight="1">
      <c r="A127" s="3294" t="s">
        <v>1452</v>
      </c>
      <c r="B127" s="3294"/>
      <c r="C127" s="3294"/>
      <c r="D127" s="3300" t="e">
        <f>NUMBERSTRING(INT(D126*10000),2)&amp;"元整"</f>
        <v>#VALUE!</v>
      </c>
      <c r="E127" s="3302"/>
      <c r="F127" s="3302"/>
      <c r="G127" s="3302"/>
      <c r="H127" s="3302"/>
      <c r="I127" s="3301"/>
      <c r="AA127" s="683"/>
    </row>
    <row r="128" spans="1:27" ht="21.75" customHeight="1">
      <c r="A128" s="3303" t="s">
        <v>1453</v>
      </c>
      <c r="B128" s="3303"/>
      <c r="C128" s="3303"/>
      <c r="D128" s="3303"/>
      <c r="E128" s="3303"/>
      <c r="F128" s="3303"/>
      <c r="G128" s="3303"/>
      <c r="H128" s="3303"/>
      <c r="I128" s="3303"/>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11486</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2300881</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7987</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7987</v>
      </c>
      <c r="D8" s="213"/>
      <c r="E8" s="211"/>
      <c r="F8" s="212"/>
      <c r="G8" s="1712"/>
    </row>
    <row r="9" spans="1:9" s="205" customFormat="1" ht="13.5" customHeight="1">
      <c r="A9" s="732" t="s">
        <v>355</v>
      </c>
      <c r="B9" s="215" t="s">
        <v>1478</v>
      </c>
      <c r="C9" s="216">
        <f ca="1">ROUND(D9*E9/10000,0)</f>
        <v>1</v>
      </c>
      <c r="D9" s="794">
        <f ca="1">IF(B1="",'数据-汇总表'!E5,IF(INDIRECT("'数据-取费表'!c"&amp;$G$1)="住宅",INDIRECT("'数据-取费表'!k"&amp;$G$1),0))</f>
        <v>49.92</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1</v>
      </c>
      <c r="D19" s="203">
        <f ca="1">D9+D10</f>
        <v>49.92</v>
      </c>
      <c r="E19" s="202">
        <f>'数据-取费表'!B31</f>
        <v>200</v>
      </c>
      <c r="F19" s="222"/>
      <c r="G19" s="1712"/>
    </row>
    <row r="20" spans="1:7" s="205" customFormat="1" ht="13.5" customHeight="1">
      <c r="A20" s="246" t="s">
        <v>1493</v>
      </c>
      <c r="B20" s="201" t="s">
        <v>1494</v>
      </c>
      <c r="C20" s="223">
        <f ca="1">ROUND((C5+C19)*F20,0)</f>
        <v>160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785</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777</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8</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1630</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ROUND((C5+C19+C20)*F27*'数据-取费表'!B21/'数据-取费表'!B20,0)</f>
        <v>1630</v>
      </c>
      <c r="D28" s="226"/>
      <c r="E28" s="227"/>
      <c r="F28" s="237"/>
      <c r="G28" s="238"/>
    </row>
    <row r="29" spans="1:7" s="205" customFormat="1" ht="13.5" customHeight="1">
      <c r="A29" s="733" t="s">
        <v>347</v>
      </c>
      <c r="B29" s="239" t="s">
        <v>1517</v>
      </c>
      <c r="C29" s="229">
        <f ca="1">ROUND(C21*F27*'数据-取费表'!B21/'数据-取费表'!B20,4)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11460</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20</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17</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1</v>
      </c>
      <c r="D36" s="211"/>
      <c r="E36" s="211"/>
      <c r="F36" s="250">
        <f>'数据-取费表'!B34</f>
        <v>0.05</v>
      </c>
      <c r="G36" s="251" t="s">
        <v>1530</v>
      </c>
    </row>
    <row r="37" spans="1:7" s="249" customFormat="1" ht="13.5" customHeight="1">
      <c r="A37" s="733" t="s">
        <v>353</v>
      </c>
      <c r="B37" s="206" t="s">
        <v>1531</v>
      </c>
      <c r="C37" s="240">
        <f ca="1">ROUND(E37*D37*F34/10000,0)</f>
        <v>1</v>
      </c>
      <c r="D37" s="208">
        <f ca="1">D19</f>
        <v>49.92</v>
      </c>
      <c r="E37" s="240">
        <f>'数据-取费表'!B35</f>
        <v>200</v>
      </c>
      <c r="F37" s="250"/>
      <c r="G37" s="252" t="s">
        <v>1532</v>
      </c>
    </row>
    <row r="38" spans="1:7" ht="13.5" customHeight="1">
      <c r="A38" s="733" t="s">
        <v>354</v>
      </c>
      <c r="B38" s="206" t="s">
        <v>1533</v>
      </c>
      <c r="C38" s="211">
        <f ca="1">ROUND(C34*F38,0)</f>
        <v>0</v>
      </c>
      <c r="D38" s="211"/>
      <c r="E38" s="211"/>
      <c r="F38" s="250">
        <f>'数据-取费表'!B36</f>
        <v>1.4999999999999999E-2</v>
      </c>
      <c r="G38" s="210" t="s">
        <v>1528</v>
      </c>
    </row>
    <row r="39" spans="1:7" s="205" customFormat="1" ht="13.5" customHeight="1">
      <c r="A39" s="246" t="s">
        <v>1534</v>
      </c>
      <c r="B39" s="201" t="s">
        <v>1535</v>
      </c>
      <c r="C39" s="223">
        <f ca="1">ROUND(C33*F20,0)</f>
        <v>0</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v>
      </c>
      <c r="D42" s="229"/>
      <c r="E42" s="229"/>
      <c r="F42" s="230"/>
      <c r="G42" s="3373" t="s">
        <v>1544</v>
      </c>
    </row>
    <row r="43" spans="1:7" ht="13.5" customHeight="1">
      <c r="A43" s="733" t="s">
        <v>347</v>
      </c>
      <c r="B43" s="206" t="s">
        <v>1545</v>
      </c>
      <c r="C43" s="229">
        <f ca="1">ROUND(IF('数据-取费表'!B22&lt;=1,C39*F22*'数据-取费表'!B21/2,C39*(POWER((1+F22),'数据-取费表'!B21/2)-1)),0)</f>
        <v>0</v>
      </c>
      <c r="D43" s="229"/>
      <c r="E43" s="229"/>
      <c r="F43" s="230"/>
      <c r="G43" s="3374"/>
    </row>
    <row r="44" spans="1:7" ht="13.5" customHeight="1">
      <c r="A44" s="733" t="s">
        <v>348</v>
      </c>
      <c r="B44" s="206" t="s">
        <v>1546</v>
      </c>
      <c r="C44" s="229">
        <f ca="1">ROUND(IF('数据-取费表'!B22&lt;=1,C40*F22*'数据-取费表'!B21/2,C40*(POWER((1+F22),'数据-取费表'!B21/2)-1)),4)</f>
        <v>1E-3</v>
      </c>
      <c r="D44" s="229"/>
      <c r="E44" s="229"/>
      <c r="F44" s="230"/>
      <c r="G44" s="3375"/>
    </row>
    <row r="45" spans="1:7" s="205" customFormat="1" ht="13.5" customHeight="1">
      <c r="A45" s="246" t="s">
        <v>1547</v>
      </c>
      <c r="B45" s="235" t="s">
        <v>1513</v>
      </c>
      <c r="C45" s="236">
        <f ca="1">C46</f>
        <v>4</v>
      </c>
      <c r="D45" s="226">
        <f ca="1">C47</f>
        <v>4.0000000000000001E-3</v>
      </c>
      <c r="E45" s="227" t="s">
        <v>1539</v>
      </c>
      <c r="F45" s="237">
        <f ca="1">F27</f>
        <v>0.2</v>
      </c>
      <c r="G45" s="238" t="s">
        <v>1548</v>
      </c>
    </row>
    <row r="46" spans="1:7" s="205" customFormat="1" ht="13.5" customHeight="1">
      <c r="A46" s="733" t="s">
        <v>346</v>
      </c>
      <c r="B46" s="239" t="s">
        <v>1549</v>
      </c>
      <c r="C46" s="240">
        <f ca="1">ROUND((C33+C39)*F27,0)</f>
        <v>4</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27</v>
      </c>
      <c r="D49" s="223"/>
      <c r="E49" s="223"/>
      <c r="F49" s="255"/>
      <c r="G49" s="225" t="s">
        <v>1554</v>
      </c>
    </row>
    <row r="50" spans="1:7" s="249" customFormat="1" ht="24">
      <c r="A50" s="246" t="s">
        <v>1555</v>
      </c>
      <c r="B50" s="201" t="s">
        <v>1556</v>
      </c>
      <c r="C50" s="223"/>
      <c r="D50" s="223"/>
      <c r="E50" s="223"/>
      <c r="F50" s="255">
        <f>IF('数据-取费表'!B24=0,'数据-取费表'!N16,1)</f>
        <v>0.95</v>
      </c>
      <c r="G50" s="238" t="s">
        <v>1557</v>
      </c>
    </row>
    <row r="51" spans="1:7" ht="16.5" customHeight="1">
      <c r="A51" s="246" t="s">
        <v>1558</v>
      </c>
      <c r="B51" s="201" t="s">
        <v>1559</v>
      </c>
      <c r="C51" s="223">
        <f ca="1">ROUND(C49*F50,0)</f>
        <v>26</v>
      </c>
      <c r="D51" s="223"/>
      <c r="E51" s="223"/>
      <c r="F51" s="255"/>
      <c r="G51" s="225" t="s">
        <v>1560</v>
      </c>
    </row>
    <row r="52" spans="1:7" s="199" customFormat="1" ht="16.5" thickBot="1">
      <c r="A52" s="256" t="s">
        <v>1561</v>
      </c>
      <c r="B52" s="257"/>
      <c r="C52" s="258">
        <f ca="1">C31+C51</f>
        <v>11486</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9500</v>
      </c>
      <c r="C2" s="267" t="s">
        <v>1595</v>
      </c>
      <c r="D2" s="267"/>
      <c r="E2" s="2562"/>
      <c r="F2" s="2562"/>
      <c r="G2" s="2562"/>
      <c r="H2" s="2562"/>
      <c r="I2" s="2562"/>
      <c r="J2" s="2562"/>
      <c r="K2" s="2562"/>
    </row>
    <row r="3" spans="1:33" ht="18" customHeight="1" thickBot="1">
      <c r="A3" s="194" t="s">
        <v>1464</v>
      </c>
      <c r="B3" s="195">
        <f ca="1">ROUND(B2*10000/IF(C1="",'数据-汇总表'!E3,INDIRECT("'数据-取费表'!K"&amp;$K$1)),0)</f>
        <v>1903045</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49.92</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49.92</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-7986</v>
      </c>
      <c r="D18" s="795"/>
      <c r="E18" s="21"/>
      <c r="F18" s="755"/>
      <c r="G18" s="1718"/>
      <c r="H18" s="1104"/>
      <c r="I18" s="1719" t="s">
        <v>1625</v>
      </c>
      <c r="J18" s="758"/>
      <c r="K18" s="759"/>
    </row>
    <row r="19" spans="1:33" s="754" customFormat="1" ht="13.5" customHeight="1">
      <c r="A19" s="751" t="s">
        <v>360</v>
      </c>
      <c r="B19" s="752" t="s">
        <v>1626</v>
      </c>
      <c r="C19" s="21">
        <f ca="1">ROUND(D19*E19/10000,0)</f>
        <v>1</v>
      </c>
      <c r="D19" s="795">
        <f ca="1">IF(C1="",'数据-汇总表'!E5,IF(INDIRECT("'数据-取费表'!c"&amp;$K$1)="住宅",INDIRECT("'数据-取费表'!k"&amp;$K$1),0))</f>
        <v>49.92</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-7986</v>
      </c>
      <c r="D21" s="766"/>
      <c r="E21" s="272"/>
      <c r="F21" s="272"/>
      <c r="G21" s="122" t="s">
        <v>1629</v>
      </c>
      <c r="H21" s="758"/>
      <c r="I21" s="758"/>
      <c r="J21" s="758"/>
      <c r="K21" s="759"/>
    </row>
    <row r="22" spans="1:33" s="754" customFormat="1" ht="13.5" customHeight="1">
      <c r="A22" s="743" t="s">
        <v>1601</v>
      </c>
      <c r="B22" s="764" t="s">
        <v>1630</v>
      </c>
      <c r="C22" s="765">
        <f ca="1">ROUND(C21*F22,0)</f>
        <v>-160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-1629</v>
      </c>
      <c r="D28" s="271">
        <f ca="1">C29</f>
        <v>0</v>
      </c>
      <c r="E28" s="273" t="s">
        <v>12</v>
      </c>
      <c r="F28" s="279">
        <f ca="1">IF(C1="",'数据-取费表'!Q16,INDIRECT("'数据-取费表'!q"&amp;$K$1))</f>
        <v>0.2</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-1629</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9500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8" t="s">
        <v>694</v>
      </c>
      <c r="C6" s="1010">
        <f ca="1">ROUND(F6*F8*F7*(1-F9)/10000,0)</f>
        <v>0</v>
      </c>
      <c r="D6" s="146" t="s">
        <v>2106</v>
      </c>
      <c r="E6" s="293" t="s">
        <v>696</v>
      </c>
      <c r="F6" s="294">
        <f ca="1">INDIRECT("'数据-取费表'!u"&amp;$G$1)</f>
        <v>0</v>
      </c>
      <c r="G6" s="1290"/>
      <c r="H6" s="1005" t="s">
        <v>398</v>
      </c>
      <c r="I6" s="3378" t="s">
        <v>694</v>
      </c>
      <c r="J6" s="292">
        <f ca="1">ROUND(M6*M8*M7*(1-M9)/10000,0)</f>
        <v>0</v>
      </c>
      <c r="K6" s="146" t="s">
        <v>2105</v>
      </c>
      <c r="L6" s="293" t="s">
        <v>696</v>
      </c>
      <c r="M6" s="294">
        <f ca="1">INDIRECT("'数据-取费表'!z"&amp;$G$1)</f>
        <v>0</v>
      </c>
    </row>
    <row r="7" spans="1:37" ht="18" customHeight="1">
      <c r="A7" s="1009"/>
      <c r="B7" s="3379"/>
      <c r="C7" s="1011"/>
      <c r="D7" s="298"/>
      <c r="E7" s="1012" t="s">
        <v>697</v>
      </c>
      <c r="F7" s="294">
        <f ca="1">IF(INDIRECT("'数据-取费表'!ah"&amp;$G$1)="",INDIRECT("'数据-取费表'!k"&amp;$G$1),INDIRECT("'数据-取费表'!ah"&amp;$G$1))</f>
        <v>0</v>
      </c>
      <c r="G7" s="1290"/>
      <c r="H7" s="295"/>
      <c r="I7" s="3379"/>
      <c r="J7" s="297"/>
      <c r="K7" s="298"/>
      <c r="L7" s="293" t="s">
        <v>697</v>
      </c>
      <c r="M7" s="294">
        <f ca="1">F7</f>
        <v>0</v>
      </c>
    </row>
    <row r="8" spans="1:37" ht="18" customHeight="1">
      <c r="A8" s="295"/>
      <c r="B8" s="3379"/>
      <c r="C8" s="297"/>
      <c r="D8" s="298"/>
      <c r="E8" s="293" t="s">
        <v>698</v>
      </c>
      <c r="F8" s="294">
        <f ca="1">INDIRECT("'数据-取费表'!ai"&amp;$G$1)</f>
        <v>0</v>
      </c>
      <c r="G8" s="1290"/>
      <c r="H8" s="295"/>
      <c r="I8" s="3379"/>
      <c r="J8" s="297"/>
      <c r="K8" s="298"/>
      <c r="L8" s="293" t="s">
        <v>698</v>
      </c>
      <c r="M8" s="294">
        <f ca="1">INDIRECT("'数据-取费表'!ai"&amp;$G$1)</f>
        <v>0</v>
      </c>
    </row>
    <row r="9" spans="1:37" ht="18" customHeight="1">
      <c r="A9" s="295"/>
      <c r="B9" s="3380"/>
      <c r="C9" s="297"/>
      <c r="D9" s="298"/>
      <c r="E9" s="293" t="s">
        <v>699</v>
      </c>
      <c r="F9" s="303">
        <f ca="1">INDIRECT("'数据-取费表'!w"&amp;$G$1)</f>
        <v>0</v>
      </c>
      <c r="G9" s="1290"/>
      <c r="H9" s="295"/>
      <c r="I9" s="3380"/>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6" t="s">
        <v>837</v>
      </c>
      <c r="L53" s="3377"/>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50" sqref="F5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70</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270.85660000000001</v>
      </c>
      <c r="C2" s="1287" t="s">
        <v>879</v>
      </c>
      <c r="D2" s="1373">
        <f ca="1">C40+J29+L46</f>
        <v>2708566</v>
      </c>
      <c r="E2" s="1293" t="s">
        <v>880</v>
      </c>
      <c r="F2" s="1294"/>
      <c r="G2" s="2473"/>
      <c r="H2" s="2463"/>
      <c r="I2" s="2463"/>
      <c r="J2" s="2463"/>
      <c r="K2" s="2464"/>
      <c r="L2" s="2463"/>
      <c r="M2" s="2463"/>
    </row>
    <row r="3" spans="1:37" ht="18" customHeight="1" thickBot="1">
      <c r="A3" s="1295" t="s">
        <v>881</v>
      </c>
      <c r="B3" s="1296">
        <f ca="1">IF(ISERROR(D2/F43),0,ROUND(D2/F43,0))</f>
        <v>54258</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81702</v>
      </c>
      <c r="D5" s="1271" t="s">
        <v>889</v>
      </c>
      <c r="E5" s="1007"/>
      <c r="F5" s="1008"/>
      <c r="G5" s="1290"/>
      <c r="H5" s="290">
        <v>1</v>
      </c>
      <c r="I5" s="291" t="s">
        <v>888</v>
      </c>
      <c r="J5" s="1006">
        <f ca="1">J6+J10+J12</f>
        <v>79329</v>
      </c>
      <c r="K5" s="1271" t="s">
        <v>889</v>
      </c>
      <c r="L5" s="1007"/>
      <c r="M5" s="1008"/>
    </row>
    <row r="6" spans="1:37" ht="18" customHeight="1">
      <c r="A6" s="1005" t="s">
        <v>398</v>
      </c>
      <c r="B6" s="3378" t="s">
        <v>694</v>
      </c>
      <c r="C6" s="1010">
        <f ca="1">ROUND(F6*F8*F7*(1-F9),0)</f>
        <v>81600</v>
      </c>
      <c r="D6" s="146" t="s">
        <v>2103</v>
      </c>
      <c r="E6" s="293" t="s">
        <v>696</v>
      </c>
      <c r="F6" s="294">
        <f ca="1">INDIRECT("'数据-取费表'!u"&amp;$G$1)</f>
        <v>6800</v>
      </c>
      <c r="G6" s="1290"/>
      <c r="H6" s="1005" t="s">
        <v>398</v>
      </c>
      <c r="I6" s="3378" t="s">
        <v>694</v>
      </c>
      <c r="J6" s="292">
        <f ca="1">ROUND(M6*M8*M7*(1-M9),0)</f>
        <v>79230</v>
      </c>
      <c r="K6" s="1282" t="s">
        <v>2104</v>
      </c>
      <c r="L6" s="293" t="s">
        <v>696</v>
      </c>
      <c r="M6" s="294">
        <f ca="1">INDIRECT("'数据-取费表'!z"&amp;$G$1)</f>
        <v>6950</v>
      </c>
    </row>
    <row r="7" spans="1:37" ht="18" customHeight="1">
      <c r="A7" s="1009"/>
      <c r="B7" s="3379"/>
      <c r="C7" s="1011"/>
      <c r="D7" s="298"/>
      <c r="E7" s="1012" t="s">
        <v>697</v>
      </c>
      <c r="F7" s="294">
        <f ca="1">IF(INDIRECT("'数据-取费表'!ah"&amp;$G$1)="",INDIRECT("'数据-取费表'!k"&amp;$G$1),INDIRECT("'数据-取费表'!ah"&amp;$G$1))</f>
        <v>1</v>
      </c>
      <c r="G7" s="1290"/>
      <c r="H7" s="295"/>
      <c r="I7" s="3379"/>
      <c r="J7" s="297"/>
      <c r="K7" s="298"/>
      <c r="L7" s="293" t="s">
        <v>697</v>
      </c>
      <c r="M7" s="294">
        <f ca="1">F7</f>
        <v>1</v>
      </c>
    </row>
    <row r="8" spans="1:37" ht="18" customHeight="1">
      <c r="A8" s="295"/>
      <c r="B8" s="3379"/>
      <c r="C8" s="297"/>
      <c r="D8" s="298"/>
      <c r="E8" s="293" t="s">
        <v>698</v>
      </c>
      <c r="F8" s="294">
        <f ca="1">INDIRECT("'数据-取费表'!ai"&amp;$G$1)</f>
        <v>12</v>
      </c>
      <c r="G8" s="1290"/>
      <c r="H8" s="295"/>
      <c r="I8" s="3379"/>
      <c r="J8" s="297"/>
      <c r="K8" s="298"/>
      <c r="L8" s="293" t="s">
        <v>698</v>
      </c>
      <c r="M8" s="294">
        <f ca="1">INDIRECT("'数据-取费表'!ai"&amp;$G$1)</f>
        <v>12</v>
      </c>
    </row>
    <row r="9" spans="1:37" ht="18" customHeight="1">
      <c r="A9" s="295"/>
      <c r="B9" s="3380"/>
      <c r="C9" s="297"/>
      <c r="D9" s="298"/>
      <c r="E9" s="293" t="s">
        <v>699</v>
      </c>
      <c r="F9" s="303">
        <f ca="1">INDIRECT("'数据-取费表'!w"&amp;$G$1)</f>
        <v>0</v>
      </c>
      <c r="G9" s="1290"/>
      <c r="H9" s="295"/>
      <c r="I9" s="3380"/>
      <c r="J9" s="297"/>
      <c r="K9" s="298"/>
      <c r="L9" s="304" t="s">
        <v>699</v>
      </c>
      <c r="M9" s="305">
        <f ca="1">INDIRECT("'数据-取费表'!ab"&amp;$G$1)</f>
        <v>0.05</v>
      </c>
    </row>
    <row r="10" spans="1:37" ht="18" customHeight="1">
      <c r="A10" s="1005" t="s">
        <v>402</v>
      </c>
      <c r="B10" s="1272" t="s">
        <v>700</v>
      </c>
      <c r="C10" s="307">
        <f ca="1">ROUND(IF(F10="押一",C6/12*F11,IF(F10="押二",C6/12*2*F11,IF(F10="押三",C6/12*3*F11,C11*F11))),0)</f>
        <v>102</v>
      </c>
      <c r="D10" s="149" t="s">
        <v>2113</v>
      </c>
      <c r="E10" s="304" t="s">
        <v>701</v>
      </c>
      <c r="F10" s="1052" t="s">
        <v>3395</v>
      </c>
      <c r="G10" s="1290"/>
      <c r="H10" s="1005" t="s">
        <v>402</v>
      </c>
      <c r="I10" s="1272" t="s">
        <v>700</v>
      </c>
      <c r="J10" s="292">
        <f ca="1">ROUND(IF(M10="押一",J6/12*M11,IF(M10="押二",J6/12*2*M11,IF(M10="押三",J6/12*3*M11,J11*M11))),0)</f>
        <v>99</v>
      </c>
      <c r="K10" s="1283" t="s">
        <v>2115</v>
      </c>
      <c r="L10" s="304" t="s">
        <v>701</v>
      </c>
      <c r="M10" s="1052" t="s">
        <v>3395</v>
      </c>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264013</v>
      </c>
      <c r="D13" s="1017" t="s">
        <v>705</v>
      </c>
      <c r="E13" s="1017" t="s">
        <v>706</v>
      </c>
      <c r="F13" s="1018">
        <f ca="1">INDIRECT("'数据-取费表'!y"&amp;$G$1)</f>
        <v>0.95</v>
      </c>
      <c r="G13" s="1290"/>
      <c r="H13" s="1015">
        <v>2</v>
      </c>
      <c r="I13" s="1016" t="s">
        <v>704</v>
      </c>
      <c r="J13" s="1004">
        <f ca="1">ROUND(J14*J15,0)</f>
        <v>264013</v>
      </c>
      <c r="K13" s="1023" t="s">
        <v>705</v>
      </c>
      <c r="L13" s="1297"/>
      <c r="M13" s="1298"/>
    </row>
    <row r="14" spans="1:37" ht="18" customHeight="1">
      <c r="A14" s="927" t="s">
        <v>397</v>
      </c>
      <c r="B14" s="293" t="s">
        <v>707</v>
      </c>
      <c r="C14" s="309">
        <f ca="1">ROUND(INDIRECT("'数据-取费表'!l"&amp;$G$1)*F43+'数据-取费表'!L14*INDIRECT("'数据-取费表'!S"&amp;$G$1),0)</f>
        <v>174720</v>
      </c>
      <c r="D14" s="1255" t="s">
        <v>708</v>
      </c>
      <c r="E14" s="1253"/>
      <c r="F14" s="310"/>
      <c r="G14" s="1290"/>
      <c r="H14" s="927" t="s">
        <v>398</v>
      </c>
      <c r="I14" s="293" t="s">
        <v>709</v>
      </c>
      <c r="J14" s="21">
        <f ca="1">C29</f>
        <v>277908</v>
      </c>
      <c r="K14" s="12"/>
      <c r="L14" s="758"/>
      <c r="M14" s="759"/>
    </row>
    <row r="15" spans="1:37" s="1302" customFormat="1" ht="18" customHeight="1" thickBot="1">
      <c r="A15" s="927" t="s">
        <v>399</v>
      </c>
      <c r="B15" s="293" t="s">
        <v>710</v>
      </c>
      <c r="C15" s="21">
        <f ca="1">ROUND(C14*F15,0)</f>
        <v>5242</v>
      </c>
      <c r="D15" s="311" t="s">
        <v>711</v>
      </c>
      <c r="E15" s="311" t="s">
        <v>712</v>
      </c>
      <c r="F15" s="312">
        <f>'数据-取费表'!B33</f>
        <v>0.03</v>
      </c>
      <c r="G15" s="1301"/>
      <c r="H15" s="1025" t="s">
        <v>402</v>
      </c>
      <c r="I15" s="1026" t="s">
        <v>706</v>
      </c>
      <c r="J15" s="1035">
        <f ca="1">INDIRECT("'数据-取费表'!ad"&amp;$G$1)</f>
        <v>0.95</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8736</v>
      </c>
      <c r="D16" s="293" t="s">
        <v>711</v>
      </c>
      <c r="E16" s="293" t="s">
        <v>712</v>
      </c>
      <c r="F16" s="313">
        <f ca="1">IF(INDIRECT("'数据-取费表'!c"&amp;$G$1)="住宅",'数据-取费表'!B34,0)</f>
        <v>0.05</v>
      </c>
      <c r="G16" s="1290"/>
      <c r="H16" s="1015" t="s">
        <v>393</v>
      </c>
      <c r="I16" s="1016" t="s">
        <v>714</v>
      </c>
      <c r="J16" s="301">
        <f ca="1">ROUND(J17+J22+J23+J24,0)</f>
        <v>5722</v>
      </c>
      <c r="K16" s="1023" t="s">
        <v>715</v>
      </c>
      <c r="L16" s="1024"/>
      <c r="M16" s="1008"/>
    </row>
    <row r="17" spans="1:37" s="1302" customFormat="1" ht="18" customHeight="1">
      <c r="A17" s="927" t="s">
        <v>681</v>
      </c>
      <c r="B17" s="293" t="s">
        <v>716</v>
      </c>
      <c r="C17" s="21">
        <f ca="1">ROUND(F17*(F43+INDIRECT("'数据-取费表'!S"&amp;$G$1)),0)</f>
        <v>9984</v>
      </c>
      <c r="D17" s="293" t="s">
        <v>717</v>
      </c>
      <c r="E17" s="293" t="s">
        <v>718</v>
      </c>
      <c r="F17" s="23">
        <f>'数据-取费表'!B35</f>
        <v>200</v>
      </c>
      <c r="G17" s="1301"/>
      <c r="H17" s="927" t="s">
        <v>398</v>
      </c>
      <c r="I17" s="293" t="s">
        <v>719</v>
      </c>
      <c r="J17" s="2135">
        <f ca="1">ROUND(IF(AND(项目基本情况!B11="自然人",项目基本情况!B10="北京市"),J6*M17/(1+'数据-取费表'!C42),J18+J19+J20),0)</f>
        <v>1886</v>
      </c>
      <c r="K17" s="1255" t="s">
        <v>720</v>
      </c>
      <c r="L17" s="1254" t="s">
        <v>721</v>
      </c>
      <c r="M17" s="2134">
        <f ca="1">IF(项目基本情况!B11="企业","",IF(M47="住宅",IF(M6*M7*M8/12/(1+'数据-取费表'!F30)&gt;100000,4%,2.5%),IF(M6*M7*M8/12/(1+'数据-取费表'!F30)&gt;100000,12%,7%)))</f>
        <v>2.5000000000000001E-2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2621</v>
      </c>
      <c r="D18" s="293" t="s">
        <v>711</v>
      </c>
      <c r="E18" s="293" t="s">
        <v>712</v>
      </c>
      <c r="F18" s="313">
        <f>'数据-取费表'!B36</f>
        <v>1.4999999999999999E-2</v>
      </c>
      <c r="G18" s="1301"/>
      <c r="H18" s="927" t="s">
        <v>397</v>
      </c>
      <c r="I18" s="293" t="s">
        <v>723</v>
      </c>
      <c r="J18" s="21">
        <f ca="1">ROUND(J6*M18/(1+'数据-取费表'!C42),0)</f>
        <v>4226</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201303</v>
      </c>
      <c r="D19" s="122" t="s">
        <v>726</v>
      </c>
      <c r="E19" s="1267"/>
      <c r="F19" s="23"/>
      <c r="G19" s="1290"/>
      <c r="H19" s="927" t="s">
        <v>399</v>
      </c>
      <c r="I19" s="293" t="s">
        <v>727</v>
      </c>
      <c r="J19" s="21">
        <f ca="1">IF(K19="按租金收入计税",ROUND(J6*M19/(1+'数据-取费表'!C42),0),ROUND(C29*M19*0.7,0))</f>
        <v>9055</v>
      </c>
      <c r="K19" s="1276" t="s">
        <v>3336</v>
      </c>
      <c r="L19" s="293" t="s">
        <v>712</v>
      </c>
      <c r="M19" s="313">
        <f>IF(K19="按租金收入计税",'数据-取费表'!B51,'数据-取费表'!B50)</f>
        <v>0.12</v>
      </c>
    </row>
    <row r="20" spans="1:37" s="1302" customFormat="1" ht="18" customHeight="1">
      <c r="A20" s="927" t="s">
        <v>402</v>
      </c>
      <c r="B20" s="293" t="s">
        <v>728</v>
      </c>
      <c r="C20" s="21">
        <f ca="1">ROUND(C19*F20,0)</f>
        <v>4026</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2779</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9753</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264</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82">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793</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73607</v>
      </c>
      <c r="K25" s="1031" t="s">
        <v>753</v>
      </c>
      <c r="L25" s="1032"/>
      <c r="M25" s="1033"/>
    </row>
    <row r="26" spans="1:37" ht="18" customHeight="1">
      <c r="A26" s="927" t="s">
        <v>397</v>
      </c>
      <c r="B26" s="293" t="s">
        <v>754</v>
      </c>
      <c r="C26" s="21">
        <f ca="1">ROUND((C19+C20)*F26,0)</f>
        <v>41066</v>
      </c>
      <c r="D26" s="314" t="s">
        <v>755</v>
      </c>
      <c r="E26" s="304" t="s">
        <v>756</v>
      </c>
      <c r="F26" s="303">
        <f ca="1">INDIRECT("'数据-取费表'!q"&amp;$G$1)</f>
        <v>0.2</v>
      </c>
      <c r="G26" s="1290"/>
      <c r="H26" s="290" t="s">
        <v>395</v>
      </c>
      <c r="I26" s="291" t="s">
        <v>757</v>
      </c>
      <c r="J26" s="292">
        <f ca="1">IF(J5&lt;&gt;0,ROUND(J25*(1-((1+M28)/(1+M26))^M27)/(M26-M28),0),0)</f>
        <v>2725462</v>
      </c>
      <c r="K26" s="315" t="s">
        <v>758</v>
      </c>
      <c r="L26" s="293" t="s">
        <v>759</v>
      </c>
      <c r="M26" s="303">
        <f ca="1">INDIRECT("'数据-取费表'!I"&amp;$G$1)</f>
        <v>0.04</v>
      </c>
    </row>
    <row r="27" spans="1:37" ht="18" customHeight="1">
      <c r="A27" s="927" t="s">
        <v>399</v>
      </c>
      <c r="B27" s="293" t="s">
        <v>760</v>
      </c>
      <c r="C27" s="21">
        <f ca="1">ROUND(F21*F26,4)</f>
        <v>4.0000000000000001E-3</v>
      </c>
      <c r="D27" s="314" t="s">
        <v>761</v>
      </c>
      <c r="E27" s="311"/>
      <c r="F27" s="312"/>
      <c r="G27" s="1290"/>
      <c r="H27" s="295"/>
      <c r="I27" s="296"/>
      <c r="J27" s="297"/>
      <c r="K27" s="322" t="s">
        <v>762</v>
      </c>
      <c r="L27" s="293" t="s">
        <v>763</v>
      </c>
      <c r="M27" s="323">
        <f ca="1">INDIRECT("'数据-取费表'!ag"&amp;$G$1)</f>
        <v>69.48</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0.02</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277908</v>
      </c>
      <c r="D29" s="1028"/>
      <c r="E29" s="1026"/>
      <c r="F29" s="1029"/>
      <c r="G29" s="1301"/>
      <c r="H29" s="324" t="s">
        <v>396</v>
      </c>
      <c r="I29" s="325" t="s">
        <v>768</v>
      </c>
      <c r="J29" s="326">
        <f ca="1">ROUND(J26/(1+F40)^F41,0)</f>
        <v>2670440</v>
      </c>
      <c r="K29" s="327" t="s">
        <v>769</v>
      </c>
      <c r="L29" s="328"/>
      <c r="M29" s="329">
        <f ca="1">INDIRECT("'数据-取费表'!k"&amp;$G$1)</f>
        <v>49.92</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5803</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1943</v>
      </c>
      <c r="D31" s="1255" t="s">
        <v>720</v>
      </c>
      <c r="E31" s="1254" t="s">
        <v>770</v>
      </c>
      <c r="F31" s="2134">
        <f ca="1">IF(项目基本情况!B11="企业","——",IF(M47="住宅",IF(F6*F7*F8/12/(1+'数据-取费表'!F30)&gt;100000,4%,2.5%),IF(F6*F7*F8/12/(1+'数据-取费表'!F30)&gt;100000,12%,7%)))</f>
        <v>2.5000000000000001E-2</v>
      </c>
      <c r="G31" s="1290"/>
      <c r="H31" s="3187"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2779</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264</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817</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75899</v>
      </c>
      <c r="D39" s="1031" t="s">
        <v>773</v>
      </c>
      <c r="E39" s="1032"/>
      <c r="F39" s="1033"/>
      <c r="G39" s="1290"/>
      <c r="H39" s="2468"/>
      <c r="I39" s="1303"/>
      <c r="J39" s="1304"/>
      <c r="K39" s="2466"/>
      <c r="L39" s="2468"/>
      <c r="M39" s="2468"/>
    </row>
    <row r="40" spans="1:18" ht="18" customHeight="1">
      <c r="A40" s="290" t="s">
        <v>395</v>
      </c>
      <c r="B40" s="291" t="s">
        <v>774</v>
      </c>
      <c r="C40" s="292">
        <f ca="1">ROUND(C39*(1-((1+F42)/(1+F40))^F41)/(F40-F42),0)</f>
        <v>38126</v>
      </c>
      <c r="D40" s="315" t="s">
        <v>758</v>
      </c>
      <c r="E40" s="293" t="s">
        <v>759</v>
      </c>
      <c r="F40" s="303">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0.52</v>
      </c>
      <c r="G41" s="1290"/>
      <c r="H41" s="120"/>
      <c r="I41" s="1303"/>
      <c r="J41" s="1304"/>
      <c r="K41" s="2325"/>
      <c r="L41" s="120"/>
      <c r="M41" s="120"/>
    </row>
    <row r="42" spans="1:18" ht="18" customHeight="1">
      <c r="A42" s="299"/>
      <c r="B42" s="300"/>
      <c r="C42" s="301"/>
      <c r="D42" s="318"/>
      <c r="E42" s="293" t="s">
        <v>766</v>
      </c>
      <c r="F42" s="303">
        <f ca="1">INDIRECT("'数据-取费表'!v"&amp;$G$1)</f>
        <v>0.02</v>
      </c>
      <c r="G42" s="1290"/>
      <c r="H42" s="120"/>
      <c r="I42" s="1303"/>
      <c r="J42" s="1304"/>
      <c r="K42" s="2325"/>
      <c r="L42" s="120"/>
      <c r="M42" s="120"/>
    </row>
    <row r="43" spans="1:18" ht="18" customHeight="1" thickBot="1">
      <c r="A43" s="324" t="s">
        <v>396</v>
      </c>
      <c r="B43" s="325" t="s">
        <v>776</v>
      </c>
      <c r="C43" s="326">
        <f ca="1">ROUND(C40/F43,0)</f>
        <v>764</v>
      </c>
      <c r="D43" s="327" t="s">
        <v>777</v>
      </c>
      <c r="E43" s="328" t="s">
        <v>778</v>
      </c>
      <c r="F43" s="329">
        <f ca="1">INDIRECT("'数据-取费表'!k"&amp;$G$1)</f>
        <v>49.92</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-3.9655</v>
      </c>
      <c r="D45" s="3124" t="s">
        <v>3353</v>
      </c>
      <c r="E45" s="1305"/>
      <c r="F45" s="1305"/>
      <c r="O45" s="1308" t="s">
        <v>808</v>
      </c>
      <c r="P45" s="1364"/>
      <c r="Q45" s="1364"/>
      <c r="R45" s="1364"/>
    </row>
    <row r="46" spans="1:18" s="1290" customFormat="1" ht="13.5" thickBot="1">
      <c r="A46" s="1309" t="s">
        <v>809</v>
      </c>
      <c r="C46" s="1310">
        <f ca="1">ROUND(C45,0)</f>
        <v>-4</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2708566</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70</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277908</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1389849</v>
      </c>
      <c r="M51" s="1339"/>
      <c r="O51" s="1332" t="s">
        <v>407</v>
      </c>
      <c r="P51" s="1324" t="s">
        <v>831</v>
      </c>
      <c r="Q51" s="1335">
        <f>J52</f>
        <v>5.5E-2</v>
      </c>
      <c r="R51" s="1325"/>
    </row>
    <row r="52" spans="1:18" s="1290" customFormat="1" ht="13.5" thickBot="1">
      <c r="A52" s="922"/>
      <c r="B52" s="924"/>
      <c r="C52" s="925"/>
      <c r="D52" s="898"/>
      <c r="E52" s="926" t="s">
        <v>699</v>
      </c>
      <c r="F52" s="990">
        <f ca="1">M9</f>
        <v>0.05</v>
      </c>
      <c r="I52" s="1340" t="s">
        <v>832</v>
      </c>
      <c r="J52" s="1341">
        <v>5.5E-2</v>
      </c>
      <c r="K52" s="1340" t="s">
        <v>833</v>
      </c>
      <c r="L52" s="1341"/>
      <c r="O52" s="1332" t="s">
        <v>408</v>
      </c>
      <c r="P52" s="1324" t="s">
        <v>834</v>
      </c>
      <c r="Q52" s="1325">
        <f ca="1">J53</f>
        <v>70</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t="s">
        <v>3395</v>
      </c>
      <c r="I53" s="1342" t="s">
        <v>836</v>
      </c>
      <c r="J53" s="2001">
        <f ca="1">IF(M47="住宅",IF(D1="——",MAX(J51,L48),MAX(J51,L48-'数据-取费表'!B24)),IF(D1="——",MIN(J51,L48),MIN(J51,L48-'数据-取费表'!B24)))</f>
        <v>70</v>
      </c>
      <c r="K53" s="3376" t="s">
        <v>837</v>
      </c>
      <c r="L53" s="3377"/>
      <c r="O53" s="1323" t="s">
        <v>409</v>
      </c>
      <c r="P53" s="1324" t="s">
        <v>838</v>
      </c>
      <c r="Q53" s="1325">
        <f ca="1">Q47+Q48</f>
        <v>2708566</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264013</v>
      </c>
      <c r="D56" s="1350"/>
      <c r="E56" s="1351"/>
      <c r="F56" s="1343"/>
      <c r="I56" s="1352" t="s">
        <v>842</v>
      </c>
      <c r="J56" s="1353" t="s">
        <v>3398</v>
      </c>
      <c r="K56" s="1326" t="s">
        <v>843</v>
      </c>
      <c r="L56" s="1329">
        <f ca="1">IF(L48&lt;J51,"——",L48-J51)</f>
        <v>33</v>
      </c>
      <c r="O56" s="1323" t="s">
        <v>403</v>
      </c>
      <c r="P56" s="1324" t="s">
        <v>817</v>
      </c>
      <c r="Q56" s="1325">
        <f ca="1">C40+J29</f>
        <v>2708566</v>
      </c>
      <c r="R56" s="1325" t="s">
        <v>818</v>
      </c>
    </row>
    <row r="57" spans="1:18" s="1290" customFormat="1" ht="24.75" thickBot="1">
      <c r="A57" s="1354"/>
      <c r="B57" s="895" t="s">
        <v>767</v>
      </c>
      <c r="C57" s="229">
        <f ca="1">C29</f>
        <v>277908</v>
      </c>
      <c r="D57" s="1355"/>
      <c r="E57" s="1356"/>
      <c r="F57" s="1357"/>
      <c r="I57" s="1358" t="s">
        <v>844</v>
      </c>
      <c r="J57" s="1359" t="str">
        <f ca="1">IF(OR(M47="住宅",J51&lt;L48,J56="是"),"——",J51-L48)</f>
        <v>——</v>
      </c>
      <c r="K57" s="1326" t="s">
        <v>892</v>
      </c>
      <c r="L57" s="1329">
        <f ca="1">IF(L48&lt;J51,"——",IF(L55="比较法",L49,IF(L55="基准地价",L50,L51)))</f>
        <v>1389849</v>
      </c>
      <c r="O57" s="1323" t="s">
        <v>404</v>
      </c>
      <c r="P57" s="1324" t="s">
        <v>893</v>
      </c>
      <c r="Q57" s="1325">
        <f ca="1">L60</f>
        <v>0</v>
      </c>
      <c r="R57" s="1325" t="s">
        <v>894</v>
      </c>
    </row>
    <row r="58" spans="1:18" s="1290" customFormat="1" ht="24.75" thickBot="1">
      <c r="A58" s="306" t="s">
        <v>393</v>
      </c>
      <c r="B58" s="903" t="s">
        <v>714</v>
      </c>
      <c r="C58" s="307">
        <f ca="1">ROUND(C59+C64+C65+C66,0)</f>
        <v>3043</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IF(项目基本情况!B11="企业","——",IF(M47="住宅",IF(F49*F50*F51/12/(1+'数据-取费表'!F30)&gt;100000,4%,2.5%),IF(F49*F50*F51/12/(1+'数据-取费表'!F30)&gt;100000,12%,7%)))</f>
        <v>2.5000000000000001E-2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5.6000000000000001E-2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2708566</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2779</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264</v>
      </c>
      <c r="D65" s="909" t="s">
        <v>743</v>
      </c>
      <c r="E65" s="895" t="s">
        <v>744</v>
      </c>
      <c r="F65" s="320">
        <f t="shared" ca="1" si="0"/>
        <v>1E-3</v>
      </c>
      <c r="I65" s="1365" t="s">
        <v>867</v>
      </c>
      <c r="J65" s="609">
        <v>40</v>
      </c>
      <c r="K65" s="609">
        <v>30</v>
      </c>
      <c r="L65" s="609">
        <v>50</v>
      </c>
      <c r="M65" s="1367">
        <v>0.02</v>
      </c>
      <c r="O65" s="1323" t="s">
        <v>403</v>
      </c>
      <c r="P65" s="1324" t="s">
        <v>868</v>
      </c>
      <c r="Q65" s="1325">
        <f ca="1">C40+J29</f>
        <v>2708566</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-3043</v>
      </c>
      <c r="D67" s="908" t="s">
        <v>753</v>
      </c>
      <c r="E67" s="913"/>
      <c r="F67" s="914"/>
      <c r="O67" s="1332" t="s">
        <v>405</v>
      </c>
      <c r="P67" s="1324" t="s">
        <v>850</v>
      </c>
      <c r="Q67" s="1368">
        <f ca="1">L51</f>
        <v>1389849</v>
      </c>
      <c r="R67" s="1325" t="s">
        <v>870</v>
      </c>
    </row>
    <row r="68" spans="1:18" s="1290" customFormat="1" ht="16.5" thickBot="1">
      <c r="A68" s="892" t="s">
        <v>395</v>
      </c>
      <c r="B68" s="893" t="s">
        <v>774</v>
      </c>
      <c r="C68" s="292">
        <f ca="1">ROUND(C67*(1-((1+F70)/(1+F68))^F69)/(F68-F70),0)</f>
        <v>-1529</v>
      </c>
      <c r="D68" s="910" t="s">
        <v>758</v>
      </c>
      <c r="E68" s="895" t="s">
        <v>759</v>
      </c>
      <c r="F68" s="303">
        <f ca="1">F40</f>
        <v>0.04</v>
      </c>
      <c r="O68" s="1332" t="s">
        <v>406</v>
      </c>
      <c r="P68" s="1369" t="s">
        <v>871</v>
      </c>
      <c r="Q68" s="1325">
        <f ca="1">ROUND(Q69-Q70*Q71,0)</f>
        <v>62698</v>
      </c>
      <c r="R68" s="1325" t="s">
        <v>414</v>
      </c>
    </row>
    <row r="69" spans="1:18" s="1290" customFormat="1" ht="13.5" thickBot="1">
      <c r="A69" s="896"/>
      <c r="B69" s="897"/>
      <c r="C69" s="297"/>
      <c r="D69" s="915" t="s">
        <v>762</v>
      </c>
      <c r="E69" s="895" t="s">
        <v>763</v>
      </c>
      <c r="F69" s="323">
        <f ca="1">F41</f>
        <v>0.52</v>
      </c>
      <c r="O69" s="1332" t="s">
        <v>411</v>
      </c>
      <c r="P69" s="1369" t="s">
        <v>872</v>
      </c>
      <c r="Q69" s="1325">
        <f ca="1">C39</f>
        <v>75899</v>
      </c>
      <c r="R69" s="1325" t="s">
        <v>818</v>
      </c>
    </row>
    <row r="70" spans="1:18" s="1290" customFormat="1" ht="13.5" thickBot="1">
      <c r="A70" s="899"/>
      <c r="B70" s="900"/>
      <c r="C70" s="301"/>
      <c r="D70" s="911"/>
      <c r="E70" s="895" t="s">
        <v>766</v>
      </c>
      <c r="F70" s="990">
        <f ca="1">M28</f>
        <v>0.02</v>
      </c>
      <c r="O70" s="1332" t="s">
        <v>412</v>
      </c>
      <c r="P70" s="1369" t="s">
        <v>873</v>
      </c>
      <c r="Q70" s="1325">
        <f ca="1">C13</f>
        <v>264013</v>
      </c>
      <c r="R70" s="1325" t="s">
        <v>818</v>
      </c>
    </row>
    <row r="71" spans="1:18" s="1290" customFormat="1" ht="13.5" thickBot="1">
      <c r="A71" s="916" t="s">
        <v>396</v>
      </c>
      <c r="B71" s="917" t="s">
        <v>776</v>
      </c>
      <c r="C71" s="326">
        <f ca="1">ROUND(C68/F71,0)</f>
        <v>-31</v>
      </c>
      <c r="D71" s="918" t="s">
        <v>777</v>
      </c>
      <c r="E71" s="919" t="s">
        <v>778</v>
      </c>
      <c r="F71" s="329">
        <f ca="1">F43</f>
        <v>49.92</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13201</v>
      </c>
      <c r="D75" s="1290"/>
      <c r="E75" s="1290"/>
      <c r="F75" s="1290"/>
      <c r="K75" s="1307"/>
      <c r="L75" s="1290"/>
      <c r="O75" s="1323" t="s">
        <v>409</v>
      </c>
      <c r="P75" s="1324" t="s">
        <v>838</v>
      </c>
      <c r="Q75" s="1325">
        <f ca="1">Q65+Q66</f>
        <v>2708566</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0.82600000000000007</v>
      </c>
    </row>
    <row r="80" spans="1:18">
      <c r="B80" s="330" t="s">
        <v>800</v>
      </c>
      <c r="C80" s="265">
        <f ca="1">ROUND(C75/C39,3)</f>
        <v>0.17399999999999999</v>
      </c>
    </row>
    <row r="81" spans="2:3">
      <c r="B81" s="261" t="s">
        <v>801</v>
      </c>
      <c r="C81" s="229"/>
    </row>
    <row r="82" spans="2:3">
      <c r="B82" s="264" t="s">
        <v>802</v>
      </c>
      <c r="C82" s="266">
        <f ca="1">1-C83</f>
        <v>-5.9249999999999998</v>
      </c>
    </row>
    <row r="83" spans="2:3">
      <c r="B83" s="264" t="s">
        <v>803</v>
      </c>
      <c r="C83" s="265">
        <f ca="1">ROUND(C13/C40,3)</f>
        <v>6.9249999999999998</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381" t="s">
        <v>2315</v>
      </c>
      <c r="K2" s="3382"/>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383" t="s">
        <v>2325</v>
      </c>
      <c r="K3" s="3384"/>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383" t="s">
        <v>2327</v>
      </c>
      <c r="K4" s="3384"/>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385" t="s">
        <v>2331</v>
      </c>
      <c r="B6" s="3386"/>
      <c r="C6" s="3387"/>
      <c r="D6" s="2615"/>
      <c r="E6" s="2616"/>
      <c r="F6" s="2617"/>
      <c r="G6" s="2618"/>
      <c r="H6" s="2593"/>
      <c r="I6" s="2594"/>
      <c r="J6" s="3388">
        <v>1</v>
      </c>
      <c r="K6" s="3389"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388"/>
      <c r="K7" s="3390"/>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392" t="s">
        <v>2345</v>
      </c>
      <c r="C8" s="3393"/>
      <c r="D8" s="2634" t="s">
        <v>2346</v>
      </c>
      <c r="E8" s="2635" t="s">
        <v>2347</v>
      </c>
      <c r="F8" s="2636" t="s">
        <v>2348</v>
      </c>
      <c r="G8" s="2637"/>
      <c r="H8" s="2593"/>
      <c r="I8" s="2594"/>
      <c r="J8" s="3388"/>
      <c r="K8" s="3390"/>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392" t="s">
        <v>2351</v>
      </c>
      <c r="C9" s="3393"/>
      <c r="D9" s="2634">
        <f>ROUND(D6*E9,0)</f>
        <v>0</v>
      </c>
      <c r="E9" s="2638"/>
      <c r="F9" s="2639" t="s">
        <v>2352</v>
      </c>
      <c r="G9" s="2618"/>
      <c r="H9" s="2593"/>
      <c r="I9" s="2594"/>
      <c r="J9" s="3388"/>
      <c r="K9" s="3390"/>
      <c r="L9" s="2628" t="s">
        <v>2353</v>
      </c>
      <c r="M9" s="2629"/>
      <c r="N9" s="2605"/>
      <c r="O9" s="2630"/>
      <c r="P9" s="2630"/>
      <c r="Q9" s="2631">
        <v>365</v>
      </c>
      <c r="R9" s="2632">
        <f t="shared" si="0"/>
        <v>0</v>
      </c>
      <c r="S9" s="2586"/>
      <c r="T9" s="2586"/>
      <c r="U9" s="2586"/>
      <c r="V9" s="2594"/>
    </row>
    <row r="10" spans="1:22" s="2598" customFormat="1" ht="13.15" customHeight="1">
      <c r="A10" s="2633">
        <v>2</v>
      </c>
      <c r="B10" s="3392" t="s">
        <v>2354</v>
      </c>
      <c r="C10" s="3393"/>
      <c r="D10" s="2634">
        <f>ROUND(D6*E10,0)</f>
        <v>0</v>
      </c>
      <c r="E10" s="2638"/>
      <c r="F10" s="2639" t="s">
        <v>2355</v>
      </c>
      <c r="G10" s="2618"/>
      <c r="H10" s="2593"/>
      <c r="I10" s="2594"/>
      <c r="J10" s="3388"/>
      <c r="K10" s="3390"/>
      <c r="L10" s="2628" t="s">
        <v>2356</v>
      </c>
      <c r="M10" s="2629"/>
      <c r="N10" s="2605"/>
      <c r="O10" s="2630"/>
      <c r="P10" s="2630"/>
      <c r="Q10" s="2631">
        <v>365</v>
      </c>
      <c r="R10" s="2632">
        <f t="shared" si="0"/>
        <v>0</v>
      </c>
      <c r="S10" s="2586"/>
      <c r="T10" s="2586"/>
      <c r="U10" s="2586"/>
      <c r="V10" s="2594"/>
    </row>
    <row r="11" spans="1:22" s="2598" customFormat="1" ht="13.15" customHeight="1">
      <c r="A11" s="2633">
        <v>3</v>
      </c>
      <c r="B11" s="3392" t="s">
        <v>2357</v>
      </c>
      <c r="C11" s="3393"/>
      <c r="D11" s="2634">
        <f>D12+D14+D15+D16</f>
        <v>0</v>
      </c>
      <c r="E11" s="2640" t="e">
        <f>D11/D6</f>
        <v>#DIV/0!</v>
      </c>
      <c r="F11" s="2636"/>
      <c r="G11" s="2637"/>
      <c r="H11" s="2593"/>
      <c r="I11" s="2594"/>
      <c r="J11" s="3388"/>
      <c r="K11" s="3390"/>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394" t="s">
        <v>2360</v>
      </c>
      <c r="C12" s="3395"/>
      <c r="D12" s="2642">
        <f>ROUND(D13*1.2%*(1-30%),0)</f>
        <v>0</v>
      </c>
      <c r="E12" s="2643">
        <v>1.2E-2</v>
      </c>
      <c r="F12" s="2636" t="s">
        <v>2361</v>
      </c>
      <c r="G12" s="2637"/>
      <c r="H12" s="2593"/>
      <c r="I12" s="2594"/>
      <c r="J12" s="3388"/>
      <c r="K12" s="3390"/>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388"/>
      <c r="K13" s="3390"/>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394" t="s">
        <v>2366</v>
      </c>
      <c r="C14" s="3395"/>
      <c r="D14" s="2642">
        <f>ROUND(E14*B5/10000,0)</f>
        <v>0</v>
      </c>
      <c r="E14" s="2631"/>
      <c r="F14" s="2636" t="s">
        <v>2367</v>
      </c>
      <c r="G14" s="2637"/>
      <c r="H14" s="2593"/>
      <c r="I14" s="2594"/>
      <c r="J14" s="3388"/>
      <c r="K14" s="3391"/>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394" t="s">
        <v>2370</v>
      </c>
      <c r="C15" s="3395"/>
      <c r="D15" s="2642">
        <f>ROUND(D6*E15,0)</f>
        <v>0</v>
      </c>
      <c r="E15" s="2643">
        <v>5.5E-2</v>
      </c>
      <c r="F15" s="2636" t="s">
        <v>2371</v>
      </c>
      <c r="G15" s="2618"/>
      <c r="H15" s="2593"/>
      <c r="I15" s="2594"/>
      <c r="J15" s="3388">
        <v>2</v>
      </c>
      <c r="K15" s="3389"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394" t="s">
        <v>2379</v>
      </c>
      <c r="C16" s="3395"/>
      <c r="D16" s="2653">
        <f>D6*E16</f>
        <v>0</v>
      </c>
      <c r="E16" s="2654"/>
      <c r="F16" s="2639" t="s">
        <v>2380</v>
      </c>
      <c r="G16" s="2618"/>
      <c r="H16" s="2593"/>
      <c r="I16" s="2594"/>
      <c r="J16" s="3388"/>
      <c r="K16" s="3390"/>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396" t="s">
        <v>2382</v>
      </c>
      <c r="C17" s="3397"/>
      <c r="D17" s="2656">
        <f>ROUND(D6*E17,0)</f>
        <v>0</v>
      </c>
      <c r="E17" s="2657"/>
      <c r="F17" s="2658" t="s">
        <v>2383</v>
      </c>
      <c r="G17" s="2618"/>
      <c r="H17" s="2593"/>
      <c r="I17" s="2594"/>
      <c r="J17" s="3388"/>
      <c r="K17" s="3390"/>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388"/>
      <c r="K18" s="3390"/>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388"/>
      <c r="K19" s="3391"/>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388">
        <v>3</v>
      </c>
      <c r="K20" s="3389"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388"/>
      <c r="K21" s="3390"/>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388"/>
      <c r="K22" s="3390"/>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388"/>
      <c r="K23" s="3390"/>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388"/>
      <c r="K24" s="3391"/>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398">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399"/>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381" t="s">
        <v>2315</v>
      </c>
      <c r="K32" s="3382"/>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383" t="s">
        <v>2325</v>
      </c>
      <c r="K33" s="3384"/>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383" t="s">
        <v>2327</v>
      </c>
      <c r="K34" s="3384"/>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388">
        <v>1</v>
      </c>
      <c r="K36" s="3389"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388"/>
      <c r="K37" s="3390"/>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388"/>
      <c r="K38" s="3390"/>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388"/>
      <c r="K39" s="3390"/>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388"/>
      <c r="K40" s="3391"/>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398">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399"/>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270.85660000000001</v>
      </c>
      <c r="C2" s="1727" t="s">
        <v>1651</v>
      </c>
      <c r="D2" s="1728" t="s">
        <v>1652</v>
      </c>
      <c r="E2" s="2387">
        <f>SUM(E6:E13)</f>
        <v>49.92</v>
      </c>
      <c r="F2" s="2474"/>
      <c r="G2" s="458"/>
      <c r="H2" s="458"/>
      <c r="I2" s="458"/>
      <c r="J2" s="458"/>
      <c r="K2" s="458"/>
      <c r="L2" s="458"/>
      <c r="M2" s="458"/>
      <c r="N2" s="458"/>
      <c r="O2" s="458"/>
      <c r="P2" s="458"/>
      <c r="Q2" s="458"/>
      <c r="R2" s="458"/>
      <c r="S2" s="458"/>
    </row>
    <row r="3" spans="1:22" ht="15.75">
      <c r="A3" s="1726" t="s">
        <v>686</v>
      </c>
      <c r="B3" s="2381">
        <f ca="1">ROUND(B2*10000/E2,0)</f>
        <v>54258</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00" t="s">
        <v>1654</v>
      </c>
      <c r="C5" s="3401"/>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270.85660000000001</v>
      </c>
      <c r="C6" s="1727" t="s">
        <v>1651</v>
      </c>
      <c r="D6" s="2474"/>
      <c r="E6" s="2386">
        <f>IF(OR(A6=0,F6="否"),0,'数据-取费表'!K6+'数据-取费表'!S6)</f>
        <v>49.92</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8" zoomScale="90" zoomScaleNormal="60" zoomScaleSheetLayoutView="90" workbookViewId="0">
      <selection activeCell="I127" sqref="I127"/>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382.64679999999998</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76652</v>
      </c>
      <c r="C3" s="343" t="s">
        <v>1665</v>
      </c>
      <c r="D3" s="342">
        <f>IF(D1="",'数据-汇总表'!E3,SUMIF('数据-汇总表'!$C19:$C33,D1,'数据-汇总表'!$E19:$E33))</f>
        <v>49.92</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21" t="s">
        <v>1667</v>
      </c>
      <c r="D4" s="3422"/>
      <c r="E4" s="3423" t="s">
        <v>1668</v>
      </c>
      <c r="F4" s="3424"/>
      <c r="G4" s="3421" t="s">
        <v>1669</v>
      </c>
      <c r="H4" s="3422"/>
      <c r="I4" s="3421" t="s">
        <v>1670</v>
      </c>
      <c r="J4" s="3422"/>
      <c r="K4" s="1742" t="s">
        <v>1671</v>
      </c>
      <c r="L4" s="2481"/>
      <c r="M4" s="2482"/>
      <c r="N4" s="2482"/>
      <c r="O4" s="2482"/>
      <c r="P4" s="3425" t="s">
        <v>1672</v>
      </c>
      <c r="Q4" s="3426"/>
      <c r="R4" s="3407" t="s">
        <v>1668</v>
      </c>
      <c r="S4" s="3408"/>
      <c r="T4" s="3407" t="s">
        <v>1669</v>
      </c>
      <c r="U4" s="3408"/>
      <c r="V4" s="3433" t="s">
        <v>1670</v>
      </c>
      <c r="W4" s="3433"/>
      <c r="X4" s="1263"/>
      <c r="Y4" s="3407" t="s">
        <v>1672</v>
      </c>
      <c r="Z4" s="3408"/>
      <c r="AA4" s="3402" t="s">
        <v>1668</v>
      </c>
      <c r="AB4" s="3402" t="s">
        <v>1669</v>
      </c>
      <c r="AC4" s="3402" t="s">
        <v>1670</v>
      </c>
    </row>
    <row r="5" spans="1:29" ht="15">
      <c r="A5" s="347"/>
      <c r="B5" s="348"/>
      <c r="C5" s="3413" t="s">
        <v>3474</v>
      </c>
      <c r="D5" s="3414"/>
      <c r="E5" s="3411" t="str">
        <f>案例!C2</f>
        <v>芳怡园</v>
      </c>
      <c r="F5" s="3412"/>
      <c r="G5" s="3417" t="str">
        <f>案例!C3</f>
        <v>芳怡园</v>
      </c>
      <c r="H5" s="3414"/>
      <c r="I5" s="3417" t="str">
        <f>案例!C4</f>
        <v>芳怡园</v>
      </c>
      <c r="J5" s="3414"/>
      <c r="K5" s="1743"/>
      <c r="L5" s="2481"/>
      <c r="M5" s="2482"/>
      <c r="N5" s="2482"/>
      <c r="O5" s="2482"/>
      <c r="P5" s="3427"/>
      <c r="Q5" s="3428"/>
      <c r="R5" s="3409"/>
      <c r="S5" s="3410"/>
      <c r="T5" s="3409"/>
      <c r="U5" s="3410"/>
      <c r="V5" s="3433"/>
      <c r="W5" s="3433"/>
      <c r="X5" s="1263"/>
      <c r="Y5" s="3409"/>
      <c r="Z5" s="3410"/>
      <c r="AA5" s="3403"/>
      <c r="AB5" s="3403"/>
      <c r="AC5" s="3403"/>
    </row>
    <row r="6" spans="1:29" ht="15.75" thickBot="1">
      <c r="A6" s="349"/>
      <c r="B6" s="350"/>
      <c r="C6" s="3415" t="s">
        <v>1677</v>
      </c>
      <c r="D6" s="3416"/>
      <c r="E6" s="3418" t="s">
        <v>1677</v>
      </c>
      <c r="F6" s="3419"/>
      <c r="G6" s="3415" t="s">
        <v>1677</v>
      </c>
      <c r="H6" s="3416"/>
      <c r="I6" s="3415" t="s">
        <v>1677</v>
      </c>
      <c r="J6" s="3416"/>
      <c r="K6" s="1743" t="s">
        <v>1678</v>
      </c>
      <c r="L6" s="2481"/>
      <c r="M6" s="2482"/>
      <c r="N6" s="2482"/>
      <c r="O6" s="2482"/>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f>案例!L2</f>
        <v>45576</v>
      </c>
      <c r="F7" s="356">
        <f>SUMIF(58:58,YEAR(E7)&amp;"-"&amp;MONTH(E7),59:59)</f>
        <v>100</v>
      </c>
      <c r="G7" s="355">
        <f>案例!L3</f>
        <v>45499</v>
      </c>
      <c r="H7" s="354">
        <f>SUMIF(58:58,YEAR(G7)&amp;"-"&amp;MONTH(G7),59:59)</f>
        <v>100.5</v>
      </c>
      <c r="I7" s="355">
        <f>案例!L4</f>
        <v>45493</v>
      </c>
      <c r="J7" s="354">
        <f>SUMIF(58:58,YEAR(I7)&amp;"-"&amp;MONTH(I7),59:59)</f>
        <v>100.5</v>
      </c>
      <c r="K7" s="3175"/>
      <c r="L7" s="2483"/>
      <c r="M7" s="2434"/>
      <c r="N7" s="2434"/>
      <c r="O7" s="2434"/>
      <c r="P7" s="3405" t="s">
        <v>1680</v>
      </c>
      <c r="Q7" s="3434"/>
      <c r="R7" s="663" t="s">
        <v>20</v>
      </c>
      <c r="S7" s="664">
        <f t="shared" ref="S7:S15" si="0">F7</f>
        <v>100</v>
      </c>
      <c r="T7" s="663" t="s">
        <v>20</v>
      </c>
      <c r="U7" s="664">
        <f t="shared" ref="U7:U15" si="1">H7</f>
        <v>100.5</v>
      </c>
      <c r="V7" s="663" t="s">
        <v>20</v>
      </c>
      <c r="W7" s="664">
        <f t="shared" ref="W7:W15" si="2">J7</f>
        <v>100.5</v>
      </c>
      <c r="X7" s="665"/>
      <c r="Y7" s="3405" t="s">
        <v>1680</v>
      </c>
      <c r="Z7" s="3406"/>
      <c r="AA7" s="50">
        <f>D7/F7</f>
        <v>1</v>
      </c>
      <c r="AB7" s="50">
        <f>D7/H7</f>
        <v>0.99502487562189057</v>
      </c>
      <c r="AC7" s="50">
        <f>D7/J7</f>
        <v>0.99502487562189057</v>
      </c>
    </row>
    <row r="8" spans="1:29" s="101" customFormat="1" ht="15.75" thickBot="1">
      <c r="A8" s="351" t="s">
        <v>1681</v>
      </c>
      <c r="B8" s="352"/>
      <c r="C8" s="357" t="s">
        <v>3420</v>
      </c>
      <c r="D8" s="354">
        <v>100</v>
      </c>
      <c r="E8" s="357" t="s">
        <v>3420</v>
      </c>
      <c r="F8" s="356">
        <f>SUMIF(61:61,E8,62:62)-SUMIF(61:61,C8,62:62)+100</f>
        <v>100</v>
      </c>
      <c r="G8" s="357" t="s">
        <v>3420</v>
      </c>
      <c r="H8" s="354">
        <f>SUMIF(61:61,G8,62:62)-SUMIF(61:61,C8,62:62)+100</f>
        <v>100</v>
      </c>
      <c r="I8" s="357" t="s">
        <v>3420</v>
      </c>
      <c r="J8" s="354">
        <f>SUMIF(61:61,I8,62:62)-SUMIF(61:61,C8,62:62)+100</f>
        <v>100</v>
      </c>
      <c r="K8" s="1744"/>
      <c r="L8" s="2483"/>
      <c r="M8" s="2434"/>
      <c r="N8" s="2434"/>
      <c r="O8" s="2434"/>
      <c r="P8" s="3405" t="s">
        <v>1683</v>
      </c>
      <c r="Q8" s="3406"/>
      <c r="R8" s="663" t="s">
        <v>20</v>
      </c>
      <c r="S8" s="664">
        <f t="shared" si="0"/>
        <v>100</v>
      </c>
      <c r="T8" s="663" t="s">
        <v>20</v>
      </c>
      <c r="U8" s="664">
        <f t="shared" si="1"/>
        <v>100</v>
      </c>
      <c r="V8" s="663" t="s">
        <v>20</v>
      </c>
      <c r="W8" s="664">
        <f t="shared" si="2"/>
        <v>100</v>
      </c>
      <c r="X8" s="665"/>
      <c r="Y8" s="3405" t="s">
        <v>1683</v>
      </c>
      <c r="Z8" s="3406"/>
      <c r="AA8" s="50">
        <f t="shared" ref="AA8:AA19" si="3">D8/F8</f>
        <v>1</v>
      </c>
      <c r="AB8" s="50">
        <f t="shared" ref="AB8:AB19" si="4">D8/H8</f>
        <v>1</v>
      </c>
      <c r="AC8" s="50">
        <f t="shared" ref="AC8:AC19" si="5">D8/J8</f>
        <v>1</v>
      </c>
    </row>
    <row r="9" spans="1:29" s="101" customFormat="1">
      <c r="A9" s="358" t="s">
        <v>1684</v>
      </c>
      <c r="B9" s="60" t="s">
        <v>1685</v>
      </c>
      <c r="C9" s="3153" t="s">
        <v>3424</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20"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50">
        <f t="shared" si="5"/>
        <v>1</v>
      </c>
    </row>
    <row r="10" spans="1:29" s="365" customFormat="1" ht="15.75" thickBot="1">
      <c r="A10" s="362"/>
      <c r="B10" s="3173" t="s">
        <v>3453</v>
      </c>
      <c r="C10" s="3179" t="s">
        <v>3455</v>
      </c>
      <c r="D10" s="118">
        <v>100</v>
      </c>
      <c r="E10" s="3176" t="s">
        <v>3454</v>
      </c>
      <c r="F10" s="363">
        <f>SUMIF(65:65,E10,66:66)-SUMIF(65:65,C10,66:66)+100</f>
        <v>100</v>
      </c>
      <c r="G10" s="3176" t="s">
        <v>3454</v>
      </c>
      <c r="H10" s="118">
        <f>SUMIF(65:65,G10,66:66)-SUMIF(65:65,C10,66:66)+100</f>
        <v>100</v>
      </c>
      <c r="I10" s="3176" t="s">
        <v>3454</v>
      </c>
      <c r="J10" s="118">
        <f>SUMIF(65:65,I10,66:66)-SUMIF(65:65,C10,66:66)+100</f>
        <v>100</v>
      </c>
      <c r="K10" s="1744"/>
      <c r="L10" s="2484"/>
      <c r="M10" s="2485"/>
      <c r="N10" s="2485"/>
      <c r="O10" s="2485"/>
      <c r="P10" s="3420"/>
      <c r="Q10" s="529" t="str">
        <f t="shared" si="6"/>
        <v>房屋性质</v>
      </c>
      <c r="R10" s="663" t="s">
        <v>14</v>
      </c>
      <c r="S10" s="664">
        <f t="shared" si="0"/>
        <v>100</v>
      </c>
      <c r="T10" s="663" t="s">
        <v>14</v>
      </c>
      <c r="U10" s="664">
        <f t="shared" si="1"/>
        <v>100</v>
      </c>
      <c r="V10" s="663" t="s">
        <v>14</v>
      </c>
      <c r="W10" s="664">
        <f t="shared" si="2"/>
        <v>100</v>
      </c>
      <c r="X10" s="665"/>
      <c r="Y10" s="3349"/>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20"/>
      <c r="Q11" s="529" t="str">
        <f t="shared" si="6"/>
        <v>容积率</v>
      </c>
      <c r="R11" s="663" t="s">
        <v>18</v>
      </c>
      <c r="S11" s="664">
        <f t="shared" si="0"/>
        <v>100</v>
      </c>
      <c r="T11" s="663" t="s">
        <v>18</v>
      </c>
      <c r="U11" s="664">
        <f t="shared" si="1"/>
        <v>100</v>
      </c>
      <c r="V11" s="663" t="s">
        <v>18</v>
      </c>
      <c r="W11" s="664">
        <f t="shared" si="2"/>
        <v>100</v>
      </c>
      <c r="X11" s="665"/>
      <c r="Y11" s="3349"/>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20"/>
      <c r="Q12" s="529">
        <f t="shared" si="6"/>
        <v>111</v>
      </c>
      <c r="R12" s="663" t="s">
        <v>18</v>
      </c>
      <c r="S12" s="664">
        <f t="shared" si="0"/>
        <v>100</v>
      </c>
      <c r="T12" s="663" t="s">
        <v>18</v>
      </c>
      <c r="U12" s="664">
        <f t="shared" si="1"/>
        <v>100</v>
      </c>
      <c r="V12" s="663" t="s">
        <v>18</v>
      </c>
      <c r="W12" s="664">
        <f t="shared" si="2"/>
        <v>100</v>
      </c>
      <c r="X12" s="665"/>
      <c r="Y12" s="3349"/>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20"/>
      <c r="Q13" s="529">
        <f t="shared" si="6"/>
        <v>111</v>
      </c>
      <c r="R13" s="663" t="s">
        <v>18</v>
      </c>
      <c r="S13" s="664">
        <f t="shared" si="0"/>
        <v>100</v>
      </c>
      <c r="T13" s="663" t="s">
        <v>18</v>
      </c>
      <c r="U13" s="664">
        <f t="shared" si="1"/>
        <v>100</v>
      </c>
      <c r="V13" s="663" t="s">
        <v>18</v>
      </c>
      <c r="W13" s="664">
        <f t="shared" si="2"/>
        <v>100</v>
      </c>
      <c r="X13" s="665"/>
      <c r="Y13" s="3349"/>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20"/>
      <c r="Q14" s="529">
        <f t="shared" si="6"/>
        <v>111</v>
      </c>
      <c r="R14" s="663" t="s">
        <v>18</v>
      </c>
      <c r="S14" s="664">
        <f t="shared" si="0"/>
        <v>100</v>
      </c>
      <c r="T14" s="663" t="s">
        <v>18</v>
      </c>
      <c r="U14" s="664">
        <f t="shared" si="1"/>
        <v>100</v>
      </c>
      <c r="V14" s="663" t="s">
        <v>18</v>
      </c>
      <c r="W14" s="664">
        <f t="shared" si="2"/>
        <v>100</v>
      </c>
      <c r="X14" s="665"/>
      <c r="Y14" s="3349"/>
      <c r="Z14" s="50">
        <f t="shared" si="7"/>
        <v>111</v>
      </c>
      <c r="AA14" s="50">
        <f t="shared" si="3"/>
        <v>1</v>
      </c>
      <c r="AB14" s="50">
        <f t="shared" si="4"/>
        <v>1</v>
      </c>
      <c r="AC14" s="50">
        <f t="shared" si="5"/>
        <v>1</v>
      </c>
    </row>
    <row r="15" spans="1:29" ht="41.25" customHeight="1">
      <c r="A15" s="378" t="s">
        <v>1690</v>
      </c>
      <c r="B15" s="58" t="s">
        <v>1257</v>
      </c>
      <c r="C15" s="1747" t="str">
        <f>估价对象房地状况!C3</f>
        <v>周边有如园、景和园、冬晴园、百旺茉莉园等住宅小区，居住社区成熟度较好。</v>
      </c>
      <c r="D15" s="379">
        <v>100</v>
      </c>
      <c r="E15" s="3156" t="str">
        <f>估价对象房地状况!C3</f>
        <v>周边有如园、景和园、冬晴园、百旺茉莉园等住宅小区，居住社区成熟度较好。</v>
      </c>
      <c r="F15" s="379">
        <f>SUMIF(76:76,E16,77:77)-SUMIF(76:76,C16,77:77)+100</f>
        <v>100</v>
      </c>
      <c r="G15" s="3156" t="str">
        <f>C15</f>
        <v>周边有如园、景和园、冬晴园、百旺茉莉园等住宅小区，居住社区成熟度较好。</v>
      </c>
      <c r="H15" s="379">
        <f>SUMIF(76:76,G16,77:77)-SUMIF(76:76,C16,77:77)+100</f>
        <v>100</v>
      </c>
      <c r="I15" s="3156" t="str">
        <f>G15</f>
        <v>周边有如园、景和园、冬晴园、百旺茉莉园等住宅小区，居住社区成熟度较好。</v>
      </c>
      <c r="J15" s="379">
        <f>SUMIF(76:76,I16,77:77)-SUMIF(76:76,C16,77:77)+100</f>
        <v>100</v>
      </c>
      <c r="K15" s="383"/>
      <c r="L15" s="2487"/>
      <c r="M15" s="2482"/>
      <c r="N15" s="2482"/>
      <c r="O15" s="2482"/>
      <c r="P15" s="3446" t="s">
        <v>1691</v>
      </c>
      <c r="Q15" s="1261" t="str">
        <f t="shared" si="6"/>
        <v>居住社区成熟度</v>
      </c>
      <c r="R15" s="666" t="s">
        <v>18</v>
      </c>
      <c r="S15" s="667">
        <f t="shared" si="0"/>
        <v>100</v>
      </c>
      <c r="T15" s="666" t="s">
        <v>18</v>
      </c>
      <c r="U15" s="667">
        <f t="shared" si="1"/>
        <v>100</v>
      </c>
      <c r="V15" s="666" t="s">
        <v>18</v>
      </c>
      <c r="W15" s="667">
        <f t="shared" si="2"/>
        <v>100</v>
      </c>
      <c r="X15" s="1263"/>
      <c r="Y15" s="3439"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47"/>
      <c r="Q16" s="1261"/>
      <c r="R16" s="666"/>
      <c r="S16" s="667"/>
      <c r="T16" s="666"/>
      <c r="U16" s="667"/>
      <c r="V16" s="666"/>
      <c r="W16" s="667"/>
      <c r="X16" s="1263"/>
      <c r="Y16" s="3440"/>
      <c r="Z16" s="1262"/>
      <c r="AA16" s="1262">
        <v>1</v>
      </c>
      <c r="AB16" s="1262">
        <v>1</v>
      </c>
      <c r="AC16" s="1262">
        <v>1</v>
      </c>
    </row>
    <row r="17" spans="1:29" ht="34.5" customHeight="1">
      <c r="A17" s="366"/>
      <c r="B17" s="389" t="s">
        <v>1259</v>
      </c>
      <c r="C17" s="1751" t="str">
        <f>估价对象房地状况!C6</f>
        <v>周边有333路、908路、909路等多条公交线路及地铁16号线西北旺站，综合评价交通便捷度较好</v>
      </c>
      <c r="D17" s="388">
        <v>100</v>
      </c>
      <c r="E17" s="3169" t="str">
        <f>C17</f>
        <v>周边有333路、908路、909路等多条公交线路及地铁16号线西北旺站，综合评价交通便捷度较好</v>
      </c>
      <c r="F17" s="388">
        <f>SUMIF(78:78,E18,79:79)-SUMIF(78:78,C18,79:79)+100</f>
        <v>100</v>
      </c>
      <c r="G17" s="3169" t="str">
        <f>E17</f>
        <v>周边有333路、908路、909路等多条公交线路及地铁16号线西北旺站，综合评价交通便捷度较好</v>
      </c>
      <c r="H17" s="393">
        <f>SUMIF(78:78,G18,79:79)-SUMIF(78:78,C18,79:79)+100</f>
        <v>100</v>
      </c>
      <c r="I17" s="3170" t="str">
        <f>E17</f>
        <v>周边有333路、908路、909路等多条公交线路及地铁16号线西北旺站，综合评价交通便捷度较好</v>
      </c>
      <c r="J17" s="393">
        <f>SUMIF(78:78,I18,79:79)-SUMIF(78:78,C18,79:79)+100</f>
        <v>100</v>
      </c>
      <c r="K17" s="383"/>
      <c r="L17" s="2487"/>
      <c r="M17" s="2482"/>
      <c r="N17" s="2482"/>
      <c r="O17" s="2482"/>
      <c r="P17" s="3447"/>
      <c r="Q17" s="1261" t="str">
        <f>B17</f>
        <v>交通便捷度</v>
      </c>
      <c r="R17" s="666" t="s">
        <v>18</v>
      </c>
      <c r="S17" s="667">
        <f>F17</f>
        <v>100</v>
      </c>
      <c r="T17" s="666" t="s">
        <v>18</v>
      </c>
      <c r="U17" s="667">
        <f>H17</f>
        <v>100</v>
      </c>
      <c r="V17" s="666" t="s">
        <v>18</v>
      </c>
      <c r="W17" s="667">
        <f>J17</f>
        <v>100</v>
      </c>
      <c r="X17" s="1263"/>
      <c r="Y17" s="3440"/>
      <c r="Z17" s="1262" t="str">
        <f>Q17</f>
        <v>交通便捷度</v>
      </c>
      <c r="AA17" s="1262">
        <f t="shared" si="3"/>
        <v>1</v>
      </c>
      <c r="AB17" s="1262">
        <f t="shared" si="4"/>
        <v>1</v>
      </c>
      <c r="AC17" s="1262">
        <f t="shared" si="5"/>
        <v>1</v>
      </c>
    </row>
    <row r="18" spans="1:29" ht="15">
      <c r="A18" s="366"/>
      <c r="B18" s="394"/>
      <c r="C18" s="1752" t="s">
        <v>3406</v>
      </c>
      <c r="D18" s="388"/>
      <c r="E18" s="1752" t="s">
        <v>3406</v>
      </c>
      <c r="F18" s="388"/>
      <c r="G18" s="1752" t="s">
        <v>3406</v>
      </c>
      <c r="H18" s="386"/>
      <c r="I18" s="1752" t="s">
        <v>3406</v>
      </c>
      <c r="J18" s="386"/>
      <c r="K18" s="1750"/>
      <c r="L18" s="2487"/>
      <c r="M18" s="2482"/>
      <c r="N18" s="2482"/>
      <c r="O18" s="2482"/>
      <c r="P18" s="3447"/>
      <c r="Q18" s="1261"/>
      <c r="R18" s="666"/>
      <c r="S18" s="667"/>
      <c r="T18" s="666"/>
      <c r="U18" s="667"/>
      <c r="V18" s="666"/>
      <c r="W18" s="667"/>
      <c r="X18" s="1263"/>
      <c r="Y18" s="3440"/>
      <c r="Z18" s="1262"/>
      <c r="AA18" s="1262">
        <v>1</v>
      </c>
      <c r="AB18" s="1262">
        <v>1</v>
      </c>
      <c r="AC18" s="1262">
        <v>1</v>
      </c>
    </row>
    <row r="19" spans="1:29" ht="299.25" customHeight="1">
      <c r="A19" s="366"/>
      <c r="B19" s="389" t="s">
        <v>1258</v>
      </c>
      <c r="C19" s="1751"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171" t="s">
        <v>3487</v>
      </c>
      <c r="F19" s="393">
        <f>SUMIF(80:80,E20,81:81)-SUMIF(80:80,C20,81:81)+100</f>
        <v>100</v>
      </c>
      <c r="G19" s="3171" t="s">
        <v>3487</v>
      </c>
      <c r="H19" s="388">
        <f>SUMIF(80:80,G20,81:81)-SUMIF(80:80,C20,81:81)+100</f>
        <v>100</v>
      </c>
      <c r="I19" s="3171" t="s">
        <v>3487</v>
      </c>
      <c r="J19" s="388">
        <f>SUMIF(80:80,I20,81:81)-SUMIF(80:80,C20,81:81)+100</f>
        <v>100</v>
      </c>
      <c r="K19" s="383"/>
      <c r="L19" s="2487"/>
      <c r="M19" s="2482"/>
      <c r="N19" s="2482"/>
      <c r="O19" s="2482"/>
      <c r="P19" s="3447"/>
      <c r="Q19" s="1261" t="str">
        <f>B19</f>
        <v>公共配套设施</v>
      </c>
      <c r="R19" s="666" t="s">
        <v>18</v>
      </c>
      <c r="S19" s="667">
        <f>F19</f>
        <v>100</v>
      </c>
      <c r="T19" s="666" t="s">
        <v>18</v>
      </c>
      <c r="U19" s="667">
        <f>H19</f>
        <v>100</v>
      </c>
      <c r="V19" s="666" t="s">
        <v>18</v>
      </c>
      <c r="W19" s="667">
        <f>J19</f>
        <v>100</v>
      </c>
      <c r="X19" s="1263"/>
      <c r="Y19" s="3440"/>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447"/>
      <c r="Q20" s="1261"/>
      <c r="R20" s="666"/>
      <c r="S20" s="667"/>
      <c r="T20" s="666"/>
      <c r="U20" s="667"/>
      <c r="V20" s="666"/>
      <c r="W20" s="667"/>
      <c r="X20" s="1263"/>
      <c r="Y20" s="3440"/>
      <c r="Z20" s="1262"/>
      <c r="AA20" s="1262">
        <v>1</v>
      </c>
      <c r="AB20" s="1262">
        <v>1</v>
      </c>
      <c r="AC20" s="1262">
        <v>1</v>
      </c>
    </row>
    <row r="21" spans="1:29" ht="28.5">
      <c r="A21" s="366"/>
      <c r="B21" s="585" t="s">
        <v>1260</v>
      </c>
      <c r="C21" s="1751" t="str">
        <f>估价对象房地状况!C8</f>
        <v>估价对象所在区域基础设施水平</v>
      </c>
      <c r="D21" s="388">
        <v>100</v>
      </c>
      <c r="E21" s="3157"/>
      <c r="F21" s="393">
        <f>SUMIF(82:82,E22,83:83)-SUMIF(82:82,C22,83:83)+100</f>
        <v>100</v>
      </c>
      <c r="G21" s="395"/>
      <c r="H21" s="388">
        <f>SUMIF(82:82,G22,83:83)-SUMIF(82:82,C22,83:83)+100</f>
        <v>100</v>
      </c>
      <c r="I21" s="395"/>
      <c r="J21" s="388">
        <f>SUMIF(82:82,I22,83:83)-SUMIF(82:82,C22,83:83)+100</f>
        <v>100</v>
      </c>
      <c r="K21" s="383"/>
      <c r="L21" s="2487"/>
      <c r="M21" s="2482"/>
      <c r="N21" s="2482"/>
      <c r="O21" s="2482"/>
      <c r="P21" s="3447"/>
      <c r="Q21" s="1261" t="str">
        <f>B21</f>
        <v>基础设施水平</v>
      </c>
      <c r="R21" s="666" t="s">
        <v>14</v>
      </c>
      <c r="S21" s="667">
        <f>F21</f>
        <v>100</v>
      </c>
      <c r="T21" s="666" t="s">
        <v>14</v>
      </c>
      <c r="U21" s="667">
        <f>H21</f>
        <v>100</v>
      </c>
      <c r="V21" s="666" t="s">
        <v>14</v>
      </c>
      <c r="W21" s="667">
        <f>J21</f>
        <v>100</v>
      </c>
      <c r="X21" s="1263"/>
      <c r="Y21" s="3440"/>
      <c r="Z21" s="1262" t="str">
        <f>Q21</f>
        <v>基础设施水平</v>
      </c>
      <c r="AA21" s="1262">
        <f>D21/F21</f>
        <v>1</v>
      </c>
      <c r="AB21" s="1262">
        <f>D21/H21</f>
        <v>1</v>
      </c>
      <c r="AC21" s="1262">
        <f>D21/J21</f>
        <v>1</v>
      </c>
    </row>
    <row r="22" spans="1:29" ht="15">
      <c r="A22" s="366"/>
      <c r="B22" s="585"/>
      <c r="C22" s="1752" t="s">
        <v>3411</v>
      </c>
      <c r="D22" s="386"/>
      <c r="E22" s="3163" t="s">
        <v>3411</v>
      </c>
      <c r="F22" s="386"/>
      <c r="G22" s="1752" t="s">
        <v>3411</v>
      </c>
      <c r="H22" s="386"/>
      <c r="I22" s="1752" t="s">
        <v>3411</v>
      </c>
      <c r="J22" s="386"/>
      <c r="K22" s="1756"/>
      <c r="L22" s="2487"/>
      <c r="M22" s="2482"/>
      <c r="N22" s="2482"/>
      <c r="O22" s="2482"/>
      <c r="P22" s="3447"/>
      <c r="Q22" s="1261"/>
      <c r="R22" s="666"/>
      <c r="S22" s="667"/>
      <c r="T22" s="666"/>
      <c r="U22" s="667"/>
      <c r="V22" s="666"/>
      <c r="W22" s="667"/>
      <c r="X22" s="1263"/>
      <c r="Y22" s="3440"/>
      <c r="Z22" s="1262"/>
      <c r="AA22" s="1262">
        <v>1</v>
      </c>
      <c r="AB22" s="1262">
        <v>1</v>
      </c>
      <c r="AC22" s="1262">
        <v>1</v>
      </c>
    </row>
    <row r="23" spans="1:29" ht="71.25">
      <c r="A23" s="366"/>
      <c r="B23" s="389" t="s">
        <v>1261</v>
      </c>
      <c r="C23" s="1751" t="str">
        <f>估价对象房地状况!C9</f>
        <v>自然环境：百望山森林公园、中关村公园等自然景观；
综合评价环境状况较好。</v>
      </c>
      <c r="D23" s="388">
        <v>100</v>
      </c>
      <c r="E23" s="3170" t="str">
        <f>C23</f>
        <v>自然环境：百望山森林公园、中关村公园等自然景观；
综合评价环境状况较好。</v>
      </c>
      <c r="F23" s="388">
        <f>SUMIF(84:84,E24,85:85)-SUMIF(84:84,C24,85:85)+100</f>
        <v>100</v>
      </c>
      <c r="G23" s="3170" t="str">
        <f>C23</f>
        <v>自然环境：百望山森林公园、中关村公园等自然景观；
综合评价环境状况较好。</v>
      </c>
      <c r="H23" s="388">
        <f>SUMIF(84:84,G24,85:85)-SUMIF(84:84,C24,85:85)+100</f>
        <v>100</v>
      </c>
      <c r="I23" s="3170" t="str">
        <f>C23</f>
        <v>自然环境：百望山森林公园、中关村公园等自然景观；
综合评价环境状况较好。</v>
      </c>
      <c r="J23" s="388">
        <f>SUMIF(84:84,I24,85:85)-SUMIF(84:84,C24,85:85)+100</f>
        <v>100</v>
      </c>
      <c r="K23" s="383"/>
      <c r="L23" s="2487"/>
      <c r="M23" s="2482"/>
      <c r="N23" s="2482"/>
      <c r="O23" s="2482"/>
      <c r="P23" s="3447"/>
      <c r="Q23" s="1261" t="str">
        <f>B23</f>
        <v>自然及人文环境</v>
      </c>
      <c r="R23" s="666" t="s">
        <v>18</v>
      </c>
      <c r="S23" s="667">
        <f>F23</f>
        <v>100</v>
      </c>
      <c r="T23" s="666" t="s">
        <v>18</v>
      </c>
      <c r="U23" s="667">
        <f>H23</f>
        <v>100</v>
      </c>
      <c r="V23" s="666" t="s">
        <v>18</v>
      </c>
      <c r="W23" s="667">
        <f>J23</f>
        <v>100</v>
      </c>
      <c r="X23" s="1263"/>
      <c r="Y23" s="3440"/>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47"/>
      <c r="Q24" s="1261"/>
      <c r="R24" s="666"/>
      <c r="S24" s="667"/>
      <c r="T24" s="666"/>
      <c r="U24" s="667"/>
      <c r="V24" s="666"/>
      <c r="W24" s="667"/>
      <c r="X24" s="1263"/>
      <c r="Y24" s="3440"/>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47"/>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40"/>
      <c r="Z25" s="1262" t="str">
        <f>Q25</f>
        <v>楼层-1</v>
      </c>
      <c r="AA25" s="1262">
        <f t="shared" ref="AA25:AA46" si="12">D25/F25</f>
        <v>1</v>
      </c>
      <c r="AB25" s="1262">
        <f t="shared" ref="AB25:AB46" si="13">D25/H25</f>
        <v>1</v>
      </c>
      <c r="AC25" s="1262">
        <f t="shared" ref="AC25:AC46" si="14">D25/J25</f>
        <v>1</v>
      </c>
    </row>
    <row r="26" spans="1:29" ht="15">
      <c r="A26" s="366"/>
      <c r="B26" s="363" t="s">
        <v>1693</v>
      </c>
      <c r="C26" s="398" t="s">
        <v>3488</v>
      </c>
      <c r="D26" s="373">
        <v>100</v>
      </c>
      <c r="E26" s="1757" t="s">
        <v>3481</v>
      </c>
      <c r="F26" s="373">
        <f>SUMIF(88:88,E26,89:89)-SUMIF(88:88,C26,89:89)+100</f>
        <v>102.5</v>
      </c>
      <c r="G26" s="1757" t="s">
        <v>3481</v>
      </c>
      <c r="H26" s="373">
        <f>SUMIF(88:88,G26,89:89)-SUMIF(88:88,C26,89:89)+100</f>
        <v>102.5</v>
      </c>
      <c r="I26" s="1758" t="s">
        <v>3482</v>
      </c>
      <c r="J26" s="373">
        <f>SUMIF(88:88,I26,89:89)-SUMIF(88:88,C26,89:89)+100</f>
        <v>103</v>
      </c>
      <c r="K26" s="364">
        <v>0.5</v>
      </c>
      <c r="L26" s="2487"/>
      <c r="M26" s="2482"/>
      <c r="N26" s="2482"/>
      <c r="O26" s="2482"/>
      <c r="P26" s="3447"/>
      <c r="Q26" s="1261" t="str">
        <f t="shared" si="8"/>
        <v>朝向</v>
      </c>
      <c r="R26" s="666" t="s">
        <v>18</v>
      </c>
      <c r="S26" s="667">
        <f t="shared" si="9"/>
        <v>102.5</v>
      </c>
      <c r="T26" s="666" t="s">
        <v>18</v>
      </c>
      <c r="U26" s="667">
        <f t="shared" si="10"/>
        <v>102.5</v>
      </c>
      <c r="V26" s="666" t="s">
        <v>18</v>
      </c>
      <c r="W26" s="667">
        <f t="shared" si="11"/>
        <v>103</v>
      </c>
      <c r="X26" s="1263"/>
      <c r="Y26" s="3440"/>
      <c r="Z26" s="1262" t="str">
        <f>Q26</f>
        <v>朝向</v>
      </c>
      <c r="AA26" s="1262">
        <f t="shared" si="12"/>
        <v>0.97560975609756095</v>
      </c>
      <c r="AB26" s="1262">
        <f t="shared" si="13"/>
        <v>0.97560975609756095</v>
      </c>
      <c r="AC26" s="1262">
        <f t="shared" si="14"/>
        <v>0.970873786407767</v>
      </c>
    </row>
    <row r="27" spans="1:29" s="101" customFormat="1" ht="15">
      <c r="A27" s="369"/>
      <c r="B27" s="3141" t="s">
        <v>3392</v>
      </c>
      <c r="C27" s="3172" t="s">
        <v>3459</v>
      </c>
      <c r="D27" s="400">
        <v>100</v>
      </c>
      <c r="E27" s="3172" t="s">
        <v>3459</v>
      </c>
      <c r="F27" s="400">
        <f>C91</f>
        <v>100</v>
      </c>
      <c r="G27" s="3172" t="s">
        <v>3475</v>
      </c>
      <c r="H27" s="400">
        <f>D91</f>
        <v>97</v>
      </c>
      <c r="I27" s="3172" t="s">
        <v>3459</v>
      </c>
      <c r="J27" s="400">
        <f>F27</f>
        <v>100</v>
      </c>
      <c r="K27" s="1745"/>
      <c r="L27" s="2483"/>
      <c r="M27" s="2434"/>
      <c r="N27" s="2434"/>
      <c r="O27" s="2434"/>
      <c r="P27" s="3447"/>
      <c r="Q27" s="529" t="str">
        <f t="shared" si="8"/>
        <v>楼层</v>
      </c>
      <c r="R27" s="663" t="s">
        <v>18</v>
      </c>
      <c r="S27" s="664">
        <f t="shared" si="9"/>
        <v>100</v>
      </c>
      <c r="T27" s="663" t="s">
        <v>18</v>
      </c>
      <c r="U27" s="664">
        <f t="shared" si="10"/>
        <v>97</v>
      </c>
      <c r="V27" s="663" t="s">
        <v>18</v>
      </c>
      <c r="W27" s="664">
        <f t="shared" si="11"/>
        <v>100</v>
      </c>
      <c r="X27" s="665"/>
      <c r="Y27" s="3440"/>
      <c r="Z27" s="50" t="str">
        <f>Q27</f>
        <v>楼层</v>
      </c>
      <c r="AA27" s="1262">
        <f t="shared" si="12"/>
        <v>1</v>
      </c>
      <c r="AB27" s="1262">
        <f t="shared" si="13"/>
        <v>1.0309278350515463</v>
      </c>
      <c r="AC27" s="1262">
        <f t="shared" si="14"/>
        <v>1</v>
      </c>
    </row>
    <row r="28" spans="1:29" ht="15" hidden="1">
      <c r="A28" s="366"/>
      <c r="B28" s="3141" t="s">
        <v>3436</v>
      </c>
      <c r="C28" s="3143" t="s">
        <v>3439</v>
      </c>
      <c r="D28" s="373">
        <v>100</v>
      </c>
      <c r="E28" s="3143" t="s">
        <v>3439</v>
      </c>
      <c r="F28" s="373">
        <f>SUMIF(92:92,E28,93:93)-SUMIF(92:92,C28,93:93)+100</f>
        <v>100</v>
      </c>
      <c r="G28" s="3143" t="s">
        <v>3439</v>
      </c>
      <c r="H28" s="373">
        <f>SUMIF(92:92,G28,93:93)-SUMIF(92:92,C28,93:93)+100</f>
        <v>100</v>
      </c>
      <c r="I28" s="3143" t="s">
        <v>3439</v>
      </c>
      <c r="J28" s="373">
        <f>SUMIF(92:92,I28,93:93)-SUMIF(92:92,C28,93:93)+100</f>
        <v>100</v>
      </c>
      <c r="K28" s="1745"/>
      <c r="L28" s="2487"/>
      <c r="M28" s="2482"/>
      <c r="N28" s="2482"/>
      <c r="O28" s="2482"/>
      <c r="P28" s="3447"/>
      <c r="Q28" s="1261" t="str">
        <f t="shared" si="8"/>
        <v>道路级别</v>
      </c>
      <c r="R28" s="666" t="s">
        <v>18</v>
      </c>
      <c r="S28" s="667">
        <f t="shared" si="9"/>
        <v>100</v>
      </c>
      <c r="T28" s="666" t="s">
        <v>18</v>
      </c>
      <c r="U28" s="667">
        <f t="shared" si="10"/>
        <v>100</v>
      </c>
      <c r="V28" s="666" t="s">
        <v>18</v>
      </c>
      <c r="W28" s="667">
        <f t="shared" si="11"/>
        <v>100</v>
      </c>
      <c r="X28" s="1263"/>
      <c r="Y28" s="3440"/>
      <c r="Z28" s="1262" t="str">
        <f t="shared" ref="Z28:Z46" si="15">Q28</f>
        <v>道路级别</v>
      </c>
      <c r="AA28" s="1262">
        <f t="shared" si="12"/>
        <v>1</v>
      </c>
      <c r="AB28" s="1262">
        <f t="shared" si="13"/>
        <v>1</v>
      </c>
      <c r="AC28" s="1262">
        <f t="shared" si="14"/>
        <v>1</v>
      </c>
    </row>
    <row r="29" spans="1:29" ht="15">
      <c r="A29" s="366"/>
      <c r="B29" s="1065">
        <v>111</v>
      </c>
      <c r="C29" s="3172" t="s">
        <v>3489</v>
      </c>
      <c r="D29" s="373">
        <v>100</v>
      </c>
      <c r="E29" s="3172" t="s">
        <v>3489</v>
      </c>
      <c r="F29" s="373">
        <f>SUMIF(94:94,E29,95:95)-SUMIF(94:94,C29,95:95)+100</f>
        <v>100</v>
      </c>
      <c r="G29" s="3172" t="s">
        <v>3490</v>
      </c>
      <c r="H29" s="373">
        <f>SUMIF(94:94,G29,95:95)-SUMIF(94:94,C29,95:95)+100</f>
        <v>100</v>
      </c>
      <c r="I29" s="3172" t="s">
        <v>3491</v>
      </c>
      <c r="J29" s="373">
        <f>SUMIF(94:94,I29,95:95)-SUMIF(94:94,C29,95:95)+100</f>
        <v>100</v>
      </c>
      <c r="K29" s="1745"/>
      <c r="L29" s="2487"/>
      <c r="M29" s="2482"/>
      <c r="N29" s="2482"/>
      <c r="O29" s="2482"/>
      <c r="P29" s="3447"/>
      <c r="Q29" s="1261">
        <f t="shared" si="8"/>
        <v>111</v>
      </c>
      <c r="R29" s="666" t="s">
        <v>18</v>
      </c>
      <c r="S29" s="667">
        <f t="shared" si="9"/>
        <v>100</v>
      </c>
      <c r="T29" s="666" t="s">
        <v>18</v>
      </c>
      <c r="U29" s="667">
        <f t="shared" si="10"/>
        <v>100</v>
      </c>
      <c r="V29" s="666" t="s">
        <v>18</v>
      </c>
      <c r="W29" s="667">
        <f t="shared" si="11"/>
        <v>100</v>
      </c>
      <c r="X29" s="1263"/>
      <c r="Y29" s="3440"/>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47"/>
      <c r="Q30" s="1261">
        <f t="shared" si="8"/>
        <v>111</v>
      </c>
      <c r="R30" s="666" t="s">
        <v>18</v>
      </c>
      <c r="S30" s="667">
        <f t="shared" si="9"/>
        <v>100</v>
      </c>
      <c r="T30" s="666" t="s">
        <v>18</v>
      </c>
      <c r="U30" s="667">
        <f t="shared" si="10"/>
        <v>100</v>
      </c>
      <c r="V30" s="666" t="s">
        <v>18</v>
      </c>
      <c r="W30" s="667">
        <f t="shared" si="11"/>
        <v>100</v>
      </c>
      <c r="X30" s="1263"/>
      <c r="Y30" s="3440"/>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47"/>
      <c r="Q31" s="1261">
        <f t="shared" si="8"/>
        <v>111</v>
      </c>
      <c r="R31" s="666" t="s">
        <v>18</v>
      </c>
      <c r="S31" s="667">
        <f t="shared" si="9"/>
        <v>100</v>
      </c>
      <c r="T31" s="666" t="s">
        <v>18</v>
      </c>
      <c r="U31" s="667">
        <f t="shared" si="10"/>
        <v>100</v>
      </c>
      <c r="V31" s="666" t="s">
        <v>18</v>
      </c>
      <c r="W31" s="667">
        <f t="shared" si="11"/>
        <v>100</v>
      </c>
      <c r="X31" s="1263"/>
      <c r="Y31" s="3440"/>
      <c r="Z31" s="1262">
        <f t="shared" si="15"/>
        <v>111</v>
      </c>
      <c r="AA31" s="1262">
        <f t="shared" si="12"/>
        <v>1</v>
      </c>
      <c r="AB31" s="1262">
        <f t="shared" si="13"/>
        <v>1</v>
      </c>
      <c r="AC31" s="1262">
        <f t="shared" si="14"/>
        <v>1</v>
      </c>
    </row>
    <row r="32" spans="1:29" ht="15.75" thickBot="1">
      <c r="A32" s="378" t="s">
        <v>1694</v>
      </c>
      <c r="B32" s="363" t="s">
        <v>1695</v>
      </c>
      <c r="C32" s="3168" t="s">
        <v>3492</v>
      </c>
      <c r="D32" s="404">
        <v>100</v>
      </c>
      <c r="E32" s="3168" t="s">
        <v>3492</v>
      </c>
      <c r="F32" s="399">
        <f>SUMIF(100:100,E32,101:101)-SUMIF(100:100,C32,101:101)+100</f>
        <v>100</v>
      </c>
      <c r="G32" s="3168" t="s">
        <v>3492</v>
      </c>
      <c r="H32" s="404">
        <f>SUMIF(100:100,G32,101:101)-SUMIF(100:100,C32,101:101)+100</f>
        <v>100</v>
      </c>
      <c r="I32" s="3168" t="s">
        <v>3492</v>
      </c>
      <c r="J32" s="373">
        <f>SUMIF(100:100,I32,101:101)-SUMIF(100:100,C32,101:101)+100</f>
        <v>100</v>
      </c>
      <c r="K32" s="364">
        <v>2</v>
      </c>
      <c r="L32" s="2487"/>
      <c r="M32" s="2482"/>
      <c r="N32" s="2482"/>
      <c r="O32" s="2482"/>
      <c r="P32" s="3441" t="s">
        <v>1696</v>
      </c>
      <c r="Q32" s="1261" t="str">
        <f t="shared" si="8"/>
        <v>建筑类型</v>
      </c>
      <c r="R32" s="666" t="s">
        <v>18</v>
      </c>
      <c r="S32" s="667">
        <f t="shared" si="9"/>
        <v>100</v>
      </c>
      <c r="T32" s="666" t="s">
        <v>18</v>
      </c>
      <c r="U32" s="667">
        <f t="shared" si="10"/>
        <v>100</v>
      </c>
      <c r="V32" s="666" t="s">
        <v>18</v>
      </c>
      <c r="W32" s="667">
        <f t="shared" si="11"/>
        <v>100</v>
      </c>
      <c r="X32" s="1263"/>
      <c r="Y32" s="3444" t="s">
        <v>1696</v>
      </c>
      <c r="Z32" s="1262" t="str">
        <f t="shared" si="15"/>
        <v>建筑类型</v>
      </c>
      <c r="AA32" s="1262">
        <f t="shared" si="12"/>
        <v>1</v>
      </c>
      <c r="AB32" s="1262">
        <f t="shared" si="13"/>
        <v>1</v>
      </c>
      <c r="AC32" s="1262">
        <f t="shared" si="14"/>
        <v>1</v>
      </c>
    </row>
    <row r="33" spans="1:29" s="407" customFormat="1" ht="15">
      <c r="A33" s="405"/>
      <c r="B33" s="363" t="s">
        <v>1697</v>
      </c>
      <c r="C33" s="3127">
        <f>'数据-取费表'!K6</f>
        <v>49.92</v>
      </c>
      <c r="D33" s="118">
        <v>100</v>
      </c>
      <c r="E33" s="3168">
        <f>案例!$E$2</f>
        <v>81.12</v>
      </c>
      <c r="F33" s="399">
        <f>G104</f>
        <v>92</v>
      </c>
      <c r="G33" s="3168">
        <f>案例!$E$3</f>
        <v>49.66</v>
      </c>
      <c r="H33" s="404">
        <f>C104</f>
        <v>100</v>
      </c>
      <c r="I33" s="1761">
        <f>案例!$E$4</f>
        <v>70.5</v>
      </c>
      <c r="J33" s="3166">
        <f>F104</f>
        <v>94</v>
      </c>
      <c r="K33" s="1745"/>
      <c r="L33" s="2486"/>
      <c r="M33" s="2488"/>
      <c r="N33" s="2488"/>
      <c r="O33" s="2488"/>
      <c r="P33" s="3442"/>
      <c r="Q33" s="530" t="str">
        <f t="shared" si="8"/>
        <v>项目建筑规模</v>
      </c>
      <c r="R33" s="668" t="s">
        <v>18</v>
      </c>
      <c r="S33" s="669">
        <f t="shared" si="9"/>
        <v>92</v>
      </c>
      <c r="T33" s="668" t="s">
        <v>18</v>
      </c>
      <c r="U33" s="669">
        <f t="shared" si="10"/>
        <v>100</v>
      </c>
      <c r="V33" s="668" t="s">
        <v>18</v>
      </c>
      <c r="W33" s="669">
        <f t="shared" si="11"/>
        <v>94</v>
      </c>
      <c r="X33" s="670"/>
      <c r="Y33" s="3444"/>
      <c r="Z33" s="671" t="str">
        <f t="shared" si="15"/>
        <v>项目建筑规模</v>
      </c>
      <c r="AA33" s="1262">
        <f t="shared" si="12"/>
        <v>1.0869565217391304</v>
      </c>
      <c r="AB33" s="1262">
        <f t="shared" si="13"/>
        <v>1</v>
      </c>
      <c r="AC33" s="1262">
        <f t="shared" si="14"/>
        <v>1.0638297872340425</v>
      </c>
    </row>
    <row r="34" spans="1:29" ht="15">
      <c r="A34" s="408"/>
      <c r="B34" s="363" t="s">
        <v>1698</v>
      </c>
      <c r="C34" s="398" t="s">
        <v>3396</v>
      </c>
      <c r="D34" s="373">
        <v>100</v>
      </c>
      <c r="E34" s="398" t="s">
        <v>3396</v>
      </c>
      <c r="F34" s="399">
        <f>SUMIF(105:105,E34,106:106)-SUMIF(105:105,C34,106:106)+100</f>
        <v>100</v>
      </c>
      <c r="G34" s="398" t="s">
        <v>3396</v>
      </c>
      <c r="H34" s="373">
        <f>SUMIF(105:105,G34,106:106)-SUMIF(105:105,C34,106:106)+100</f>
        <v>100</v>
      </c>
      <c r="I34" s="398" t="s">
        <v>3396</v>
      </c>
      <c r="J34" s="373">
        <f>SUMIF(105:105,I34,106:106)-SUMIF(105:105,C34,106:106)+100</f>
        <v>100</v>
      </c>
      <c r="K34" s="364">
        <v>0.5</v>
      </c>
      <c r="L34" s="2487"/>
      <c r="M34" s="2482"/>
      <c r="N34" s="2482"/>
      <c r="O34" s="2482"/>
      <c r="P34" s="3442"/>
      <c r="Q34" s="1261" t="str">
        <f t="shared" si="8"/>
        <v>建筑结构</v>
      </c>
      <c r="R34" s="666" t="s">
        <v>18</v>
      </c>
      <c r="S34" s="667">
        <f t="shared" si="9"/>
        <v>100</v>
      </c>
      <c r="T34" s="666" t="s">
        <v>18</v>
      </c>
      <c r="U34" s="667">
        <f t="shared" si="10"/>
        <v>100</v>
      </c>
      <c r="V34" s="666" t="s">
        <v>18</v>
      </c>
      <c r="W34" s="667">
        <f t="shared" si="11"/>
        <v>100</v>
      </c>
      <c r="X34" s="1263"/>
      <c r="Y34" s="3444"/>
      <c r="Z34" s="1262" t="str">
        <f t="shared" si="15"/>
        <v>建筑结构</v>
      </c>
      <c r="AA34" s="1262">
        <f t="shared" si="12"/>
        <v>1</v>
      </c>
      <c r="AB34" s="1262">
        <f t="shared" si="13"/>
        <v>1</v>
      </c>
      <c r="AC34" s="1262">
        <f t="shared" si="14"/>
        <v>1</v>
      </c>
    </row>
    <row r="35" spans="1:29" ht="15" hidden="1">
      <c r="A35" s="408"/>
      <c r="B35" s="363" t="s">
        <v>3448</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42"/>
      <c r="Q35" s="1261" t="str">
        <f t="shared" si="8"/>
        <v>噪音污染</v>
      </c>
      <c r="R35" s="666" t="s">
        <v>18</v>
      </c>
      <c r="S35" s="667">
        <f t="shared" si="9"/>
        <v>100</v>
      </c>
      <c r="T35" s="666" t="s">
        <v>18</v>
      </c>
      <c r="U35" s="667">
        <f t="shared" si="10"/>
        <v>100</v>
      </c>
      <c r="V35" s="666" t="s">
        <v>18</v>
      </c>
      <c r="W35" s="667">
        <f t="shared" si="11"/>
        <v>100</v>
      </c>
      <c r="X35" s="1263"/>
      <c r="Y35" s="3444"/>
      <c r="Z35" s="1262" t="str">
        <f t="shared" si="15"/>
        <v>噪音污染</v>
      </c>
      <c r="AA35" s="1262">
        <f t="shared" si="12"/>
        <v>1</v>
      </c>
      <c r="AB35" s="1262">
        <f t="shared" si="13"/>
        <v>1</v>
      </c>
      <c r="AC35" s="1262">
        <f t="shared" si="14"/>
        <v>1</v>
      </c>
    </row>
    <row r="36" spans="1:29" ht="15">
      <c r="A36" s="408"/>
      <c r="B36" s="363" t="s">
        <v>1699</v>
      </c>
      <c r="C36" s="3185" t="s">
        <v>3464</v>
      </c>
      <c r="D36" s="373">
        <v>100</v>
      </c>
      <c r="E36" s="3185" t="s">
        <v>3464</v>
      </c>
      <c r="F36" s="399">
        <f>SUMIF(109:109,E36,110:110)-SUMIF(109:109,C36,110:110)+100</f>
        <v>100</v>
      </c>
      <c r="G36" s="3185" t="s">
        <v>3464</v>
      </c>
      <c r="H36" s="373">
        <f>SUMIF(109:109,G36,110:110)-SUMIF(109:109,C36,110:110)+100</f>
        <v>100</v>
      </c>
      <c r="I36" s="3185" t="s">
        <v>3464</v>
      </c>
      <c r="J36" s="373">
        <f>SUMIF(109:109,I36,110:110)-SUMIF(109:109,C36,110:110)+100</f>
        <v>100</v>
      </c>
      <c r="K36" s="364"/>
      <c r="L36" s="2487"/>
      <c r="M36" s="2482"/>
      <c r="N36" s="2482"/>
      <c r="O36" s="2482"/>
      <c r="P36" s="3442"/>
      <c r="Q36" s="1261" t="str">
        <f t="shared" si="8"/>
        <v>公共部分装修</v>
      </c>
      <c r="R36" s="666" t="s">
        <v>18</v>
      </c>
      <c r="S36" s="667">
        <f t="shared" si="9"/>
        <v>100</v>
      </c>
      <c r="T36" s="666" t="s">
        <v>18</v>
      </c>
      <c r="U36" s="667">
        <f t="shared" si="10"/>
        <v>100</v>
      </c>
      <c r="V36" s="666" t="s">
        <v>18</v>
      </c>
      <c r="W36" s="667">
        <f t="shared" si="11"/>
        <v>100</v>
      </c>
      <c r="X36" s="1263"/>
      <c r="Y36" s="3444"/>
      <c r="Z36" s="1262" t="str">
        <f t="shared" si="15"/>
        <v>公共部分装修</v>
      </c>
      <c r="AA36" s="1262">
        <f t="shared" si="12"/>
        <v>1</v>
      </c>
      <c r="AB36" s="1262">
        <f t="shared" si="13"/>
        <v>1</v>
      </c>
      <c r="AC36" s="1262">
        <f t="shared" si="14"/>
        <v>1</v>
      </c>
    </row>
    <row r="37" spans="1:29" s="101" customFormat="1" ht="15">
      <c r="A37" s="409"/>
      <c r="B37" s="3173" t="s">
        <v>3451</v>
      </c>
      <c r="C37" s="3174">
        <v>2019</v>
      </c>
      <c r="D37" s="118">
        <v>100</v>
      </c>
      <c r="E37" s="3174">
        <f>案例!I2</f>
        <v>2019</v>
      </c>
      <c r="F37" s="118">
        <f>H37</f>
        <v>100</v>
      </c>
      <c r="G37" s="3174">
        <f>案例!I3</f>
        <v>2019</v>
      </c>
      <c r="H37" s="118">
        <f>LOOKUP(G37,112:112,113:113)-LOOKUP(C37,112:112,113:113)+100</f>
        <v>100</v>
      </c>
      <c r="I37" s="3174">
        <f>案例!I4</f>
        <v>2019</v>
      </c>
      <c r="J37" s="118">
        <f>LOOKUP(I37,112:112,113:113)-LOOKUP(E37,112:112,113:113)+100</f>
        <v>100</v>
      </c>
      <c r="K37" s="364">
        <v>0.5</v>
      </c>
      <c r="L37" s="2483"/>
      <c r="M37" s="2434"/>
      <c r="N37" s="2434"/>
      <c r="O37" s="2434"/>
      <c r="P37" s="3442"/>
      <c r="Q37" s="529" t="str">
        <f t="shared" si="8"/>
        <v>建成年代</v>
      </c>
      <c r="R37" s="663" t="s">
        <v>18</v>
      </c>
      <c r="S37" s="664">
        <f t="shared" si="9"/>
        <v>100</v>
      </c>
      <c r="T37" s="663" t="s">
        <v>18</v>
      </c>
      <c r="U37" s="664">
        <f t="shared" si="10"/>
        <v>100</v>
      </c>
      <c r="V37" s="663" t="s">
        <v>18</v>
      </c>
      <c r="W37" s="664">
        <f t="shared" si="11"/>
        <v>100</v>
      </c>
      <c r="X37" s="665"/>
      <c r="Y37" s="3444"/>
      <c r="Z37" s="50" t="str">
        <f t="shared" si="15"/>
        <v>建成年代</v>
      </c>
      <c r="AA37" s="50">
        <f t="shared" si="12"/>
        <v>1</v>
      </c>
      <c r="AB37" s="50">
        <f t="shared" si="13"/>
        <v>1</v>
      </c>
      <c r="AC37" s="50">
        <f t="shared" si="14"/>
        <v>1</v>
      </c>
    </row>
    <row r="38" spans="1:29" ht="15">
      <c r="A38" s="408"/>
      <c r="B38" s="363" t="s">
        <v>1700</v>
      </c>
      <c r="C38" s="1757" t="s">
        <v>3450</v>
      </c>
      <c r="D38" s="373">
        <v>100</v>
      </c>
      <c r="E38" s="1757" t="s">
        <v>3450</v>
      </c>
      <c r="F38" s="399">
        <f>SUMIF(114:114,E38,115:115)-SUMIF(114:114,C38,115:115)+100</f>
        <v>100</v>
      </c>
      <c r="G38" s="1757" t="s">
        <v>3450</v>
      </c>
      <c r="H38" s="373">
        <f>SUMIF(114:114,G38,115:115)-SUMIF(114:114,C38,115:115)+100</f>
        <v>100</v>
      </c>
      <c r="I38" s="1757" t="s">
        <v>3450</v>
      </c>
      <c r="J38" s="373">
        <f>SUMIF(114:114,I38,115:115)-SUMIF(114:114,C38,115:115)+100</f>
        <v>100</v>
      </c>
      <c r="K38" s="364">
        <v>1</v>
      </c>
      <c r="L38" s="2487"/>
      <c r="M38" s="2482"/>
      <c r="N38" s="2482"/>
      <c r="O38" s="2482"/>
      <c r="P38" s="3442" t="s">
        <v>1696</v>
      </c>
      <c r="Q38" s="1261" t="str">
        <f t="shared" si="8"/>
        <v>物业管理</v>
      </c>
      <c r="R38" s="666" t="s">
        <v>18</v>
      </c>
      <c r="S38" s="667">
        <f t="shared" si="9"/>
        <v>100</v>
      </c>
      <c r="T38" s="666" t="s">
        <v>18</v>
      </c>
      <c r="U38" s="667">
        <f t="shared" si="10"/>
        <v>100</v>
      </c>
      <c r="V38" s="666" t="s">
        <v>18</v>
      </c>
      <c r="W38" s="667">
        <f t="shared" si="11"/>
        <v>100</v>
      </c>
      <c r="X38" s="1263"/>
      <c r="Y38" s="3444" t="s">
        <v>1696</v>
      </c>
      <c r="Z38" s="1262" t="str">
        <f t="shared" si="15"/>
        <v>物业管理</v>
      </c>
      <c r="AA38" s="1262">
        <f t="shared" si="12"/>
        <v>1</v>
      </c>
      <c r="AB38" s="1262">
        <f t="shared" si="13"/>
        <v>1</v>
      </c>
      <c r="AC38" s="1262">
        <f t="shared" si="14"/>
        <v>1</v>
      </c>
    </row>
    <row r="39" spans="1:29" ht="15">
      <c r="A39" s="408"/>
      <c r="B39" s="363" t="s">
        <v>1701</v>
      </c>
      <c r="C39" s="1757" t="s">
        <v>3411</v>
      </c>
      <c r="D39" s="373">
        <v>100</v>
      </c>
      <c r="E39" s="1757" t="s">
        <v>3411</v>
      </c>
      <c r="F39" s="399">
        <f>SUMIF(116:116,E39,117:117)-SUMIF(116:116,C39,117:117)+100</f>
        <v>100</v>
      </c>
      <c r="G39" s="1757" t="s">
        <v>3411</v>
      </c>
      <c r="H39" s="373">
        <f>SUMIF(116:116,G39,117:117)-SUMIF(116:116,C39,117:117)+100</f>
        <v>100</v>
      </c>
      <c r="I39" s="1757" t="s">
        <v>3411</v>
      </c>
      <c r="J39" s="373">
        <f>SUMIF(116:116,I39,117:117)-SUMIF(116:116,C39,117:117)+100</f>
        <v>100</v>
      </c>
      <c r="K39" s="364"/>
      <c r="L39" s="2487"/>
      <c r="M39" s="2482"/>
      <c r="N39" s="2482"/>
      <c r="O39" s="2482"/>
      <c r="P39" s="3442"/>
      <c r="Q39" s="1261" t="str">
        <f t="shared" si="8"/>
        <v>市政基础设施</v>
      </c>
      <c r="R39" s="666" t="s">
        <v>18</v>
      </c>
      <c r="S39" s="667">
        <f t="shared" si="9"/>
        <v>100</v>
      </c>
      <c r="T39" s="666" t="s">
        <v>18</v>
      </c>
      <c r="U39" s="667">
        <f t="shared" si="10"/>
        <v>100</v>
      </c>
      <c r="V39" s="666" t="s">
        <v>18</v>
      </c>
      <c r="W39" s="667">
        <f t="shared" si="11"/>
        <v>100</v>
      </c>
      <c r="X39" s="1263"/>
      <c r="Y39" s="3444"/>
      <c r="Z39" s="1262" t="str">
        <f t="shared" si="15"/>
        <v>市政基础设施</v>
      </c>
      <c r="AA39" s="1262">
        <f t="shared" si="12"/>
        <v>1</v>
      </c>
      <c r="AB39" s="1262">
        <f t="shared" si="13"/>
        <v>1</v>
      </c>
      <c r="AC39" s="1262">
        <f t="shared" si="14"/>
        <v>1</v>
      </c>
    </row>
    <row r="40" spans="1:29" ht="15" hidden="1">
      <c r="A40" s="408"/>
      <c r="B40" s="363" t="s">
        <v>1702</v>
      </c>
      <c r="C40" s="1757" t="s">
        <v>3417</v>
      </c>
      <c r="D40" s="373">
        <v>100</v>
      </c>
      <c r="E40" s="1757" t="s">
        <v>3417</v>
      </c>
      <c r="F40" s="399">
        <f>SUMIF(118:118,E40,119:119)-SUMIF(118:118,C40,119:119)+100</f>
        <v>100</v>
      </c>
      <c r="G40" s="1757" t="s">
        <v>3417</v>
      </c>
      <c r="H40" s="373">
        <f>SUMIF(118:118,G40,119:119)-SUMIF(118:118,C40,119:119)+100</f>
        <v>100</v>
      </c>
      <c r="I40" s="1757" t="s">
        <v>3417</v>
      </c>
      <c r="J40" s="373">
        <f>SUMIF(118:118,I40,119:119)-SUMIF(118:118,C40,119:119)+100</f>
        <v>100</v>
      </c>
      <c r="K40" s="364"/>
      <c r="L40" s="2487"/>
      <c r="M40" s="2482"/>
      <c r="N40" s="2482"/>
      <c r="O40" s="2482"/>
      <c r="P40" s="3442"/>
      <c r="Q40" s="1261" t="str">
        <f t="shared" si="8"/>
        <v>房型</v>
      </c>
      <c r="R40" s="666" t="s">
        <v>18</v>
      </c>
      <c r="S40" s="667">
        <f t="shared" si="9"/>
        <v>100</v>
      </c>
      <c r="T40" s="666" t="s">
        <v>18</v>
      </c>
      <c r="U40" s="667">
        <f t="shared" si="10"/>
        <v>100</v>
      </c>
      <c r="V40" s="666" t="s">
        <v>18</v>
      </c>
      <c r="W40" s="667">
        <f t="shared" si="11"/>
        <v>100</v>
      </c>
      <c r="X40" s="1263"/>
      <c r="Y40" s="3444"/>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42"/>
      <c r="Q41" s="530" t="str">
        <f t="shared" si="8"/>
        <v>单套/主力户型建筑面积</v>
      </c>
      <c r="R41" s="668" t="s">
        <v>18</v>
      </c>
      <c r="S41" s="669">
        <f t="shared" si="9"/>
        <v>100</v>
      </c>
      <c r="T41" s="668" t="s">
        <v>18</v>
      </c>
      <c r="U41" s="669">
        <f t="shared" si="10"/>
        <v>100</v>
      </c>
      <c r="V41" s="668" t="s">
        <v>18</v>
      </c>
      <c r="W41" s="669">
        <f t="shared" si="11"/>
        <v>100</v>
      </c>
      <c r="X41" s="670"/>
      <c r="Y41" s="3444"/>
      <c r="Z41" s="671" t="str">
        <f t="shared" si="15"/>
        <v>单套/主力户型建筑面积</v>
      </c>
      <c r="AA41" s="1262">
        <f t="shared" si="12"/>
        <v>1</v>
      </c>
      <c r="AB41" s="1262">
        <f t="shared" si="13"/>
        <v>1</v>
      </c>
      <c r="AC41" s="1262">
        <f t="shared" si="14"/>
        <v>1</v>
      </c>
    </row>
    <row r="42" spans="1:29" ht="15">
      <c r="A42" s="408"/>
      <c r="B42" s="363" t="s">
        <v>1704</v>
      </c>
      <c r="C42" s="1757" t="s">
        <v>3464</v>
      </c>
      <c r="D42" s="373">
        <v>100</v>
      </c>
      <c r="E42" s="1757" t="s">
        <v>3464</v>
      </c>
      <c r="F42" s="399">
        <f>SUMIF(122:122,E42,123:123)-SUMIF(122:122,C42,123:123)+100</f>
        <v>100</v>
      </c>
      <c r="G42" s="1757" t="s">
        <v>3464</v>
      </c>
      <c r="H42" s="373">
        <f>SUMIF(122:122,G42,123:123)-SUMIF(122:122,C42,123:123)+100</f>
        <v>100</v>
      </c>
      <c r="I42" s="1757" t="s">
        <v>3464</v>
      </c>
      <c r="J42" s="373">
        <f>SUMIF(122:122,I42,123:123)-SUMIF(122:122,C42,123:123)+100</f>
        <v>100</v>
      </c>
      <c r="K42" s="364">
        <v>0.5</v>
      </c>
      <c r="L42" s="2487"/>
      <c r="M42" s="2482"/>
      <c r="N42" s="2482"/>
      <c r="O42" s="2482"/>
      <c r="P42" s="3442"/>
      <c r="Q42" s="1261" t="str">
        <f t="shared" si="8"/>
        <v>内部装修</v>
      </c>
      <c r="R42" s="666" t="s">
        <v>18</v>
      </c>
      <c r="S42" s="667">
        <f t="shared" si="9"/>
        <v>100</v>
      </c>
      <c r="T42" s="666" t="s">
        <v>18</v>
      </c>
      <c r="U42" s="667">
        <f t="shared" si="10"/>
        <v>100</v>
      </c>
      <c r="V42" s="666" t="s">
        <v>18</v>
      </c>
      <c r="W42" s="667">
        <f t="shared" si="11"/>
        <v>100</v>
      </c>
      <c r="X42" s="1263"/>
      <c r="Y42" s="3444"/>
      <c r="Z42" s="1262" t="str">
        <f t="shared" si="15"/>
        <v>内部装修</v>
      </c>
      <c r="AA42" s="1262">
        <f t="shared" si="12"/>
        <v>1</v>
      </c>
      <c r="AB42" s="1262">
        <f t="shared" si="13"/>
        <v>1</v>
      </c>
      <c r="AC42" s="1262">
        <f t="shared" si="14"/>
        <v>1</v>
      </c>
    </row>
    <row r="43" spans="1:29" ht="15" hidden="1">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42"/>
      <c r="Q43" s="1261" t="str">
        <f t="shared" si="8"/>
        <v>内部装修维护情况</v>
      </c>
      <c r="R43" s="666" t="s">
        <v>18</v>
      </c>
      <c r="S43" s="667">
        <f t="shared" si="9"/>
        <v>100</v>
      </c>
      <c r="T43" s="666" t="s">
        <v>18</v>
      </c>
      <c r="U43" s="667">
        <f t="shared" si="10"/>
        <v>100</v>
      </c>
      <c r="V43" s="666" t="s">
        <v>18</v>
      </c>
      <c r="W43" s="667">
        <f t="shared" si="11"/>
        <v>100</v>
      </c>
      <c r="X43" s="1263"/>
      <c r="Y43" s="3444"/>
      <c r="Z43" s="1262" t="str">
        <f t="shared" si="15"/>
        <v>内部装修维护情况</v>
      </c>
      <c r="AA43" s="1262">
        <f t="shared" si="12"/>
        <v>1</v>
      </c>
      <c r="AB43" s="1262">
        <f t="shared" si="13"/>
        <v>1</v>
      </c>
      <c r="AC43" s="1262">
        <f t="shared" si="14"/>
        <v>1</v>
      </c>
    </row>
    <row r="44" spans="1:29" s="101" customFormat="1" ht="15" hidden="1">
      <c r="A44" s="409"/>
      <c r="B44" s="3141" t="s">
        <v>3468</v>
      </c>
      <c r="C44" s="1757" t="s">
        <v>3407</v>
      </c>
      <c r="D44" s="118">
        <v>100</v>
      </c>
      <c r="E44" s="1757" t="s">
        <v>3406</v>
      </c>
      <c r="F44" s="363">
        <f>SUMIF(126:126,E44,127:127)-SUMIF(126:126,C44,127:127)+100</f>
        <v>100</v>
      </c>
      <c r="G44" s="1757" t="s">
        <v>3406</v>
      </c>
      <c r="H44" s="118">
        <f>SUMIF(126:126,G44,127:127)-SUMIF(126:126,C44,127:127)+100</f>
        <v>100</v>
      </c>
      <c r="I44" s="1757" t="s">
        <v>3406</v>
      </c>
      <c r="J44" s="118">
        <f>SUMIF(126:126,I44,127:127)-SUMIF(126:126,C44,127:127)+100</f>
        <v>100</v>
      </c>
      <c r="K44" s="1745"/>
      <c r="L44" s="2483"/>
      <c r="M44" s="2434"/>
      <c r="N44" s="2434"/>
      <c r="O44" s="2434"/>
      <c r="P44" s="3442"/>
      <c r="Q44" s="529" t="str">
        <f t="shared" si="8"/>
        <v>户型结构</v>
      </c>
      <c r="R44" s="663" t="s">
        <v>18</v>
      </c>
      <c r="S44" s="664">
        <f t="shared" si="9"/>
        <v>100</v>
      </c>
      <c r="T44" s="663" t="s">
        <v>18</v>
      </c>
      <c r="U44" s="664">
        <f t="shared" si="10"/>
        <v>100</v>
      </c>
      <c r="V44" s="663" t="s">
        <v>18</v>
      </c>
      <c r="W44" s="664">
        <f t="shared" si="11"/>
        <v>100</v>
      </c>
      <c r="X44" s="665"/>
      <c r="Y44" s="3444"/>
      <c r="Z44" s="50" t="str">
        <f t="shared" si="15"/>
        <v>户型结构</v>
      </c>
      <c r="AA44" s="50">
        <f t="shared" si="12"/>
        <v>1</v>
      </c>
      <c r="AB44" s="50">
        <f t="shared" si="13"/>
        <v>1</v>
      </c>
      <c r="AC44" s="50">
        <f t="shared" si="14"/>
        <v>1</v>
      </c>
    </row>
    <row r="45" spans="1:29" ht="15">
      <c r="A45" s="408"/>
      <c r="B45" s="3141" t="s">
        <v>3468</v>
      </c>
      <c r="C45" s="3143" t="s">
        <v>3472</v>
      </c>
      <c r="D45" s="373">
        <v>100</v>
      </c>
      <c r="E45" s="3143" t="s">
        <v>3473</v>
      </c>
      <c r="F45" s="399">
        <f>D127</f>
        <v>101</v>
      </c>
      <c r="G45" s="3143" t="s">
        <v>3472</v>
      </c>
      <c r="H45" s="373">
        <f>E127</f>
        <v>100</v>
      </c>
      <c r="I45" s="3143" t="s">
        <v>3473</v>
      </c>
      <c r="J45" s="373">
        <f>F45</f>
        <v>101</v>
      </c>
      <c r="K45" s="1745"/>
      <c r="L45" s="2487"/>
      <c r="M45" s="2482"/>
      <c r="N45" s="2482"/>
      <c r="O45" s="2482"/>
      <c r="P45" s="3442"/>
      <c r="Q45" s="1261" t="str">
        <f t="shared" si="8"/>
        <v>户型结构</v>
      </c>
      <c r="R45" s="666" t="s">
        <v>18</v>
      </c>
      <c r="S45" s="667">
        <f t="shared" si="9"/>
        <v>101</v>
      </c>
      <c r="T45" s="666" t="s">
        <v>18</v>
      </c>
      <c r="U45" s="667">
        <f t="shared" si="10"/>
        <v>100</v>
      </c>
      <c r="V45" s="666" t="s">
        <v>18</v>
      </c>
      <c r="W45" s="667">
        <f t="shared" si="11"/>
        <v>101</v>
      </c>
      <c r="X45" s="1263"/>
      <c r="Y45" s="3444"/>
      <c r="Z45" s="1262" t="str">
        <f t="shared" si="15"/>
        <v>户型结构</v>
      </c>
      <c r="AA45" s="1262">
        <f t="shared" si="12"/>
        <v>0.99009900990099009</v>
      </c>
      <c r="AB45" s="1262">
        <f t="shared" si="13"/>
        <v>1</v>
      </c>
      <c r="AC45" s="1262">
        <f t="shared" si="14"/>
        <v>0.99009900990099009</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43"/>
      <c r="Q46" s="1261">
        <f t="shared" si="8"/>
        <v>111</v>
      </c>
      <c r="R46" s="666" t="s">
        <v>17</v>
      </c>
      <c r="S46" s="667">
        <f t="shared" si="9"/>
        <v>100</v>
      </c>
      <c r="T46" s="666" t="s">
        <v>17</v>
      </c>
      <c r="U46" s="667">
        <f t="shared" si="10"/>
        <v>100</v>
      </c>
      <c r="V46" s="666" t="s">
        <v>17</v>
      </c>
      <c r="W46" s="667">
        <f t="shared" si="11"/>
        <v>100</v>
      </c>
      <c r="X46" s="1263"/>
      <c r="Y46" s="3445"/>
      <c r="Z46" s="1262">
        <f t="shared" si="15"/>
        <v>111</v>
      </c>
      <c r="AA46" s="1262">
        <f t="shared" si="12"/>
        <v>1</v>
      </c>
      <c r="AB46" s="1262">
        <f t="shared" si="13"/>
        <v>1</v>
      </c>
      <c r="AC46" s="1262">
        <f t="shared" si="14"/>
        <v>1</v>
      </c>
    </row>
    <row r="47" spans="1:29" ht="15">
      <c r="A47" s="415" t="s">
        <v>1706</v>
      </c>
      <c r="B47" s="416"/>
      <c r="C47" s="1080" t="s">
        <v>16</v>
      </c>
      <c r="D47" s="417"/>
      <c r="E47" s="418">
        <f>案例!J2</f>
        <v>76430</v>
      </c>
      <c r="F47" s="419"/>
      <c r="G47" s="420">
        <f>案例!$J$3</f>
        <v>72292</v>
      </c>
      <c r="H47" s="421"/>
      <c r="I47" s="418">
        <f>案例!$J$4</f>
        <v>76028</v>
      </c>
      <c r="J47" s="421"/>
      <c r="K47" s="1762"/>
      <c r="L47" s="2489"/>
      <c r="M47" s="2482"/>
      <c r="N47" s="2482"/>
      <c r="O47" s="2482"/>
      <c r="P47" s="3438" t="str">
        <f>A47</f>
        <v>成交单价（元/平方米）</v>
      </c>
      <c r="Q47" s="3438"/>
      <c r="R47" s="3433">
        <f>E47</f>
        <v>76430</v>
      </c>
      <c r="S47" s="3433"/>
      <c r="T47" s="3433">
        <f>G47</f>
        <v>72292</v>
      </c>
      <c r="U47" s="3433"/>
      <c r="V47" s="3433">
        <f>I47</f>
        <v>76028</v>
      </c>
      <c r="W47" s="3433"/>
      <c r="X47" s="384"/>
      <c r="Y47" s="672"/>
      <c r="Z47" s="384"/>
      <c r="AA47" s="384"/>
      <c r="AB47" s="384"/>
      <c r="AC47" s="384"/>
    </row>
    <row r="48" spans="1:29" ht="15.75" thickBot="1">
      <c r="A48" s="422" t="s">
        <v>1707</v>
      </c>
      <c r="B48" s="423"/>
      <c r="C48" s="1081">
        <f>R49</f>
        <v>76652</v>
      </c>
      <c r="D48" s="2136" t="s">
        <v>2135</v>
      </c>
      <c r="E48" s="1082">
        <f>R48</f>
        <v>80247</v>
      </c>
      <c r="F48" s="2137"/>
      <c r="G48" s="1081">
        <f>T48</f>
        <v>72348</v>
      </c>
      <c r="H48" s="2137"/>
      <c r="I48" s="1082">
        <f>V48</f>
        <v>77361</v>
      </c>
      <c r="J48" s="2137"/>
      <c r="K48" s="2138">
        <f>F48+H48+J48</f>
        <v>0</v>
      </c>
      <c r="L48" s="2489"/>
      <c r="M48" s="2482"/>
      <c r="N48" s="2482"/>
      <c r="O48" s="2482"/>
      <c r="P48" s="3438" t="str">
        <f>A48</f>
        <v>比较价值（元/平方米）</v>
      </c>
      <c r="Q48" s="3438"/>
      <c r="R48" s="3433">
        <f>IF(F1="售价",ROUND(PRODUCT(R47,AA7:AA46),0),ROUND(PRODUCT(R47,AA7:AA46),1))</f>
        <v>80247</v>
      </c>
      <c r="S48" s="3433"/>
      <c r="T48" s="3433">
        <f>IF(F1="售价",ROUND(PRODUCT(T47,AB7:AB46),0),ROUND(PRODUCT(T47,AB7:AB46),1))</f>
        <v>72348</v>
      </c>
      <c r="U48" s="3433"/>
      <c r="V48" s="3433">
        <f>IF(F1="售价",ROUND(PRODUCT(V47,AC7:AC46),0),ROUND(PRODUCT(V47,AC7:AC46),1))</f>
        <v>77361</v>
      </c>
      <c r="W48" s="3433"/>
      <c r="X48" s="384"/>
      <c r="Y48" s="384"/>
      <c r="Z48" s="384"/>
      <c r="AA48" s="384"/>
      <c r="AB48" s="384"/>
      <c r="AC48" s="384"/>
    </row>
    <row r="49" spans="1:29" ht="15.75" thickBot="1">
      <c r="A49" s="426" t="s">
        <v>1708</v>
      </c>
      <c r="B49" s="427"/>
      <c r="C49" s="1083">
        <f>R49</f>
        <v>76652</v>
      </c>
      <c r="D49" s="350"/>
      <c r="E49" s="350"/>
      <c r="F49" s="350"/>
      <c r="G49" s="350"/>
      <c r="H49" s="350"/>
      <c r="I49" s="350"/>
      <c r="J49" s="350"/>
      <c r="K49" s="1763"/>
      <c r="L49" s="2489"/>
      <c r="M49" s="2482"/>
      <c r="N49" s="2482"/>
      <c r="O49" s="2482"/>
      <c r="P49" s="3435" t="str">
        <f>A49</f>
        <v>估价对象XX用房的比较价值（楼面单价，元/平方米）</v>
      </c>
      <c r="Q49" s="3436"/>
      <c r="R49" s="3437">
        <f>IF(F1="售价",ROUND(IF(D48="简单平均",AVERAGE(R48:V48),R48*F48+T48*H48+V48*J48),0),ROUND(IF(D48="简单平均",AVERAGE(R48:V48),R48*F48+T48*H48+V48*J48),1))</f>
        <v>76652</v>
      </c>
      <c r="S49" s="3437"/>
      <c r="T49" s="3437"/>
      <c r="U49" s="3437"/>
      <c r="V49" s="3437"/>
      <c r="W49" s="3437"/>
      <c r="X49" s="384"/>
      <c r="Y49" s="384"/>
      <c r="Z49" s="384"/>
      <c r="AA49" s="384"/>
      <c r="AB49" s="384"/>
      <c r="AC49" s="384"/>
    </row>
    <row r="50" spans="1:29">
      <c r="A50" s="2482"/>
      <c r="B50" s="2482"/>
      <c r="C50" s="2482"/>
      <c r="D50" s="2482"/>
      <c r="E50" s="2482"/>
      <c r="F50" s="2482"/>
      <c r="G50" s="3190">
        <f>G47*G33/10000</f>
        <v>359.002072</v>
      </c>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4.9941122595839271E-2</v>
      </c>
      <c r="F52" s="434" t="str">
        <f>IF(OR(E52&gt;=0.3,E52&lt;=-0.3),"超过30%","")</f>
        <v/>
      </c>
      <c r="G52" s="433">
        <f>IF(G47&lt;G48,G48/G47-1,G47/G48-1)</f>
        <v>7.7463619764284175E-4</v>
      </c>
      <c r="H52" s="434" t="str">
        <f>IF(OR(G52&gt;=0.3,G52&lt;=-0.3),"超过30%","")</f>
        <v/>
      </c>
      <c r="I52" s="433">
        <f>IF(I47&lt;I48,I48/I47-1,I47/I48-1)</f>
        <v>1.7533014152680604E-2</v>
      </c>
      <c r="J52" s="434" t="str">
        <f>IF(OR(I52&gt;=0.3,I52&lt;=-0.3),"超过30%","")</f>
        <v/>
      </c>
      <c r="K52" s="2494"/>
      <c r="L52" s="2490"/>
      <c r="M52" s="2482"/>
      <c r="N52" s="2482"/>
      <c r="O52" s="2482"/>
    </row>
    <row r="53" spans="1:29" ht="13.5" customHeight="1">
      <c r="A53" s="2482"/>
      <c r="B53" s="2482"/>
      <c r="C53" s="431" t="s">
        <v>1710</v>
      </c>
      <c r="D53" s="435"/>
      <c r="E53" s="433">
        <f>IF(E48&lt;G48,G48/E48-1,E48/G48-1)</f>
        <v>0.1091806269696467</v>
      </c>
      <c r="F53" s="434" t="str">
        <f>IF(OR(E53&gt;=0.2,E53&lt;=-0.2),"超过20%","")</f>
        <v/>
      </c>
      <c r="G53" s="433">
        <f>IF(G48&lt;I48,I48/G48-1,G48/I48-1)</f>
        <v>6.9290097860341682E-2</v>
      </c>
      <c r="H53" s="434" t="str">
        <f>IF(OR(G53&gt;=0.2,G53&lt;=-0.2),"超过20%","")</f>
        <v/>
      </c>
      <c r="I53" s="433">
        <f>IF(I48&lt;E48,E48/I48-1,I48/E48-1)</f>
        <v>3.730561911040442E-2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5.7240081890112426E-2</v>
      </c>
      <c r="F54" s="434" t="str">
        <f>IF(OR(E54&gt;=0.3,E54&lt;=-0.3),"超过30%","")</f>
        <v/>
      </c>
      <c r="G54" s="433">
        <f>IF(G47&lt;I47,I47/G47-1,G47/I47-1)</f>
        <v>5.1679300614175805E-2</v>
      </c>
      <c r="H54" s="434" t="str">
        <f>IF(OR(G54&gt;=0.3,G54&lt;=-0.3),"超过30%","")</f>
        <v/>
      </c>
      <c r="I54" s="433">
        <f>IF(I47&lt;E47,E47/I47-1,I47/E47-1)</f>
        <v>5.2875256484452571E-3</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2024-10</v>
      </c>
      <c r="D58" s="1102">
        <f>EDATE(C58,-1)</f>
        <v>45536</v>
      </c>
      <c r="E58" s="1102">
        <f>EDATE(D58,-1)</f>
        <v>45505</v>
      </c>
      <c r="F58" s="1102">
        <f t="shared" ref="F58:O58" si="16">EDATE(E58,-1)</f>
        <v>45474</v>
      </c>
      <c r="G58" s="1102">
        <f t="shared" si="16"/>
        <v>45444</v>
      </c>
      <c r="H58" s="1102">
        <f t="shared" si="16"/>
        <v>45413</v>
      </c>
      <c r="I58" s="1102">
        <f t="shared" si="16"/>
        <v>45383</v>
      </c>
      <c r="J58" s="1102">
        <f t="shared" si="16"/>
        <v>45352</v>
      </c>
      <c r="K58" s="1102">
        <f t="shared" si="16"/>
        <v>45323</v>
      </c>
      <c r="L58" s="1102">
        <f t="shared" si="16"/>
        <v>45292</v>
      </c>
      <c r="M58" s="1102">
        <f t="shared" si="16"/>
        <v>45261</v>
      </c>
      <c r="N58" s="1102">
        <f t="shared" si="16"/>
        <v>45231</v>
      </c>
      <c r="O58" s="1102">
        <f t="shared" si="16"/>
        <v>45200</v>
      </c>
      <c r="P58" s="3144">
        <f t="shared" ref="P58:AB58" si="17">EDATE(O58,-1)</f>
        <v>45170</v>
      </c>
      <c r="Q58" s="3144">
        <f t="shared" si="17"/>
        <v>45139</v>
      </c>
      <c r="R58" s="3144">
        <f t="shared" si="17"/>
        <v>45108</v>
      </c>
      <c r="S58" s="3144">
        <f t="shared" si="17"/>
        <v>45078</v>
      </c>
      <c r="T58" s="3144">
        <f t="shared" si="17"/>
        <v>45047</v>
      </c>
      <c r="U58" s="3144">
        <f t="shared" si="17"/>
        <v>45017</v>
      </c>
      <c r="V58" s="3144">
        <f t="shared" si="17"/>
        <v>44986</v>
      </c>
      <c r="W58" s="3144">
        <f t="shared" si="17"/>
        <v>44958</v>
      </c>
      <c r="X58" s="3144">
        <f t="shared" si="17"/>
        <v>44927</v>
      </c>
      <c r="Y58" s="3144">
        <f t="shared" si="17"/>
        <v>44896</v>
      </c>
      <c r="Z58" s="3144">
        <f t="shared" si="17"/>
        <v>44866</v>
      </c>
      <c r="AA58" s="3144">
        <f t="shared" si="17"/>
        <v>44835</v>
      </c>
      <c r="AB58" s="3144">
        <f t="shared" si="17"/>
        <v>44805</v>
      </c>
    </row>
    <row r="59" spans="1:29" s="101" customFormat="1" ht="15">
      <c r="A59" s="442"/>
      <c r="B59" s="1767"/>
      <c r="C59" s="1100">
        <v>100</v>
      </c>
      <c r="D59" s="445">
        <f>C59+$C$60</f>
        <v>100.5</v>
      </c>
      <c r="E59" s="445">
        <f>D59</f>
        <v>100.5</v>
      </c>
      <c r="F59" s="445">
        <f>E59</f>
        <v>100.5</v>
      </c>
      <c r="G59" s="445">
        <f>F59+$C$60</f>
        <v>101</v>
      </c>
      <c r="H59" s="445">
        <f>G59</f>
        <v>101</v>
      </c>
      <c r="I59" s="445">
        <f>G59</f>
        <v>101</v>
      </c>
      <c r="J59" s="445">
        <f>I59+$C$60</f>
        <v>101.5</v>
      </c>
      <c r="K59" s="446">
        <f>J59</f>
        <v>101.5</v>
      </c>
      <c r="L59" s="446">
        <f>K59</f>
        <v>101.5</v>
      </c>
      <c r="M59" s="446">
        <f>L59</f>
        <v>101.5</v>
      </c>
      <c r="N59" s="445"/>
      <c r="O59" s="446"/>
      <c r="P59" s="446">
        <f>O59-C60</f>
        <v>-0.5</v>
      </c>
      <c r="Q59" s="446">
        <f>P59</f>
        <v>-0.5</v>
      </c>
      <c r="R59" s="101">
        <f>P59</f>
        <v>-0.5</v>
      </c>
      <c r="S59" s="101">
        <f>R59-C60</f>
        <v>-1</v>
      </c>
      <c r="T59" s="101">
        <f>S59</f>
        <v>-1</v>
      </c>
      <c r="U59" s="101">
        <f>T59</f>
        <v>-1</v>
      </c>
      <c r="V59" s="101">
        <f>U59-C60</f>
        <v>-1.5</v>
      </c>
      <c r="W59" s="101">
        <f>V59</f>
        <v>-1.5</v>
      </c>
      <c r="X59" s="101">
        <f>V59</f>
        <v>-1.5</v>
      </c>
      <c r="Y59" s="101">
        <f>X59-C60</f>
        <v>-2</v>
      </c>
      <c r="Z59" s="101">
        <f>Y59</f>
        <v>-2</v>
      </c>
      <c r="AA59" s="101">
        <f>Y59</f>
        <v>-2</v>
      </c>
      <c r="AB59" s="101">
        <f>AA59-C60</f>
        <v>-2.5</v>
      </c>
    </row>
    <row r="60" spans="1:29" s="101" customFormat="1" ht="15.75" thickBot="1">
      <c r="A60" s="448" t="s">
        <v>1714</v>
      </c>
      <c r="B60" s="449"/>
      <c r="C60" s="450">
        <v>0.5</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6" t="s">
        <v>3455</v>
      </c>
      <c r="D65" s="3146" t="s">
        <v>3456</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0"/>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59" t="s">
        <v>3425</v>
      </c>
      <c r="D88" s="3146" t="s">
        <v>3426</v>
      </c>
      <c r="E88" s="3146" t="s">
        <v>3427</v>
      </c>
      <c r="F88" s="3146" t="s">
        <v>3428</v>
      </c>
      <c r="G88" s="3146" t="s">
        <v>3429</v>
      </c>
      <c r="H88" s="3146" t="s">
        <v>3430</v>
      </c>
      <c r="I88" s="3160" t="s">
        <v>3431</v>
      </c>
      <c r="J88" s="3160" t="s">
        <v>3432</v>
      </c>
      <c r="K88" s="3146" t="s">
        <v>3433</v>
      </c>
      <c r="L88" s="3146" t="s">
        <v>3434</v>
      </c>
      <c r="M88" s="3146"/>
      <c r="N88" s="877"/>
      <c r="O88" s="877"/>
      <c r="P88" s="1770"/>
      <c r="Q88" s="438"/>
    </row>
    <row r="89" spans="1:17" s="101" customFormat="1" ht="15.75" thickBot="1">
      <c r="A89" s="369"/>
      <c r="B89" s="473"/>
      <c r="C89" s="511">
        <v>100</v>
      </c>
      <c r="D89" s="474">
        <f t="shared" ref="D89:M89" si="21">C89-$K26</f>
        <v>99.5</v>
      </c>
      <c r="E89" s="474">
        <f t="shared" si="21"/>
        <v>99</v>
      </c>
      <c r="F89" s="474">
        <f t="shared" si="21"/>
        <v>98.5</v>
      </c>
      <c r="G89" s="474">
        <f t="shared" si="21"/>
        <v>98</v>
      </c>
      <c r="H89" s="474">
        <f t="shared" si="21"/>
        <v>97.5</v>
      </c>
      <c r="I89" s="474">
        <f t="shared" si="21"/>
        <v>97</v>
      </c>
      <c r="J89" s="474">
        <f t="shared" si="21"/>
        <v>96.5</v>
      </c>
      <c r="K89" s="474">
        <f t="shared" si="21"/>
        <v>96</v>
      </c>
      <c r="L89" s="474">
        <f t="shared" si="21"/>
        <v>95.5</v>
      </c>
      <c r="M89" s="474">
        <f t="shared" si="21"/>
        <v>95</v>
      </c>
      <c r="N89" s="879"/>
      <c r="O89" s="879"/>
      <c r="P89" s="1770"/>
      <c r="Q89" s="438"/>
    </row>
    <row r="90" spans="1:17" s="407" customFormat="1" ht="15.75" thickTop="1">
      <c r="A90" s="483"/>
      <c r="B90" s="468" t="str">
        <f>B27</f>
        <v>楼层</v>
      </c>
      <c r="C90" s="3172" t="s">
        <v>3460</v>
      </c>
      <c r="D90" s="3172" t="s">
        <v>3461</v>
      </c>
      <c r="E90" s="3172" t="s">
        <v>3462</v>
      </c>
      <c r="F90" s="3172" t="s">
        <v>3467</v>
      </c>
      <c r="G90" s="3172"/>
      <c r="H90" s="3172"/>
      <c r="I90" s="485"/>
      <c r="J90" s="485"/>
      <c r="K90" s="485"/>
      <c r="L90" s="486"/>
      <c r="M90" s="487"/>
      <c r="N90" s="880"/>
      <c r="O90" s="880"/>
      <c r="P90" s="1771"/>
      <c r="Q90" s="489"/>
    </row>
    <row r="91" spans="1:17" s="407" customFormat="1" ht="15.75" thickBot="1">
      <c r="A91" s="483"/>
      <c r="B91" s="473"/>
      <c r="C91" s="407">
        <v>100</v>
      </c>
      <c r="D91" s="407">
        <f>C91-$J$91</f>
        <v>97</v>
      </c>
      <c r="E91" s="407">
        <f>D91-$J$91</f>
        <v>94</v>
      </c>
      <c r="F91" s="407">
        <f>E91-$J$91</f>
        <v>91</v>
      </c>
      <c r="G91" s="490"/>
      <c r="I91" s="492"/>
      <c r="J91" s="492">
        <v>3</v>
      </c>
      <c r="K91" s="492"/>
      <c r="L91" s="492"/>
      <c r="M91" s="493"/>
      <c r="N91" s="880"/>
      <c r="O91" s="880"/>
      <c r="P91" s="1771"/>
      <c r="Q91" s="489"/>
    </row>
    <row r="92" spans="1:17" ht="15.75" thickTop="1">
      <c r="A92" s="366"/>
      <c r="B92" s="468" t="str">
        <f>B28</f>
        <v>道路级别</v>
      </c>
      <c r="C92" s="3140" t="s">
        <v>3438</v>
      </c>
      <c r="D92" s="3140" t="s">
        <v>3437</v>
      </c>
      <c r="E92" s="3140" t="s">
        <v>3440</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5" t="s">
        <v>3445</v>
      </c>
      <c r="D100" s="3145" t="s">
        <v>3446</v>
      </c>
      <c r="E100" s="3145" t="s">
        <v>3435</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2">C101-$K32</f>
        <v>98</v>
      </c>
      <c r="E101" s="474">
        <f t="shared" si="22"/>
        <v>96</v>
      </c>
      <c r="F101" s="474">
        <f t="shared" si="22"/>
        <v>94</v>
      </c>
      <c r="G101" s="474">
        <f t="shared" si="22"/>
        <v>92</v>
      </c>
      <c r="H101" s="474">
        <f t="shared" si="22"/>
        <v>90</v>
      </c>
      <c r="I101" s="474">
        <f t="shared" si="22"/>
        <v>88</v>
      </c>
      <c r="J101" s="474">
        <f t="shared" si="22"/>
        <v>86</v>
      </c>
      <c r="K101" s="474">
        <f t="shared" si="22"/>
        <v>84</v>
      </c>
      <c r="L101" s="474">
        <f t="shared" si="22"/>
        <v>82</v>
      </c>
      <c r="M101" s="474">
        <f t="shared" si="22"/>
        <v>80</v>
      </c>
      <c r="N101" s="879"/>
      <c r="O101" s="879"/>
      <c r="P101" s="1770"/>
      <c r="Q101" s="438"/>
    </row>
    <row r="102" spans="1:17" ht="15.75" thickTop="1">
      <c r="A102" s="366"/>
      <c r="B102" s="468" t="s">
        <v>1735</v>
      </c>
      <c r="C102" s="508" t="str">
        <f>C103&amp;"(含)"&amp;"-"&amp;D103</f>
        <v>0(含)-50</v>
      </c>
      <c r="D102" s="508" t="str">
        <f t="shared" ref="D102:L102" si="23">D103&amp;"(含)"&amp;"-"&amp;E103</f>
        <v>50(含)-60</v>
      </c>
      <c r="E102" s="508" t="str">
        <f t="shared" si="23"/>
        <v>60(含)-70</v>
      </c>
      <c r="F102" s="508" t="str">
        <f t="shared" si="23"/>
        <v>70(含)-80</v>
      </c>
      <c r="G102" s="508" t="str">
        <f t="shared" si="23"/>
        <v>80(含)-90</v>
      </c>
      <c r="H102" s="508" t="str">
        <f t="shared" si="23"/>
        <v>90(含)-100</v>
      </c>
      <c r="I102" s="508" t="str">
        <f t="shared" si="23"/>
        <v>100(含)-</v>
      </c>
      <c r="J102" s="508" t="str">
        <f t="shared" si="23"/>
        <v>(含)-</v>
      </c>
      <c r="K102" s="508" t="str">
        <f>K103&amp;"(含)"&amp;"-"&amp;L103</f>
        <v>(含)-2</v>
      </c>
      <c r="L102" s="508" t="str">
        <f t="shared" si="23"/>
        <v>2(含)-</v>
      </c>
      <c r="M102" s="508" t="str">
        <f>M103&amp;"(含)"&amp;"-"&amp;P103</f>
        <v>(含)-</v>
      </c>
      <c r="N102" s="877"/>
      <c r="O102" s="877"/>
      <c r="P102" s="1770"/>
      <c r="Q102" s="438"/>
    </row>
    <row r="103" spans="1:17" s="407" customFormat="1">
      <c r="A103" s="405"/>
      <c r="B103" s="522"/>
      <c r="C103" s="6">
        <v>0</v>
      </c>
      <c r="D103" s="6">
        <v>50</v>
      </c>
      <c r="E103" s="6">
        <v>60</v>
      </c>
      <c r="F103" s="6">
        <v>70</v>
      </c>
      <c r="G103" s="6">
        <v>80</v>
      </c>
      <c r="H103" s="6">
        <v>90</v>
      </c>
      <c r="I103" s="6">
        <v>100</v>
      </c>
      <c r="J103" s="523"/>
      <c r="K103" s="523"/>
      <c r="L103" s="523">
        <v>2</v>
      </c>
      <c r="M103" s="525"/>
      <c r="N103" s="880"/>
      <c r="O103" s="880"/>
      <c r="P103" s="1771"/>
      <c r="Q103" s="489"/>
    </row>
    <row r="104" spans="1:17" s="407" customFormat="1" ht="15.75" thickBot="1">
      <c r="A104" s="483"/>
      <c r="B104" s="473"/>
      <c r="C104" s="466">
        <v>100</v>
      </c>
      <c r="D104" s="466">
        <f>C104-$L$103</f>
        <v>98</v>
      </c>
      <c r="E104" s="466">
        <f t="shared" ref="E104:I104" si="24">D104-$L$103</f>
        <v>96</v>
      </c>
      <c r="F104" s="466">
        <f t="shared" si="24"/>
        <v>94</v>
      </c>
      <c r="G104" s="466">
        <f t="shared" si="24"/>
        <v>92</v>
      </c>
      <c r="H104" s="466">
        <f t="shared" si="24"/>
        <v>90</v>
      </c>
      <c r="I104" s="466">
        <f t="shared" si="24"/>
        <v>88</v>
      </c>
      <c r="J104" s="466"/>
      <c r="K104" s="466"/>
      <c r="L104" s="466"/>
      <c r="M104" s="466"/>
      <c r="N104" s="879"/>
      <c r="O104" s="879"/>
      <c r="P104" s="1771"/>
      <c r="Q104" s="489"/>
    </row>
    <row r="105" spans="1:17" ht="15" thickTop="1">
      <c r="A105" s="408"/>
      <c r="B105" s="468" t="s">
        <v>1736</v>
      </c>
      <c r="C105" s="3140" t="s">
        <v>3412</v>
      </c>
      <c r="D105" s="3140" t="s">
        <v>3442</v>
      </c>
      <c r="E105" s="3146" t="s">
        <v>3457</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5">C106-$K34</f>
        <v>99.5</v>
      </c>
      <c r="E106" s="474">
        <f t="shared" si="25"/>
        <v>99</v>
      </c>
      <c r="F106" s="474">
        <f t="shared" si="25"/>
        <v>98.5</v>
      </c>
      <c r="G106" s="474">
        <f t="shared" si="25"/>
        <v>98</v>
      </c>
      <c r="H106" s="474">
        <f t="shared" si="25"/>
        <v>97.5</v>
      </c>
      <c r="I106" s="474">
        <f t="shared" si="25"/>
        <v>97</v>
      </c>
      <c r="J106" s="474">
        <f t="shared" si="25"/>
        <v>96.5</v>
      </c>
      <c r="K106" s="474">
        <f t="shared" si="25"/>
        <v>96</v>
      </c>
      <c r="L106" s="474">
        <f t="shared" si="25"/>
        <v>95.5</v>
      </c>
      <c r="M106" s="474">
        <f t="shared" si="25"/>
        <v>95</v>
      </c>
      <c r="N106" s="879"/>
      <c r="O106" s="879"/>
      <c r="P106" s="1770"/>
      <c r="Q106" s="438"/>
    </row>
    <row r="107" spans="1:17" ht="15" thickTop="1">
      <c r="A107" s="408"/>
      <c r="B107" s="3167" t="s">
        <v>3447</v>
      </c>
      <c r="C107" s="3161" t="s">
        <v>1719</v>
      </c>
      <c r="D107" s="3161" t="s">
        <v>1720</v>
      </c>
      <c r="E107" s="3161" t="s">
        <v>1721</v>
      </c>
      <c r="F107" s="3161" t="s">
        <v>1722</v>
      </c>
      <c r="G107" s="3161" t="s">
        <v>1723</v>
      </c>
      <c r="H107" s="512"/>
      <c r="I107" s="512"/>
      <c r="J107" s="512"/>
      <c r="K107" s="513"/>
      <c r="L107" s="514"/>
      <c r="M107" s="515"/>
      <c r="N107" s="878"/>
      <c r="O107" s="878"/>
      <c r="P107" s="1770"/>
      <c r="Q107" s="438"/>
    </row>
    <row r="108" spans="1:17" ht="15.75" thickBot="1">
      <c r="A108" s="366"/>
      <c r="B108" s="473"/>
      <c r="C108" s="474">
        <v>100</v>
      </c>
      <c r="D108" s="474">
        <f t="shared" ref="D108:M108" si="26">C108-$K35</f>
        <v>97</v>
      </c>
      <c r="E108" s="474">
        <f t="shared" si="26"/>
        <v>94</v>
      </c>
      <c r="F108" s="474">
        <f t="shared" si="26"/>
        <v>91</v>
      </c>
      <c r="G108" s="474">
        <f t="shared" si="26"/>
        <v>88</v>
      </c>
      <c r="H108" s="474">
        <f t="shared" si="26"/>
        <v>85</v>
      </c>
      <c r="I108" s="474">
        <f t="shared" si="26"/>
        <v>82</v>
      </c>
      <c r="J108" s="474">
        <f t="shared" si="26"/>
        <v>79</v>
      </c>
      <c r="K108" s="474">
        <f t="shared" si="26"/>
        <v>76</v>
      </c>
      <c r="L108" s="474">
        <f t="shared" si="26"/>
        <v>73</v>
      </c>
      <c r="M108" s="474">
        <f t="shared" si="26"/>
        <v>70</v>
      </c>
      <c r="N108" s="879"/>
      <c r="O108" s="879"/>
      <c r="P108" s="1770"/>
      <c r="Q108" s="438"/>
    </row>
    <row r="109" spans="1:17" ht="15" thickTop="1">
      <c r="A109" s="408"/>
      <c r="B109" s="468" t="s">
        <v>1737</v>
      </c>
      <c r="C109" s="3140" t="s">
        <v>3419</v>
      </c>
      <c r="D109" s="3140" t="s">
        <v>3413</v>
      </c>
      <c r="E109" s="3140" t="s">
        <v>3452</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7">C110-$K36</f>
        <v>100</v>
      </c>
      <c r="E110" s="474">
        <f t="shared" si="27"/>
        <v>100</v>
      </c>
      <c r="F110" s="474">
        <f t="shared" si="27"/>
        <v>100</v>
      </c>
      <c r="G110" s="474">
        <f t="shared" si="27"/>
        <v>100</v>
      </c>
      <c r="H110" s="474">
        <f t="shared" si="27"/>
        <v>100</v>
      </c>
      <c r="I110" s="474">
        <f t="shared" si="27"/>
        <v>100</v>
      </c>
      <c r="J110" s="474">
        <f t="shared" si="27"/>
        <v>100</v>
      </c>
      <c r="K110" s="474">
        <f t="shared" si="27"/>
        <v>100</v>
      </c>
      <c r="L110" s="474">
        <f t="shared" si="27"/>
        <v>100</v>
      </c>
      <c r="M110" s="474">
        <f t="shared" si="27"/>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100.5</v>
      </c>
      <c r="E113" s="474">
        <f>D113+$K37</f>
        <v>101</v>
      </c>
      <c r="F113" s="474">
        <f>E113+$K37</f>
        <v>101.5</v>
      </c>
      <c r="G113" s="474">
        <f>F113+$K37</f>
        <v>102</v>
      </c>
      <c r="H113" s="474">
        <f>G113+$K37</f>
        <v>102.5</v>
      </c>
      <c r="I113" s="511"/>
      <c r="J113" s="533"/>
      <c r="K113" s="533"/>
      <c r="L113" s="533"/>
      <c r="M113" s="534"/>
      <c r="N113" s="880"/>
      <c r="O113" s="880"/>
      <c r="P113" s="1771"/>
      <c r="Q113" s="489"/>
    </row>
    <row r="114" spans="1:17" ht="15" thickTop="1">
      <c r="A114" s="408"/>
      <c r="B114" s="468" t="s">
        <v>1738</v>
      </c>
      <c r="C114" s="3140" t="s">
        <v>3414</v>
      </c>
      <c r="D114" s="3140" t="s">
        <v>3441</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28">C115-$K38</f>
        <v>99</v>
      </c>
      <c r="E115" s="474">
        <f t="shared" si="28"/>
        <v>98</v>
      </c>
      <c r="F115" s="474">
        <f t="shared" si="28"/>
        <v>97</v>
      </c>
      <c r="G115" s="474">
        <f t="shared" si="28"/>
        <v>96</v>
      </c>
      <c r="H115" s="474">
        <f t="shared" si="28"/>
        <v>95</v>
      </c>
      <c r="I115" s="474">
        <f t="shared" si="28"/>
        <v>94</v>
      </c>
      <c r="J115" s="474">
        <f t="shared" si="28"/>
        <v>93</v>
      </c>
      <c r="K115" s="474">
        <f t="shared" si="28"/>
        <v>92</v>
      </c>
      <c r="L115" s="474">
        <f t="shared" si="28"/>
        <v>91</v>
      </c>
      <c r="M115" s="474">
        <f t="shared" si="28"/>
        <v>90</v>
      </c>
      <c r="N115" s="879"/>
      <c r="O115" s="879"/>
      <c r="P115" s="1770"/>
      <c r="Q115" s="438"/>
    </row>
    <row r="116" spans="1:17" ht="15" thickTop="1">
      <c r="A116" s="408"/>
      <c r="B116" s="468" t="s">
        <v>1739</v>
      </c>
      <c r="C116" s="3140" t="s">
        <v>3415</v>
      </c>
      <c r="D116" s="3140"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6" t="s">
        <v>3418</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29">C119-$K40</f>
        <v>100</v>
      </c>
      <c r="E119" s="474">
        <f t="shared" si="29"/>
        <v>100</v>
      </c>
      <c r="F119" s="474">
        <f t="shared" si="29"/>
        <v>100</v>
      </c>
      <c r="G119" s="474">
        <f t="shared" si="29"/>
        <v>100</v>
      </c>
      <c r="H119" s="474">
        <f t="shared" si="29"/>
        <v>100</v>
      </c>
      <c r="I119" s="474">
        <f t="shared" si="29"/>
        <v>100</v>
      </c>
      <c r="J119" s="474">
        <f t="shared" si="29"/>
        <v>100</v>
      </c>
      <c r="K119" s="474">
        <f t="shared" si="29"/>
        <v>100</v>
      </c>
      <c r="L119" s="474">
        <f t="shared" si="29"/>
        <v>100</v>
      </c>
      <c r="M119" s="474">
        <f t="shared" si="29"/>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0" t="s">
        <v>3419</v>
      </c>
      <c r="D122" s="3140" t="s">
        <v>3413</v>
      </c>
      <c r="E122" s="3140" t="s">
        <v>3452</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0">C123-$K42</f>
        <v>99.5</v>
      </c>
      <c r="E123" s="474">
        <f t="shared" si="30"/>
        <v>99</v>
      </c>
      <c r="F123" s="474">
        <f t="shared" si="30"/>
        <v>98.5</v>
      </c>
      <c r="G123" s="474">
        <f t="shared" si="30"/>
        <v>98</v>
      </c>
      <c r="H123" s="474">
        <f t="shared" si="30"/>
        <v>97.5</v>
      </c>
      <c r="I123" s="474">
        <f t="shared" si="30"/>
        <v>97</v>
      </c>
      <c r="J123" s="474">
        <f t="shared" si="30"/>
        <v>96.5</v>
      </c>
      <c r="K123" s="474">
        <f t="shared" si="30"/>
        <v>96</v>
      </c>
      <c r="L123" s="474">
        <f t="shared" si="30"/>
        <v>95.5</v>
      </c>
      <c r="M123" s="474">
        <f t="shared" si="30"/>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户型结构</v>
      </c>
      <c r="C126" s="3188" t="s">
        <v>3469</v>
      </c>
      <c r="D126" s="3188" t="s">
        <v>3470</v>
      </c>
      <c r="E126" s="3188" t="s">
        <v>3471</v>
      </c>
      <c r="F126" s="508"/>
      <c r="G126" s="508"/>
      <c r="H126" s="485"/>
      <c r="I126" s="485">
        <v>1</v>
      </c>
      <c r="J126" s="485"/>
      <c r="K126" s="485"/>
      <c r="L126" s="486"/>
      <c r="M126" s="487"/>
      <c r="N126" s="880"/>
      <c r="O126" s="880"/>
      <c r="P126" s="1771"/>
      <c r="Q126" s="489"/>
    </row>
    <row r="127" spans="1:17" s="407" customFormat="1" ht="15.75" thickBot="1">
      <c r="A127" s="483"/>
      <c r="B127" s="473"/>
      <c r="C127" s="466">
        <f>D127+$I$126</f>
        <v>102</v>
      </c>
      <c r="D127" s="466">
        <f>E127+$I$126</f>
        <v>101</v>
      </c>
      <c r="E127" s="466">
        <v>100</v>
      </c>
      <c r="F127" s="466">
        <f>E127-$I$126</f>
        <v>99</v>
      </c>
      <c r="G127" s="490">
        <v>101</v>
      </c>
      <c r="H127" s="492"/>
      <c r="I127" s="492"/>
      <c r="J127" s="492"/>
      <c r="K127" s="492"/>
      <c r="L127" s="492"/>
      <c r="M127" s="493"/>
      <c r="N127" s="880"/>
      <c r="O127" s="880"/>
      <c r="P127" s="1771"/>
      <c r="Q127" s="489"/>
    </row>
    <row r="128" spans="1:17" ht="15" thickTop="1">
      <c r="A128" s="408"/>
      <c r="B128" s="468" t="str">
        <f>B45</f>
        <v>户型结构</v>
      </c>
      <c r="C128" s="484">
        <v>2005</v>
      </c>
      <c r="D128" s="484">
        <v>2004</v>
      </c>
      <c r="E128" s="484">
        <v>2003</v>
      </c>
      <c r="F128" s="484">
        <v>2002</v>
      </c>
      <c r="G128" s="512">
        <v>2001</v>
      </c>
      <c r="H128" s="512"/>
      <c r="I128" s="3186">
        <v>0.5</v>
      </c>
      <c r="J128" s="512"/>
      <c r="K128" s="513"/>
      <c r="L128" s="514"/>
      <c r="M128" s="515"/>
      <c r="N128" s="878"/>
      <c r="O128" s="878"/>
      <c r="P128" s="1770"/>
      <c r="Q128" s="438"/>
    </row>
    <row r="129" spans="1:17" ht="15.75" thickBot="1">
      <c r="A129" s="366"/>
      <c r="B129" s="473"/>
      <c r="C129" s="490">
        <v>100</v>
      </c>
      <c r="D129" s="490">
        <f>C129-$I$128</f>
        <v>99.5</v>
      </c>
      <c r="E129" s="490">
        <f t="shared" ref="E129:G129" si="31">D129-$I$128</f>
        <v>99</v>
      </c>
      <c r="F129" s="490">
        <f t="shared" si="31"/>
        <v>98.5</v>
      </c>
      <c r="G129" s="490">
        <f t="shared" si="31"/>
        <v>98</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8" priority="16" stopIfTrue="1">
      <formula>$F$52="超过30%"</formula>
    </cfRule>
  </conditionalFormatting>
  <conditionalFormatting sqref="E53">
    <cfRule type="expression" dxfId="97" priority="13" stopIfTrue="1">
      <formula>$F$53="超过20%"</formula>
    </cfRule>
  </conditionalFormatting>
  <conditionalFormatting sqref="E54">
    <cfRule type="expression" dxfId="96" priority="12" stopIfTrue="1">
      <formula>$F$54="超过30%"</formula>
    </cfRule>
  </conditionalFormatting>
  <conditionalFormatting sqref="F7:F46 H7:H46">
    <cfRule type="cellIs" dxfId="95" priority="2" operator="notEqual">
      <formula>100</formula>
    </cfRule>
  </conditionalFormatting>
  <conditionalFormatting sqref="F52:F54 H52:H54 J52:J54">
    <cfRule type="containsText" dxfId="94" priority="17" stopIfTrue="1" operator="containsText" text="超过">
      <formula>NOT(ISERROR(SEARCH("超过",F52)))</formula>
    </cfRule>
  </conditionalFormatting>
  <conditionalFormatting sqref="G52">
    <cfRule type="expression" dxfId="93" priority="11" stopIfTrue="1">
      <formula>$H$52="超过30%"</formula>
    </cfRule>
  </conditionalFormatting>
  <conditionalFormatting sqref="G53">
    <cfRule type="expression" dxfId="92" priority="10" stopIfTrue="1">
      <formula>$H$53="超过20%"</formula>
    </cfRule>
  </conditionalFormatting>
  <conditionalFormatting sqref="G54">
    <cfRule type="expression" dxfId="91" priority="14" stopIfTrue="1">
      <formula>$H$54="超过30%"</formula>
    </cfRule>
  </conditionalFormatting>
  <conditionalFormatting sqref="I52">
    <cfRule type="expression" dxfId="90" priority="9" stopIfTrue="1">
      <formula>$J$52="超过30%"</formula>
    </cfRule>
  </conditionalFormatting>
  <conditionalFormatting sqref="I53">
    <cfRule type="expression" dxfId="89" priority="8" stopIfTrue="1">
      <formula>$J$53="超过20%"</formula>
    </cfRule>
  </conditionalFormatting>
  <conditionalFormatting sqref="I54">
    <cfRule type="expression" dxfId="88" priority="7" stopIfTrue="1">
      <formula>$J$54="超过30%"</formula>
    </cfRule>
  </conditionalFormatting>
  <conditionalFormatting sqref="J7:J46">
    <cfRule type="cellIs" dxfId="8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C43:C44 E43:E44 I43:I44 G43:G44"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49.92</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25" t="s">
        <v>1772</v>
      </c>
      <c r="Q4" s="3426"/>
      <c r="R4" s="3407" t="s">
        <v>1768</v>
      </c>
      <c r="S4" s="3408"/>
      <c r="T4" s="3407" t="s">
        <v>1769</v>
      </c>
      <c r="U4" s="3408"/>
      <c r="V4" s="3433" t="s">
        <v>1770</v>
      </c>
      <c r="W4" s="3433"/>
      <c r="X4" s="1263"/>
      <c r="Y4" s="3407" t="s">
        <v>1772</v>
      </c>
      <c r="Z4" s="3408"/>
      <c r="AA4" s="3402" t="s">
        <v>1768</v>
      </c>
      <c r="AB4" s="3433" t="s">
        <v>1769</v>
      </c>
      <c r="AC4" s="3402" t="s">
        <v>1770</v>
      </c>
    </row>
    <row r="5" spans="1:29" ht="15">
      <c r="A5" s="347"/>
      <c r="B5" s="348"/>
      <c r="C5" s="3417" t="s">
        <v>1673</v>
      </c>
      <c r="D5" s="3414"/>
      <c r="E5" s="3448" t="s">
        <v>1674</v>
      </c>
      <c r="F5" s="3412"/>
      <c r="G5" s="3417" t="s">
        <v>1675</v>
      </c>
      <c r="H5" s="3414"/>
      <c r="I5" s="3417" t="s">
        <v>1676</v>
      </c>
      <c r="J5" s="3414"/>
      <c r="K5" s="536"/>
      <c r="L5" s="2481"/>
      <c r="M5" s="2482"/>
      <c r="N5" s="2482"/>
      <c r="O5" s="2482"/>
      <c r="P5" s="3427"/>
      <c r="Q5" s="3428"/>
      <c r="R5" s="3409"/>
      <c r="S5" s="3410"/>
      <c r="T5" s="3409"/>
      <c r="U5" s="3410"/>
      <c r="V5" s="3433"/>
      <c r="W5" s="3433"/>
      <c r="X5" s="1263"/>
      <c r="Y5" s="3409"/>
      <c r="Z5" s="3410"/>
      <c r="AA5" s="3403"/>
      <c r="AB5" s="3433"/>
      <c r="AC5" s="3403"/>
    </row>
    <row r="6" spans="1:29" ht="15.75" thickBot="1">
      <c r="A6" s="349"/>
      <c r="B6" s="350"/>
      <c r="C6" s="3415" t="s">
        <v>1677</v>
      </c>
      <c r="D6" s="3416"/>
      <c r="E6" s="3418" t="s">
        <v>1677</v>
      </c>
      <c r="F6" s="3419"/>
      <c r="G6" s="3415" t="s">
        <v>1677</v>
      </c>
      <c r="H6" s="3416"/>
      <c r="I6" s="3415" t="s">
        <v>1677</v>
      </c>
      <c r="J6" s="3416"/>
      <c r="K6" s="536" t="s">
        <v>1678</v>
      </c>
      <c r="L6" s="2481"/>
      <c r="M6" s="2482"/>
      <c r="N6" s="2482"/>
      <c r="O6" s="2482"/>
      <c r="P6" s="3429"/>
      <c r="Q6" s="3430"/>
      <c r="R6" s="3409"/>
      <c r="S6" s="3410"/>
      <c r="T6" s="3431"/>
      <c r="U6" s="3432"/>
      <c r="V6" s="3433"/>
      <c r="W6" s="3433"/>
      <c r="X6" s="1263"/>
      <c r="Y6" s="3431"/>
      <c r="Z6" s="3432"/>
      <c r="AA6" s="3404"/>
      <c r="AB6" s="3433"/>
      <c r="AC6" s="3404"/>
    </row>
    <row r="7" spans="1:29" s="101" customFormat="1" ht="15.75" thickBot="1">
      <c r="A7" s="351" t="s">
        <v>1679</v>
      </c>
      <c r="B7" s="352"/>
      <c r="C7" s="353">
        <f>'数据-取费表'!B2</f>
        <v>45583</v>
      </c>
      <c r="D7" s="354">
        <v>100</v>
      </c>
      <c r="E7" s="355"/>
      <c r="F7" s="356">
        <f>SUMIF(58:58,YEAR(E7)&amp;"-"&amp;MONTH(E7),59:59)</f>
        <v>0</v>
      </c>
      <c r="G7" s="355"/>
      <c r="H7" s="354">
        <f>SUMIF(58:58,YEAR(G7)&amp;"-"&amp;MONTH(G7),59:59)</f>
        <v>0</v>
      </c>
      <c r="I7" s="355"/>
      <c r="J7" s="354">
        <f>SUMIF(58:58,YEAR(I7)&amp;"-"&amp;MONTH(I7),59:59)</f>
        <v>0</v>
      </c>
      <c r="K7" s="38"/>
      <c r="L7" s="2483"/>
      <c r="M7" s="2434"/>
      <c r="N7" s="2434"/>
      <c r="O7" s="2434"/>
      <c r="P7" s="3405" t="s">
        <v>1680</v>
      </c>
      <c r="Q7" s="3434"/>
      <c r="R7" s="663" t="s">
        <v>14</v>
      </c>
      <c r="S7" s="664">
        <f t="shared" ref="S7:S15" si="0">F7</f>
        <v>0</v>
      </c>
      <c r="T7" s="663" t="s">
        <v>14</v>
      </c>
      <c r="U7" s="664">
        <f t="shared" ref="U7:U15" si="1">H7</f>
        <v>0</v>
      </c>
      <c r="V7" s="663" t="s">
        <v>14</v>
      </c>
      <c r="W7" s="664">
        <f t="shared" ref="W7:W15" si="2">J7</f>
        <v>0</v>
      </c>
      <c r="X7" s="665"/>
      <c r="Y7" s="3405" t="s">
        <v>1680</v>
      </c>
      <c r="Z7" s="3406"/>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05" t="s">
        <v>1683</v>
      </c>
      <c r="Q8" s="3406"/>
      <c r="R8" s="663" t="s">
        <v>14</v>
      </c>
      <c r="S8" s="664">
        <f t="shared" si="0"/>
        <v>100</v>
      </c>
      <c r="T8" s="663" t="s">
        <v>14</v>
      </c>
      <c r="U8" s="664">
        <f t="shared" si="1"/>
        <v>100</v>
      </c>
      <c r="V8" s="663" t="s">
        <v>14</v>
      </c>
      <c r="W8" s="664">
        <f t="shared" si="2"/>
        <v>100</v>
      </c>
      <c r="X8" s="665"/>
      <c r="Y8" s="3405" t="s">
        <v>1683</v>
      </c>
      <c r="Z8" s="3406"/>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20"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20"/>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20"/>
      <c r="Q11" s="529" t="str">
        <f t="shared" si="6"/>
        <v>容积率</v>
      </c>
      <c r="R11" s="663" t="s">
        <v>14</v>
      </c>
      <c r="S11" s="664" t="e">
        <f t="shared" si="0"/>
        <v>#N/A</v>
      </c>
      <c r="T11" s="663" t="s">
        <v>14</v>
      </c>
      <c r="U11" s="664" t="e">
        <f t="shared" si="1"/>
        <v>#N/A</v>
      </c>
      <c r="V11" s="663" t="s">
        <v>14</v>
      </c>
      <c r="W11" s="664" t="e">
        <f t="shared" si="2"/>
        <v>#N/A</v>
      </c>
      <c r="X11" s="665"/>
      <c r="Y11" s="3349"/>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20"/>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20"/>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20"/>
      <c r="Q14" s="529">
        <f t="shared" si="6"/>
        <v>111</v>
      </c>
      <c r="R14" s="663" t="s">
        <v>14</v>
      </c>
      <c r="S14" s="664">
        <f t="shared" si="0"/>
        <v>100</v>
      </c>
      <c r="T14" s="663" t="s">
        <v>14</v>
      </c>
      <c r="U14" s="664">
        <f t="shared" si="1"/>
        <v>100</v>
      </c>
      <c r="V14" s="663" t="s">
        <v>14</v>
      </c>
      <c r="W14" s="664">
        <f t="shared" si="2"/>
        <v>100</v>
      </c>
      <c r="X14" s="665"/>
      <c r="Y14" s="3349"/>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46" t="s">
        <v>1691</v>
      </c>
      <c r="Q15" s="1261" t="str">
        <f t="shared" si="6"/>
        <v>商业繁华度</v>
      </c>
      <c r="R15" s="666" t="s">
        <v>14</v>
      </c>
      <c r="S15" s="667">
        <f t="shared" si="0"/>
        <v>100</v>
      </c>
      <c r="T15" s="666" t="s">
        <v>14</v>
      </c>
      <c r="U15" s="667">
        <f t="shared" si="1"/>
        <v>100</v>
      </c>
      <c r="V15" s="666" t="s">
        <v>14</v>
      </c>
      <c r="W15" s="667">
        <f t="shared" si="2"/>
        <v>100</v>
      </c>
      <c r="X15" s="1263"/>
      <c r="Y15" s="3439"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47"/>
      <c r="Q16" s="1261"/>
      <c r="R16" s="666"/>
      <c r="S16" s="667"/>
      <c r="T16" s="666"/>
      <c r="U16" s="667"/>
      <c r="V16" s="666"/>
      <c r="W16" s="667"/>
      <c r="X16" s="1263"/>
      <c r="Y16" s="3440"/>
      <c r="Z16" s="1262"/>
      <c r="AA16" s="1262">
        <v>1</v>
      </c>
      <c r="AB16" s="1262">
        <v>1</v>
      </c>
      <c r="AC16" s="1262">
        <v>1</v>
      </c>
    </row>
    <row r="17" spans="1:29" ht="85.5">
      <c r="A17" s="366"/>
      <c r="B17" s="389" t="s">
        <v>1259</v>
      </c>
      <c r="C17" s="1751" t="str">
        <f>估价对象房地状况!C6</f>
        <v>周边有333路、908路、909路等多条公交线路及地铁16号线西北旺站，综合评价交通便捷度较好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47"/>
      <c r="Q17" s="1261" t="str">
        <f>B17</f>
        <v>交通便捷度</v>
      </c>
      <c r="R17" s="666" t="s">
        <v>14</v>
      </c>
      <c r="S17" s="667">
        <f>F17</f>
        <v>100</v>
      </c>
      <c r="T17" s="666" t="s">
        <v>14</v>
      </c>
      <c r="U17" s="667">
        <f>H17</f>
        <v>100</v>
      </c>
      <c r="V17" s="666" t="s">
        <v>14</v>
      </c>
      <c r="W17" s="667">
        <f>J17</f>
        <v>100</v>
      </c>
      <c r="X17" s="1263"/>
      <c r="Y17" s="3440"/>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47"/>
      <c r="Q18" s="1261"/>
      <c r="R18" s="666"/>
      <c r="S18" s="667"/>
      <c r="T18" s="666"/>
      <c r="U18" s="667"/>
      <c r="V18" s="666"/>
      <c r="W18" s="667"/>
      <c r="X18" s="1263"/>
      <c r="Y18" s="3440"/>
      <c r="Z18" s="1262"/>
      <c r="AA18" s="1262">
        <v>1</v>
      </c>
      <c r="AB18" s="1262">
        <v>1</v>
      </c>
      <c r="AC18" s="1262">
        <v>1</v>
      </c>
    </row>
    <row r="19" spans="1:29" ht="299.25">
      <c r="A19" s="366"/>
      <c r="B19" s="389" t="s">
        <v>1775</v>
      </c>
      <c r="C19" s="1751"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47"/>
      <c r="Q19" s="1261" t="str">
        <f>B19</f>
        <v>公共配套设施</v>
      </c>
      <c r="R19" s="666" t="s">
        <v>14</v>
      </c>
      <c r="S19" s="667">
        <f>F19</f>
        <v>100</v>
      </c>
      <c r="T19" s="666" t="s">
        <v>14</v>
      </c>
      <c r="U19" s="667">
        <f>H19</f>
        <v>100</v>
      </c>
      <c r="V19" s="666" t="s">
        <v>14</v>
      </c>
      <c r="W19" s="667">
        <f>J19</f>
        <v>100</v>
      </c>
      <c r="X19" s="1263"/>
      <c r="Y19" s="3440"/>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47"/>
      <c r="Q20" s="1261"/>
      <c r="R20" s="666"/>
      <c r="S20" s="667"/>
      <c r="T20" s="666"/>
      <c r="U20" s="667"/>
      <c r="V20" s="666"/>
      <c r="W20" s="667"/>
      <c r="X20" s="1263"/>
      <c r="Y20" s="3440"/>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47"/>
      <c r="Q21" s="1261" t="str">
        <f>B21</f>
        <v>基础设施水平</v>
      </c>
      <c r="R21" s="666" t="s">
        <v>14</v>
      </c>
      <c r="S21" s="667">
        <f>F21</f>
        <v>100</v>
      </c>
      <c r="T21" s="666" t="s">
        <v>14</v>
      </c>
      <c r="U21" s="667">
        <f>H21</f>
        <v>100</v>
      </c>
      <c r="V21" s="666" t="s">
        <v>14</v>
      </c>
      <c r="W21" s="667">
        <f>J21</f>
        <v>100</v>
      </c>
      <c r="X21" s="1263"/>
      <c r="Y21" s="3440"/>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47"/>
      <c r="Q22" s="1261"/>
      <c r="R22" s="666"/>
      <c r="S22" s="667"/>
      <c r="T22" s="666"/>
      <c r="U22" s="667"/>
      <c r="V22" s="666"/>
      <c r="W22" s="667"/>
      <c r="X22" s="1263"/>
      <c r="Y22" s="3440"/>
      <c r="Z22" s="1262"/>
      <c r="AA22" s="1262">
        <v>1</v>
      </c>
      <c r="AB22" s="1262">
        <v>1</v>
      </c>
      <c r="AC22" s="1262">
        <v>1</v>
      </c>
    </row>
    <row r="23" spans="1:29" ht="85.5">
      <c r="A23" s="366"/>
      <c r="B23" s="389" t="s">
        <v>1261</v>
      </c>
      <c r="C23" s="1801" t="str">
        <f>估价对象房地状况!C9</f>
        <v>自然环境：百望山森林公园、中关村公园等自然景观；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47"/>
      <c r="Q23" s="1261" t="str">
        <f>B23</f>
        <v>自然及人文环境</v>
      </c>
      <c r="R23" s="666" t="s">
        <v>14</v>
      </c>
      <c r="S23" s="667">
        <f>F23</f>
        <v>100</v>
      </c>
      <c r="T23" s="666" t="s">
        <v>14</v>
      </c>
      <c r="U23" s="667">
        <f>H23</f>
        <v>100</v>
      </c>
      <c r="V23" s="666" t="s">
        <v>14</v>
      </c>
      <c r="W23" s="667">
        <f>J23</f>
        <v>100</v>
      </c>
      <c r="X23" s="1263"/>
      <c r="Y23" s="3440"/>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47"/>
      <c r="Q24" s="1261"/>
      <c r="R24" s="666"/>
      <c r="S24" s="667"/>
      <c r="T24" s="666"/>
      <c r="U24" s="667"/>
      <c r="V24" s="666"/>
      <c r="W24" s="667"/>
      <c r="X24" s="1263"/>
      <c r="Y24" s="3440"/>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47"/>
      <c r="Q25" s="1261" t="str">
        <f t="shared" ref="Q25:Q46" si="8">B25</f>
        <v>临街状况</v>
      </c>
      <c r="R25" s="666" t="s">
        <v>14</v>
      </c>
      <c r="S25" s="667">
        <f>F25</f>
        <v>100</v>
      </c>
      <c r="T25" s="666" t="s">
        <v>14</v>
      </c>
      <c r="U25" s="667">
        <f>H25</f>
        <v>100</v>
      </c>
      <c r="V25" s="666" t="s">
        <v>14</v>
      </c>
      <c r="W25" s="667">
        <f>J25</f>
        <v>100</v>
      </c>
      <c r="X25" s="1263"/>
      <c r="Y25" s="3440"/>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47"/>
      <c r="Q26" s="1261" t="str">
        <f t="shared" si="8"/>
        <v>平面位置/可视性</v>
      </c>
      <c r="R26" s="666" t="s">
        <v>14</v>
      </c>
      <c r="S26" s="667">
        <f>F26</f>
        <v>100</v>
      </c>
      <c r="T26" s="666" t="s">
        <v>14</v>
      </c>
      <c r="U26" s="667">
        <f>H26</f>
        <v>100</v>
      </c>
      <c r="V26" s="666" t="s">
        <v>14</v>
      </c>
      <c r="W26" s="667">
        <f>J26</f>
        <v>100</v>
      </c>
      <c r="X26" s="1263"/>
      <c r="Y26" s="3440"/>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47"/>
      <c r="Q27" s="529" t="str">
        <f t="shared" si="8"/>
        <v>人流量</v>
      </c>
      <c r="R27" s="663" t="s">
        <v>14</v>
      </c>
      <c r="S27" s="664">
        <f>F27</f>
        <v>100</v>
      </c>
      <c r="T27" s="663" t="s">
        <v>14</v>
      </c>
      <c r="U27" s="664">
        <f>H27</f>
        <v>100</v>
      </c>
      <c r="V27" s="663" t="s">
        <v>14</v>
      </c>
      <c r="W27" s="664">
        <f>J27</f>
        <v>100</v>
      </c>
      <c r="X27" s="665"/>
      <c r="Y27" s="3440"/>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47"/>
      <c r="Q28" s="1261" t="str">
        <f t="shared" si="8"/>
        <v>楼层</v>
      </c>
      <c r="R28" s="666" t="s">
        <v>14</v>
      </c>
      <c r="S28" s="667">
        <f t="shared" ref="S28:S46" si="9">F28</f>
        <v>100</v>
      </c>
      <c r="T28" s="666" t="s">
        <v>14</v>
      </c>
      <c r="U28" s="667">
        <f t="shared" ref="U28:U46" si="10">H28</f>
        <v>100</v>
      </c>
      <c r="V28" s="666" t="s">
        <v>14</v>
      </c>
      <c r="W28" s="667">
        <f t="shared" ref="W28:W46" si="11">J28</f>
        <v>100</v>
      </c>
      <c r="X28" s="1263"/>
      <c r="Y28" s="3440"/>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47"/>
      <c r="Q29" s="1261">
        <f t="shared" si="8"/>
        <v>111</v>
      </c>
      <c r="R29" s="666" t="s">
        <v>14</v>
      </c>
      <c r="S29" s="667">
        <f t="shared" si="9"/>
        <v>100</v>
      </c>
      <c r="T29" s="666" t="s">
        <v>14</v>
      </c>
      <c r="U29" s="667">
        <f t="shared" si="10"/>
        <v>100</v>
      </c>
      <c r="V29" s="666" t="s">
        <v>14</v>
      </c>
      <c r="W29" s="667">
        <f t="shared" si="11"/>
        <v>100</v>
      </c>
      <c r="X29" s="1263"/>
      <c r="Y29" s="3440"/>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47"/>
      <c r="Q30" s="1261">
        <f t="shared" si="8"/>
        <v>111</v>
      </c>
      <c r="R30" s="666" t="s">
        <v>14</v>
      </c>
      <c r="S30" s="667">
        <f t="shared" si="9"/>
        <v>100</v>
      </c>
      <c r="T30" s="666" t="s">
        <v>14</v>
      </c>
      <c r="U30" s="667">
        <f t="shared" si="10"/>
        <v>100</v>
      </c>
      <c r="V30" s="666" t="s">
        <v>14</v>
      </c>
      <c r="W30" s="667">
        <f t="shared" si="11"/>
        <v>100</v>
      </c>
      <c r="X30" s="1263"/>
      <c r="Y30" s="3440"/>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47"/>
      <c r="Q31" s="1261">
        <f t="shared" si="8"/>
        <v>111</v>
      </c>
      <c r="R31" s="666" t="s">
        <v>14</v>
      </c>
      <c r="S31" s="667">
        <f t="shared" si="9"/>
        <v>100</v>
      </c>
      <c r="T31" s="666" t="s">
        <v>14</v>
      </c>
      <c r="U31" s="667">
        <f t="shared" si="10"/>
        <v>100</v>
      </c>
      <c r="V31" s="666" t="s">
        <v>14</v>
      </c>
      <c r="W31" s="667">
        <f t="shared" si="11"/>
        <v>100</v>
      </c>
      <c r="X31" s="1263"/>
      <c r="Y31" s="3440"/>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41" t="s">
        <v>1696</v>
      </c>
      <c r="Q32" s="1261" t="str">
        <f t="shared" si="8"/>
        <v>商业类型</v>
      </c>
      <c r="R32" s="666" t="s">
        <v>14</v>
      </c>
      <c r="S32" s="667">
        <f t="shared" si="9"/>
        <v>100</v>
      </c>
      <c r="T32" s="666" t="s">
        <v>14</v>
      </c>
      <c r="U32" s="667">
        <f t="shared" si="10"/>
        <v>100</v>
      </c>
      <c r="V32" s="666" t="s">
        <v>14</v>
      </c>
      <c r="W32" s="667">
        <f t="shared" si="11"/>
        <v>100</v>
      </c>
      <c r="X32" s="1263"/>
      <c r="Y32" s="3444"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42"/>
      <c r="Q33" s="530" t="str">
        <f t="shared" si="8"/>
        <v>项目建筑规模</v>
      </c>
      <c r="R33" s="668" t="s">
        <v>14</v>
      </c>
      <c r="S33" s="669" t="e">
        <f t="shared" si="9"/>
        <v>#N/A</v>
      </c>
      <c r="T33" s="668" t="s">
        <v>14</v>
      </c>
      <c r="U33" s="669" t="e">
        <f t="shared" si="10"/>
        <v>#N/A</v>
      </c>
      <c r="V33" s="668" t="s">
        <v>14</v>
      </c>
      <c r="W33" s="669" t="e">
        <f t="shared" si="11"/>
        <v>#N/A</v>
      </c>
      <c r="X33" s="670"/>
      <c r="Y33" s="3444"/>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42"/>
      <c r="Q34" s="1261" t="str">
        <f t="shared" si="8"/>
        <v>建筑结构</v>
      </c>
      <c r="R34" s="666" t="s">
        <v>14</v>
      </c>
      <c r="S34" s="667">
        <f t="shared" si="9"/>
        <v>100</v>
      </c>
      <c r="T34" s="666" t="s">
        <v>14</v>
      </c>
      <c r="U34" s="667">
        <f t="shared" si="10"/>
        <v>100</v>
      </c>
      <c r="V34" s="666" t="s">
        <v>14</v>
      </c>
      <c r="W34" s="667">
        <f t="shared" si="11"/>
        <v>100</v>
      </c>
      <c r="X34" s="1263"/>
      <c r="Y34" s="3444"/>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42"/>
      <c r="Q35" s="1261" t="str">
        <f t="shared" si="8"/>
        <v>公共部分装修</v>
      </c>
      <c r="R35" s="666" t="s">
        <v>14</v>
      </c>
      <c r="S35" s="667">
        <f t="shared" si="9"/>
        <v>100</v>
      </c>
      <c r="T35" s="666" t="s">
        <v>14</v>
      </c>
      <c r="U35" s="667">
        <f t="shared" si="10"/>
        <v>100</v>
      </c>
      <c r="V35" s="666" t="s">
        <v>14</v>
      </c>
      <c r="W35" s="667">
        <f t="shared" si="11"/>
        <v>100</v>
      </c>
      <c r="X35" s="1263"/>
      <c r="Y35" s="3444"/>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42"/>
      <c r="Q36" s="1261" t="str">
        <f t="shared" si="8"/>
        <v>成新度</v>
      </c>
      <c r="R36" s="666" t="s">
        <v>14</v>
      </c>
      <c r="S36" s="667" t="e">
        <f t="shared" si="9"/>
        <v>#N/A</v>
      </c>
      <c r="T36" s="666" t="s">
        <v>14</v>
      </c>
      <c r="U36" s="667" t="e">
        <f t="shared" si="10"/>
        <v>#N/A</v>
      </c>
      <c r="V36" s="666" t="s">
        <v>14</v>
      </c>
      <c r="W36" s="667" t="e">
        <f t="shared" si="11"/>
        <v>#N/A</v>
      </c>
      <c r="X36" s="1263"/>
      <c r="Y36" s="3444"/>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42"/>
      <c r="Q37" s="529" t="str">
        <f t="shared" si="8"/>
        <v>市政基础设施</v>
      </c>
      <c r="R37" s="663" t="s">
        <v>14</v>
      </c>
      <c r="S37" s="664">
        <f t="shared" si="9"/>
        <v>100</v>
      </c>
      <c r="T37" s="663" t="s">
        <v>14</v>
      </c>
      <c r="U37" s="664">
        <f t="shared" si="10"/>
        <v>100</v>
      </c>
      <c r="V37" s="663" t="s">
        <v>14</v>
      </c>
      <c r="W37" s="664">
        <f t="shared" si="11"/>
        <v>100</v>
      </c>
      <c r="X37" s="665"/>
      <c r="Y37" s="3444"/>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42" t="s">
        <v>1696</v>
      </c>
      <c r="Q38" s="1261" t="str">
        <f t="shared" si="8"/>
        <v>业态</v>
      </c>
      <c r="R38" s="666" t="s">
        <v>14</v>
      </c>
      <c r="S38" s="667">
        <f t="shared" si="9"/>
        <v>100</v>
      </c>
      <c r="T38" s="666" t="s">
        <v>14</v>
      </c>
      <c r="U38" s="667">
        <f t="shared" si="10"/>
        <v>100</v>
      </c>
      <c r="V38" s="666" t="s">
        <v>14</v>
      </c>
      <c r="W38" s="667">
        <f t="shared" si="11"/>
        <v>100</v>
      </c>
      <c r="X38" s="1263"/>
      <c r="Y38" s="3444"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42"/>
      <c r="Q39" s="1261" t="str">
        <f t="shared" si="8"/>
        <v>层高</v>
      </c>
      <c r="R39" s="666" t="s">
        <v>14</v>
      </c>
      <c r="S39" s="667">
        <f t="shared" si="9"/>
        <v>100</v>
      </c>
      <c r="T39" s="666" t="s">
        <v>14</v>
      </c>
      <c r="U39" s="667">
        <f t="shared" si="10"/>
        <v>100</v>
      </c>
      <c r="V39" s="666" t="s">
        <v>14</v>
      </c>
      <c r="W39" s="667">
        <f t="shared" si="11"/>
        <v>100</v>
      </c>
      <c r="X39" s="1263"/>
      <c r="Y39" s="3444"/>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42"/>
      <c r="Q40" s="1261" t="str">
        <f t="shared" si="8"/>
        <v>单套建筑面积</v>
      </c>
      <c r="R40" s="666" t="s">
        <v>14</v>
      </c>
      <c r="S40" s="667">
        <f t="shared" si="9"/>
        <v>100</v>
      </c>
      <c r="T40" s="666" t="s">
        <v>14</v>
      </c>
      <c r="U40" s="667">
        <f t="shared" si="10"/>
        <v>100</v>
      </c>
      <c r="V40" s="666" t="s">
        <v>14</v>
      </c>
      <c r="W40" s="667">
        <f t="shared" si="11"/>
        <v>100</v>
      </c>
      <c r="X40" s="1263"/>
      <c r="Y40" s="3444"/>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42"/>
      <c r="Q41" s="530" t="str">
        <f t="shared" si="8"/>
        <v>进深比</v>
      </c>
      <c r="R41" s="668" t="s">
        <v>14</v>
      </c>
      <c r="S41" s="669">
        <f t="shared" si="9"/>
        <v>100</v>
      </c>
      <c r="T41" s="668" t="s">
        <v>14</v>
      </c>
      <c r="U41" s="669">
        <f t="shared" si="10"/>
        <v>100</v>
      </c>
      <c r="V41" s="668" t="s">
        <v>14</v>
      </c>
      <c r="W41" s="669">
        <f t="shared" si="11"/>
        <v>100</v>
      </c>
      <c r="X41" s="670"/>
      <c r="Y41" s="3444"/>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42"/>
      <c r="Q42" s="1261" t="str">
        <f t="shared" si="8"/>
        <v>内部装修</v>
      </c>
      <c r="R42" s="666" t="s">
        <v>14</v>
      </c>
      <c r="S42" s="667">
        <f t="shared" si="9"/>
        <v>100</v>
      </c>
      <c r="T42" s="666" t="s">
        <v>14</v>
      </c>
      <c r="U42" s="667">
        <f t="shared" si="10"/>
        <v>100</v>
      </c>
      <c r="V42" s="666" t="s">
        <v>14</v>
      </c>
      <c r="W42" s="667">
        <f t="shared" si="11"/>
        <v>100</v>
      </c>
      <c r="X42" s="1263"/>
      <c r="Y42" s="3444"/>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42"/>
      <c r="Q43" s="1261" t="str">
        <f t="shared" si="8"/>
        <v>内部装修维护情况</v>
      </c>
      <c r="R43" s="666" t="s">
        <v>14</v>
      </c>
      <c r="S43" s="667">
        <f t="shared" si="9"/>
        <v>100</v>
      </c>
      <c r="T43" s="666" t="s">
        <v>14</v>
      </c>
      <c r="U43" s="667">
        <f t="shared" si="10"/>
        <v>100</v>
      </c>
      <c r="V43" s="666" t="s">
        <v>14</v>
      </c>
      <c r="W43" s="667">
        <f t="shared" si="11"/>
        <v>100</v>
      </c>
      <c r="X43" s="1263"/>
      <c r="Y43" s="3444"/>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42"/>
      <c r="Q44" s="529">
        <f t="shared" si="8"/>
        <v>111</v>
      </c>
      <c r="R44" s="663" t="s">
        <v>14</v>
      </c>
      <c r="S44" s="664">
        <f t="shared" si="9"/>
        <v>100</v>
      </c>
      <c r="T44" s="663" t="s">
        <v>14</v>
      </c>
      <c r="U44" s="664">
        <f t="shared" si="10"/>
        <v>100</v>
      </c>
      <c r="V44" s="663" t="s">
        <v>14</v>
      </c>
      <c r="W44" s="664">
        <f t="shared" si="11"/>
        <v>100</v>
      </c>
      <c r="X44" s="665"/>
      <c r="Y44" s="3444"/>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42"/>
      <c r="Q45" s="1261">
        <f t="shared" si="8"/>
        <v>111</v>
      </c>
      <c r="R45" s="666" t="s">
        <v>14</v>
      </c>
      <c r="S45" s="667">
        <f t="shared" si="9"/>
        <v>100</v>
      </c>
      <c r="T45" s="666" t="s">
        <v>14</v>
      </c>
      <c r="U45" s="667">
        <f t="shared" si="10"/>
        <v>100</v>
      </c>
      <c r="V45" s="666" t="s">
        <v>14</v>
      </c>
      <c r="W45" s="667">
        <f t="shared" si="11"/>
        <v>100</v>
      </c>
      <c r="X45" s="1263"/>
      <c r="Y45" s="3444"/>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43"/>
      <c r="Q46" s="1261">
        <f t="shared" si="8"/>
        <v>111</v>
      </c>
      <c r="R46" s="666" t="s">
        <v>14</v>
      </c>
      <c r="S46" s="667">
        <f t="shared" si="9"/>
        <v>100</v>
      </c>
      <c r="T46" s="666" t="s">
        <v>14</v>
      </c>
      <c r="U46" s="667">
        <f t="shared" si="10"/>
        <v>100</v>
      </c>
      <c r="V46" s="666" t="s">
        <v>14</v>
      </c>
      <c r="W46" s="667">
        <f t="shared" si="11"/>
        <v>100</v>
      </c>
      <c r="X46" s="1263"/>
      <c r="Y46" s="3445"/>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38" t="str">
        <f>A47</f>
        <v>成交单价（元/平方米）</v>
      </c>
      <c r="Q47" s="3438"/>
      <c r="R47" s="3433">
        <f>E47</f>
        <v>0</v>
      </c>
      <c r="S47" s="3433"/>
      <c r="T47" s="3433">
        <f>G47</f>
        <v>0</v>
      </c>
      <c r="U47" s="3433"/>
      <c r="V47" s="3433">
        <f>I47</f>
        <v>0</v>
      </c>
      <c r="W47" s="3433"/>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38" t="str">
        <f>A48</f>
        <v>比较价值（元/平方米）</v>
      </c>
      <c r="Q48" s="3438"/>
      <c r="R48" s="3433" t="e">
        <f>IF(F1="售价",ROUND(PRODUCT(R47,AA7:AA46),0),ROUND(PRODUCT(R47,AA7:AA46),1))</f>
        <v>#DIV/0!</v>
      </c>
      <c r="S48" s="3433"/>
      <c r="T48" s="3433" t="e">
        <f>IF(F1="售价",ROUND(PRODUCT(T47,AB7:AB46),0),ROUND(PRODUCT(T47,AB7:AB46),1))</f>
        <v>#DIV/0!</v>
      </c>
      <c r="U48" s="3433"/>
      <c r="V48" s="3433" t="e">
        <f>IF(F1="售价",ROUND(PRODUCT(V47,AC7:AC46),0),ROUND(PRODUCT(V47,AC7:AC46),1))</f>
        <v>#DIV/0!</v>
      </c>
      <c r="W48" s="3433"/>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35" t="str">
        <f>A49</f>
        <v>估价对象XX用房的比较价值（楼面单价，元/平方米）</v>
      </c>
      <c r="Q49" s="3436"/>
      <c r="R49" s="3437" t="e">
        <f>IF(F1="售价",ROUND(IF(D48="简单平均",AVERAGE(R48:V48),R48*F48+T48*H48+V48*J48),0),ROUND(IF(D48="简单平均",AVERAGE(R48:V48),R48*F48+T48*H48+V48*J48),1))</f>
        <v>#DIV/0!</v>
      </c>
      <c r="S49" s="3437"/>
      <c r="T49" s="3437"/>
      <c r="U49" s="3437"/>
      <c r="V49" s="3437"/>
      <c r="W49" s="3437"/>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2024-10</v>
      </c>
      <c r="D58" s="1102">
        <f>EDATE(C58,-1)</f>
        <v>45536</v>
      </c>
      <c r="E58" s="1102">
        <f t="shared" ref="E58:N58" si="13">EDATE(D58,-1)</f>
        <v>45505</v>
      </c>
      <c r="F58" s="1102">
        <f t="shared" si="13"/>
        <v>45474</v>
      </c>
      <c r="G58" s="1102">
        <f t="shared" si="13"/>
        <v>45444</v>
      </c>
      <c r="H58" s="1102">
        <f t="shared" si="13"/>
        <v>45413</v>
      </c>
      <c r="I58" s="1102">
        <f t="shared" si="13"/>
        <v>45383</v>
      </c>
      <c r="J58" s="1102">
        <f t="shared" si="13"/>
        <v>45352</v>
      </c>
      <c r="K58" s="1102">
        <f t="shared" si="13"/>
        <v>45323</v>
      </c>
      <c r="L58" s="1102">
        <f t="shared" si="13"/>
        <v>45292</v>
      </c>
      <c r="M58" s="1102">
        <f t="shared" si="13"/>
        <v>45261</v>
      </c>
      <c r="N58" s="1102">
        <f t="shared" si="13"/>
        <v>45231</v>
      </c>
      <c r="O58" s="1102">
        <f>EDATE(N58,-1)</f>
        <v>45200</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49.92</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55" t="s">
        <v>1772</v>
      </c>
      <c r="Q4" s="3456"/>
      <c r="R4" s="3450" t="s">
        <v>1768</v>
      </c>
      <c r="S4" s="3451"/>
      <c r="T4" s="3450" t="s">
        <v>1769</v>
      </c>
      <c r="U4" s="3451"/>
      <c r="V4" s="3459" t="s">
        <v>1770</v>
      </c>
      <c r="W4" s="3459"/>
      <c r="X4" s="1804"/>
      <c r="Y4" s="3450" t="s">
        <v>1772</v>
      </c>
      <c r="Z4" s="3451"/>
      <c r="AA4" s="3449" t="s">
        <v>1768</v>
      </c>
      <c r="AB4" s="3449" t="s">
        <v>1769</v>
      </c>
      <c r="AC4" s="3452" t="s">
        <v>1770</v>
      </c>
    </row>
    <row r="5" spans="1:29" ht="15">
      <c r="A5" s="347"/>
      <c r="B5" s="348"/>
      <c r="C5" s="3417" t="s">
        <v>1673</v>
      </c>
      <c r="D5" s="3414"/>
      <c r="E5" s="3448" t="s">
        <v>1674</v>
      </c>
      <c r="F5" s="3412"/>
      <c r="G5" s="3417" t="s">
        <v>1675</v>
      </c>
      <c r="H5" s="3414"/>
      <c r="I5" s="3417" t="s">
        <v>1676</v>
      </c>
      <c r="J5" s="3414"/>
      <c r="K5" s="536"/>
      <c r="L5" s="2481"/>
      <c r="M5" s="2482"/>
      <c r="N5" s="2482"/>
      <c r="O5" s="2482"/>
      <c r="P5" s="3457"/>
      <c r="Q5" s="3428"/>
      <c r="R5" s="3409"/>
      <c r="S5" s="3410"/>
      <c r="T5" s="3409"/>
      <c r="U5" s="3410"/>
      <c r="V5" s="3433"/>
      <c r="W5" s="3433"/>
      <c r="X5" s="1263"/>
      <c r="Y5" s="3409"/>
      <c r="Z5" s="3410"/>
      <c r="AA5" s="3403"/>
      <c r="AB5" s="3403"/>
      <c r="AC5" s="3453"/>
    </row>
    <row r="6" spans="1:29" ht="15.75" thickBot="1">
      <c r="A6" s="349"/>
      <c r="B6" s="350"/>
      <c r="C6" s="3415" t="s">
        <v>1677</v>
      </c>
      <c r="D6" s="3416"/>
      <c r="E6" s="3418" t="s">
        <v>1677</v>
      </c>
      <c r="F6" s="3419"/>
      <c r="G6" s="3415" t="s">
        <v>1677</v>
      </c>
      <c r="H6" s="3416"/>
      <c r="I6" s="3415" t="s">
        <v>1677</v>
      </c>
      <c r="J6" s="3416"/>
      <c r="K6" s="536" t="s">
        <v>1678</v>
      </c>
      <c r="L6" s="2481"/>
      <c r="M6" s="2482"/>
      <c r="N6" s="2482"/>
      <c r="O6" s="2482"/>
      <c r="P6" s="3458"/>
      <c r="Q6" s="3430"/>
      <c r="R6" s="3409"/>
      <c r="S6" s="3410"/>
      <c r="T6" s="3431"/>
      <c r="U6" s="3432"/>
      <c r="V6" s="3433"/>
      <c r="W6" s="3433"/>
      <c r="X6" s="1263"/>
      <c r="Y6" s="3431"/>
      <c r="Z6" s="3432"/>
      <c r="AA6" s="3404"/>
      <c r="AB6" s="3404"/>
      <c r="AC6" s="3454"/>
    </row>
    <row r="7" spans="1:29" s="101" customFormat="1" ht="15.75" thickBot="1">
      <c r="A7" s="351" t="s">
        <v>1679</v>
      </c>
      <c r="B7" s="352"/>
      <c r="C7" s="353">
        <f>'数据-取费表'!B2</f>
        <v>45583</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0" t="s">
        <v>1680</v>
      </c>
      <c r="Q7" s="3434"/>
      <c r="R7" s="663" t="s">
        <v>14</v>
      </c>
      <c r="S7" s="664">
        <f t="shared" ref="S7:S15" si="0">F7</f>
        <v>0</v>
      </c>
      <c r="T7" s="663" t="s">
        <v>14</v>
      </c>
      <c r="U7" s="664">
        <f t="shared" ref="U7:U15" si="1">H7</f>
        <v>0</v>
      </c>
      <c r="V7" s="663" t="s">
        <v>14</v>
      </c>
      <c r="W7" s="664">
        <f t="shared" ref="W7:W15" si="2">J7</f>
        <v>0</v>
      </c>
      <c r="X7" s="665"/>
      <c r="Y7" s="3405" t="s">
        <v>1680</v>
      </c>
      <c r="Z7" s="3406"/>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0" t="s">
        <v>1683</v>
      </c>
      <c r="Q8" s="3406"/>
      <c r="R8" s="663" t="s">
        <v>14</v>
      </c>
      <c r="S8" s="664">
        <f t="shared" si="0"/>
        <v>100</v>
      </c>
      <c r="T8" s="663" t="s">
        <v>14</v>
      </c>
      <c r="U8" s="664">
        <f t="shared" si="1"/>
        <v>100</v>
      </c>
      <c r="V8" s="663" t="s">
        <v>14</v>
      </c>
      <c r="W8" s="664">
        <f t="shared" si="2"/>
        <v>100</v>
      </c>
      <c r="X8" s="665"/>
      <c r="Y8" s="3405" t="s">
        <v>1683</v>
      </c>
      <c r="Z8" s="3406"/>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20"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20"/>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20"/>
      <c r="Q11" s="529" t="str">
        <f t="shared" si="6"/>
        <v>容积率</v>
      </c>
      <c r="R11" s="663" t="s">
        <v>14</v>
      </c>
      <c r="S11" s="664">
        <f t="shared" si="0"/>
        <v>100</v>
      </c>
      <c r="T11" s="663" t="s">
        <v>14</v>
      </c>
      <c r="U11" s="664">
        <f t="shared" si="1"/>
        <v>100</v>
      </c>
      <c r="V11" s="663" t="s">
        <v>14</v>
      </c>
      <c r="W11" s="664">
        <f t="shared" si="2"/>
        <v>100</v>
      </c>
      <c r="X11" s="665"/>
      <c r="Y11" s="3349"/>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20"/>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20"/>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20"/>
      <c r="Q14" s="529">
        <f t="shared" si="6"/>
        <v>111</v>
      </c>
      <c r="R14" s="663" t="s">
        <v>14</v>
      </c>
      <c r="S14" s="664">
        <f t="shared" si="0"/>
        <v>100</v>
      </c>
      <c r="T14" s="663" t="s">
        <v>14</v>
      </c>
      <c r="U14" s="664">
        <f t="shared" si="1"/>
        <v>100</v>
      </c>
      <c r="V14" s="663" t="s">
        <v>14</v>
      </c>
      <c r="W14" s="664">
        <f t="shared" si="2"/>
        <v>100</v>
      </c>
      <c r="X14" s="665"/>
      <c r="Y14" s="3349"/>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46" t="s">
        <v>1691</v>
      </c>
      <c r="Q15" s="1261" t="str">
        <f t="shared" si="6"/>
        <v>办公集聚程度</v>
      </c>
      <c r="R15" s="666" t="s">
        <v>14</v>
      </c>
      <c r="S15" s="667">
        <f t="shared" si="0"/>
        <v>100</v>
      </c>
      <c r="T15" s="666" t="s">
        <v>14</v>
      </c>
      <c r="U15" s="667">
        <f t="shared" si="1"/>
        <v>100</v>
      </c>
      <c r="V15" s="666" t="s">
        <v>14</v>
      </c>
      <c r="W15" s="667">
        <f t="shared" si="2"/>
        <v>100</v>
      </c>
      <c r="X15" s="1263"/>
      <c r="Y15" s="3439"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47"/>
      <c r="Q16" s="1261"/>
      <c r="R16" s="666"/>
      <c r="S16" s="667"/>
      <c r="T16" s="666"/>
      <c r="U16" s="667"/>
      <c r="V16" s="666"/>
      <c r="W16" s="667"/>
      <c r="X16" s="1263"/>
      <c r="Y16" s="3440"/>
      <c r="Z16" s="1262"/>
      <c r="AA16" s="1262">
        <v>1</v>
      </c>
      <c r="AB16" s="1262">
        <v>1</v>
      </c>
      <c r="AC16" s="1807">
        <v>1</v>
      </c>
    </row>
    <row r="17" spans="1:29" ht="85.5">
      <c r="A17" s="366"/>
      <c r="B17" s="555" t="s">
        <v>1259</v>
      </c>
      <c r="C17" s="1808" t="str">
        <f>估价对象房地状况!C6</f>
        <v>周边有333路、908路、909路等多条公交线路及地铁16号线西北旺站，综合评价交通便捷度较好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47"/>
      <c r="Q17" s="1261" t="str">
        <f>B17</f>
        <v>交通便捷度</v>
      </c>
      <c r="R17" s="666" t="s">
        <v>14</v>
      </c>
      <c r="S17" s="667">
        <f>F17</f>
        <v>100</v>
      </c>
      <c r="T17" s="666" t="s">
        <v>14</v>
      </c>
      <c r="U17" s="667">
        <f>H17</f>
        <v>100</v>
      </c>
      <c r="V17" s="666" t="s">
        <v>14</v>
      </c>
      <c r="W17" s="667">
        <f>J17</f>
        <v>100</v>
      </c>
      <c r="X17" s="1263"/>
      <c r="Y17" s="3440"/>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47"/>
      <c r="Q18" s="1261"/>
      <c r="R18" s="666"/>
      <c r="S18" s="667"/>
      <c r="T18" s="666"/>
      <c r="U18" s="667"/>
      <c r="V18" s="666"/>
      <c r="W18" s="667"/>
      <c r="X18" s="1263"/>
      <c r="Y18" s="3440"/>
      <c r="Z18" s="1262"/>
      <c r="AA18" s="1262">
        <v>1</v>
      </c>
      <c r="AB18" s="1262">
        <v>1</v>
      </c>
      <c r="AC18" s="1807">
        <v>1</v>
      </c>
    </row>
    <row r="19" spans="1:29" ht="256.5">
      <c r="A19" s="366"/>
      <c r="B19" s="555" t="s">
        <v>1809</v>
      </c>
      <c r="C19" s="1808"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47"/>
      <c r="Q19" s="1261" t="str">
        <f>B19</f>
        <v>公共配套设施</v>
      </c>
      <c r="R19" s="666" t="s">
        <v>14</v>
      </c>
      <c r="S19" s="667">
        <f>F19</f>
        <v>100</v>
      </c>
      <c r="T19" s="666" t="s">
        <v>14</v>
      </c>
      <c r="U19" s="667">
        <f>H19</f>
        <v>100</v>
      </c>
      <c r="V19" s="666" t="s">
        <v>14</v>
      </c>
      <c r="W19" s="667">
        <f>J19</f>
        <v>100</v>
      </c>
      <c r="X19" s="1263"/>
      <c r="Y19" s="3440"/>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47"/>
      <c r="Q20" s="1261"/>
      <c r="R20" s="666"/>
      <c r="S20" s="667"/>
      <c r="T20" s="666"/>
      <c r="U20" s="667"/>
      <c r="V20" s="666"/>
      <c r="W20" s="667"/>
      <c r="X20" s="1263"/>
      <c r="Y20" s="3440"/>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47"/>
      <c r="Q21" s="1261" t="str">
        <f>B21</f>
        <v>基础设施水平</v>
      </c>
      <c r="R21" s="666" t="s">
        <v>14</v>
      </c>
      <c r="S21" s="667">
        <f>F21</f>
        <v>100</v>
      </c>
      <c r="T21" s="666" t="s">
        <v>14</v>
      </c>
      <c r="U21" s="667">
        <f>H21</f>
        <v>100</v>
      </c>
      <c r="V21" s="666" t="s">
        <v>14</v>
      </c>
      <c r="W21" s="667">
        <f>J21</f>
        <v>100</v>
      </c>
      <c r="X21" s="1263"/>
      <c r="Y21" s="3440"/>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47"/>
      <c r="Q22" s="1261"/>
      <c r="R22" s="666"/>
      <c r="S22" s="667"/>
      <c r="T22" s="666"/>
      <c r="U22" s="667"/>
      <c r="V22" s="666"/>
      <c r="W22" s="667"/>
      <c r="X22" s="1263"/>
      <c r="Y22" s="3440"/>
      <c r="Z22" s="1262"/>
      <c r="AA22" s="1262">
        <v>1</v>
      </c>
      <c r="AB22" s="1262">
        <v>1</v>
      </c>
      <c r="AC22" s="1807">
        <v>1</v>
      </c>
    </row>
    <row r="23" spans="1:29" ht="71.25">
      <c r="A23" s="366"/>
      <c r="B23" s="555" t="s">
        <v>1811</v>
      </c>
      <c r="C23" s="1808" t="str">
        <f>估价对象房地状况!C9</f>
        <v>自然环境：百望山森林公园、中关村公园等自然景观；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47"/>
      <c r="Q23" s="1261" t="str">
        <f>B23</f>
        <v>环境质量</v>
      </c>
      <c r="R23" s="666" t="s">
        <v>14</v>
      </c>
      <c r="S23" s="667">
        <f>F23</f>
        <v>100</v>
      </c>
      <c r="T23" s="666" t="s">
        <v>14</v>
      </c>
      <c r="U23" s="667">
        <f>H23</f>
        <v>100</v>
      </c>
      <c r="V23" s="666" t="s">
        <v>14</v>
      </c>
      <c r="W23" s="667">
        <f>J23</f>
        <v>100</v>
      </c>
      <c r="X23" s="1263"/>
      <c r="Y23" s="3440"/>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47"/>
      <c r="Q24" s="1261"/>
      <c r="R24" s="666"/>
      <c r="S24" s="667"/>
      <c r="T24" s="666"/>
      <c r="U24" s="667"/>
      <c r="V24" s="666"/>
      <c r="W24" s="667"/>
      <c r="X24" s="1263"/>
      <c r="Y24" s="3440"/>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47"/>
      <c r="Q25" s="1261" t="str">
        <f>B25</f>
        <v>毗邻道路的类型与等级</v>
      </c>
      <c r="R25" s="666" t="s">
        <v>14</v>
      </c>
      <c r="S25" s="667">
        <f>F25</f>
        <v>100</v>
      </c>
      <c r="T25" s="666" t="s">
        <v>14</v>
      </c>
      <c r="U25" s="667">
        <f>H25</f>
        <v>100</v>
      </c>
      <c r="V25" s="666" t="s">
        <v>14</v>
      </c>
      <c r="W25" s="667">
        <f>J25</f>
        <v>100</v>
      </c>
      <c r="X25" s="1263"/>
      <c r="Y25" s="3440"/>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47"/>
      <c r="Q26" s="1261"/>
      <c r="R26" s="666"/>
      <c r="S26" s="667"/>
      <c r="T26" s="666"/>
      <c r="U26" s="667"/>
      <c r="V26" s="666"/>
      <c r="W26" s="667"/>
      <c r="X26" s="1263"/>
      <c r="Y26" s="3440"/>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47"/>
      <c r="Q27" s="1261" t="str">
        <f t="shared" ref="Q27:Q47" si="8">B27</f>
        <v>楼层</v>
      </c>
      <c r="R27" s="666" t="s">
        <v>14</v>
      </c>
      <c r="S27" s="667">
        <f>F27</f>
        <v>100</v>
      </c>
      <c r="T27" s="666" t="s">
        <v>14</v>
      </c>
      <c r="U27" s="667">
        <f>H27</f>
        <v>100</v>
      </c>
      <c r="V27" s="666" t="s">
        <v>14</v>
      </c>
      <c r="W27" s="667">
        <f>J27</f>
        <v>100</v>
      </c>
      <c r="X27" s="1263"/>
      <c r="Y27" s="3440"/>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47"/>
      <c r="Q28" s="529" t="str">
        <f t="shared" si="8"/>
        <v>朝向</v>
      </c>
      <c r="R28" s="663" t="s">
        <v>14</v>
      </c>
      <c r="S28" s="664">
        <f>F28</f>
        <v>100</v>
      </c>
      <c r="T28" s="663" t="s">
        <v>14</v>
      </c>
      <c r="U28" s="664">
        <f>H28</f>
        <v>100</v>
      </c>
      <c r="V28" s="663" t="s">
        <v>14</v>
      </c>
      <c r="W28" s="664">
        <f>J28</f>
        <v>100</v>
      </c>
      <c r="X28" s="665"/>
      <c r="Y28" s="3440"/>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47"/>
      <c r="Q29" s="1261">
        <f t="shared" si="8"/>
        <v>111</v>
      </c>
      <c r="R29" s="666" t="s">
        <v>14</v>
      </c>
      <c r="S29" s="667">
        <f t="shared" ref="S29:S47" si="9">F29</f>
        <v>100</v>
      </c>
      <c r="T29" s="666" t="s">
        <v>14</v>
      </c>
      <c r="U29" s="667">
        <f t="shared" ref="U29:U47" si="10">H29</f>
        <v>100</v>
      </c>
      <c r="V29" s="666" t="s">
        <v>14</v>
      </c>
      <c r="W29" s="667">
        <f t="shared" ref="W29:W47" si="11">J29</f>
        <v>100</v>
      </c>
      <c r="X29" s="1263"/>
      <c r="Y29" s="3440"/>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47"/>
      <c r="Q30" s="1261">
        <f t="shared" si="8"/>
        <v>111</v>
      </c>
      <c r="R30" s="666" t="s">
        <v>14</v>
      </c>
      <c r="S30" s="667">
        <f t="shared" si="9"/>
        <v>100</v>
      </c>
      <c r="T30" s="666" t="s">
        <v>14</v>
      </c>
      <c r="U30" s="667">
        <f t="shared" si="10"/>
        <v>100</v>
      </c>
      <c r="V30" s="666" t="s">
        <v>14</v>
      </c>
      <c r="W30" s="667">
        <f t="shared" si="11"/>
        <v>100</v>
      </c>
      <c r="X30" s="1263"/>
      <c r="Y30" s="3440"/>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47"/>
      <c r="Q31" s="1261">
        <f t="shared" si="8"/>
        <v>111</v>
      </c>
      <c r="R31" s="666" t="s">
        <v>14</v>
      </c>
      <c r="S31" s="667">
        <f t="shared" si="9"/>
        <v>100</v>
      </c>
      <c r="T31" s="666" t="s">
        <v>14</v>
      </c>
      <c r="U31" s="667">
        <f t="shared" si="10"/>
        <v>100</v>
      </c>
      <c r="V31" s="666" t="s">
        <v>14</v>
      </c>
      <c r="W31" s="667">
        <f t="shared" si="11"/>
        <v>100</v>
      </c>
      <c r="X31" s="1263"/>
      <c r="Y31" s="3440"/>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47"/>
      <c r="Q32" s="1261">
        <f t="shared" si="8"/>
        <v>111</v>
      </c>
      <c r="R32" s="666" t="s">
        <v>14</v>
      </c>
      <c r="S32" s="667">
        <f t="shared" si="9"/>
        <v>100</v>
      </c>
      <c r="T32" s="666" t="s">
        <v>14</v>
      </c>
      <c r="U32" s="667">
        <f t="shared" si="10"/>
        <v>100</v>
      </c>
      <c r="V32" s="666" t="s">
        <v>14</v>
      </c>
      <c r="W32" s="667">
        <f t="shared" si="11"/>
        <v>100</v>
      </c>
      <c r="X32" s="1263"/>
      <c r="Y32" s="3440"/>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41" t="s">
        <v>1696</v>
      </c>
      <c r="Q33" s="1261" t="str">
        <f t="shared" si="8"/>
        <v>建筑类型</v>
      </c>
      <c r="R33" s="666" t="s">
        <v>14</v>
      </c>
      <c r="S33" s="667">
        <f t="shared" si="9"/>
        <v>100</v>
      </c>
      <c r="T33" s="666" t="s">
        <v>14</v>
      </c>
      <c r="U33" s="667">
        <f t="shared" si="10"/>
        <v>100</v>
      </c>
      <c r="V33" s="666" t="s">
        <v>14</v>
      </c>
      <c r="W33" s="667">
        <f t="shared" si="11"/>
        <v>100</v>
      </c>
      <c r="X33" s="1263"/>
      <c r="Y33" s="3444"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42"/>
      <c r="Q34" s="530" t="str">
        <f t="shared" si="8"/>
        <v>项目建筑规模</v>
      </c>
      <c r="R34" s="668" t="s">
        <v>14</v>
      </c>
      <c r="S34" s="669" t="e">
        <f t="shared" si="9"/>
        <v>#N/A</v>
      </c>
      <c r="T34" s="668" t="s">
        <v>14</v>
      </c>
      <c r="U34" s="669" t="e">
        <f t="shared" si="10"/>
        <v>#N/A</v>
      </c>
      <c r="V34" s="668" t="s">
        <v>14</v>
      </c>
      <c r="W34" s="669" t="e">
        <f t="shared" si="11"/>
        <v>#N/A</v>
      </c>
      <c r="X34" s="670"/>
      <c r="Y34" s="3444"/>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42"/>
      <c r="Q35" s="1261" t="str">
        <f t="shared" si="8"/>
        <v>建筑结构</v>
      </c>
      <c r="R35" s="666" t="s">
        <v>14</v>
      </c>
      <c r="S35" s="667">
        <f t="shared" si="9"/>
        <v>100</v>
      </c>
      <c r="T35" s="666" t="s">
        <v>14</v>
      </c>
      <c r="U35" s="667">
        <f t="shared" si="10"/>
        <v>100</v>
      </c>
      <c r="V35" s="666" t="s">
        <v>14</v>
      </c>
      <c r="W35" s="667">
        <f t="shared" si="11"/>
        <v>100</v>
      </c>
      <c r="X35" s="1263"/>
      <c r="Y35" s="3444"/>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42"/>
      <c r="Q36" s="1261" t="str">
        <f t="shared" si="8"/>
        <v>公共部分装修</v>
      </c>
      <c r="R36" s="666" t="s">
        <v>14</v>
      </c>
      <c r="S36" s="667">
        <f t="shared" si="9"/>
        <v>100</v>
      </c>
      <c r="T36" s="666" t="s">
        <v>14</v>
      </c>
      <c r="U36" s="667">
        <f t="shared" si="10"/>
        <v>100</v>
      </c>
      <c r="V36" s="666" t="s">
        <v>14</v>
      </c>
      <c r="W36" s="667">
        <f t="shared" si="11"/>
        <v>100</v>
      </c>
      <c r="X36" s="1263"/>
      <c r="Y36" s="3444"/>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42"/>
      <c r="Q37" s="1261" t="str">
        <f t="shared" si="8"/>
        <v>成新度</v>
      </c>
      <c r="R37" s="666" t="s">
        <v>14</v>
      </c>
      <c r="S37" s="667" t="e">
        <f t="shared" si="9"/>
        <v>#N/A</v>
      </c>
      <c r="T37" s="666" t="s">
        <v>14</v>
      </c>
      <c r="U37" s="667" t="e">
        <f t="shared" si="10"/>
        <v>#N/A</v>
      </c>
      <c r="V37" s="666" t="s">
        <v>14</v>
      </c>
      <c r="W37" s="667" t="e">
        <f t="shared" si="11"/>
        <v>#N/A</v>
      </c>
      <c r="X37" s="1263"/>
      <c r="Y37" s="3444"/>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42"/>
      <c r="Q38" s="529" t="str">
        <f t="shared" si="8"/>
        <v>写字楼等级</v>
      </c>
      <c r="R38" s="663" t="s">
        <v>14</v>
      </c>
      <c r="S38" s="664">
        <f t="shared" si="9"/>
        <v>100</v>
      </c>
      <c r="T38" s="663" t="s">
        <v>14</v>
      </c>
      <c r="U38" s="664">
        <f t="shared" si="10"/>
        <v>100</v>
      </c>
      <c r="V38" s="663" t="s">
        <v>14</v>
      </c>
      <c r="W38" s="664">
        <f t="shared" si="11"/>
        <v>100</v>
      </c>
      <c r="X38" s="665"/>
      <c r="Y38" s="3444"/>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42" t="s">
        <v>1696</v>
      </c>
      <c r="Q39" s="1261" t="str">
        <f t="shared" si="8"/>
        <v>物业管理</v>
      </c>
      <c r="R39" s="666" t="s">
        <v>14</v>
      </c>
      <c r="S39" s="667">
        <f t="shared" si="9"/>
        <v>100</v>
      </c>
      <c r="T39" s="666" t="s">
        <v>14</v>
      </c>
      <c r="U39" s="667">
        <f t="shared" si="10"/>
        <v>100</v>
      </c>
      <c r="V39" s="666" t="s">
        <v>14</v>
      </c>
      <c r="W39" s="667">
        <f t="shared" si="11"/>
        <v>100</v>
      </c>
      <c r="X39" s="1263"/>
      <c r="Y39" s="3444"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42"/>
      <c r="Q40" s="1261" t="str">
        <f t="shared" si="8"/>
        <v>市政基础设施</v>
      </c>
      <c r="R40" s="666" t="s">
        <v>14</v>
      </c>
      <c r="S40" s="667">
        <f t="shared" si="9"/>
        <v>100</v>
      </c>
      <c r="T40" s="666" t="s">
        <v>14</v>
      </c>
      <c r="U40" s="667">
        <f t="shared" si="10"/>
        <v>100</v>
      </c>
      <c r="V40" s="666" t="s">
        <v>14</v>
      </c>
      <c r="W40" s="667">
        <f t="shared" si="11"/>
        <v>100</v>
      </c>
      <c r="X40" s="1263"/>
      <c r="Y40" s="3444"/>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42"/>
      <c r="Q41" s="1261" t="str">
        <f t="shared" si="8"/>
        <v>层高</v>
      </c>
      <c r="R41" s="666" t="s">
        <v>14</v>
      </c>
      <c r="S41" s="667">
        <f t="shared" si="9"/>
        <v>100</v>
      </c>
      <c r="T41" s="666" t="s">
        <v>14</v>
      </c>
      <c r="U41" s="667">
        <f t="shared" si="10"/>
        <v>100</v>
      </c>
      <c r="V41" s="666" t="s">
        <v>14</v>
      </c>
      <c r="W41" s="667">
        <f t="shared" si="11"/>
        <v>100</v>
      </c>
      <c r="X41" s="1263"/>
      <c r="Y41" s="3444"/>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42"/>
      <c r="Q42" s="530" t="str">
        <f t="shared" si="8"/>
        <v>单套建筑面积</v>
      </c>
      <c r="R42" s="668" t="s">
        <v>14</v>
      </c>
      <c r="S42" s="669">
        <f t="shared" si="9"/>
        <v>100</v>
      </c>
      <c r="T42" s="668" t="s">
        <v>14</v>
      </c>
      <c r="U42" s="669">
        <f t="shared" si="10"/>
        <v>100</v>
      </c>
      <c r="V42" s="668" t="s">
        <v>14</v>
      </c>
      <c r="W42" s="669">
        <f t="shared" si="11"/>
        <v>100</v>
      </c>
      <c r="X42" s="670"/>
      <c r="Y42" s="3444"/>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42"/>
      <c r="Q43" s="1261" t="str">
        <f t="shared" si="8"/>
        <v>内部装修</v>
      </c>
      <c r="R43" s="666" t="s">
        <v>14</v>
      </c>
      <c r="S43" s="667">
        <f t="shared" si="9"/>
        <v>100</v>
      </c>
      <c r="T43" s="666" t="s">
        <v>14</v>
      </c>
      <c r="U43" s="667">
        <f t="shared" si="10"/>
        <v>100</v>
      </c>
      <c r="V43" s="666" t="s">
        <v>14</v>
      </c>
      <c r="W43" s="667">
        <f t="shared" si="11"/>
        <v>100</v>
      </c>
      <c r="X43" s="1263"/>
      <c r="Y43" s="3444"/>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42"/>
      <c r="Q44" s="1261" t="str">
        <f t="shared" si="8"/>
        <v>内部装修维护情况</v>
      </c>
      <c r="R44" s="666" t="s">
        <v>14</v>
      </c>
      <c r="S44" s="667">
        <f t="shared" si="9"/>
        <v>100</v>
      </c>
      <c r="T44" s="666" t="s">
        <v>14</v>
      </c>
      <c r="U44" s="667">
        <f t="shared" si="10"/>
        <v>100</v>
      </c>
      <c r="V44" s="666" t="s">
        <v>14</v>
      </c>
      <c r="W44" s="667">
        <f t="shared" si="11"/>
        <v>100</v>
      </c>
      <c r="X44" s="1263"/>
      <c r="Y44" s="3444"/>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42"/>
      <c r="Q45" s="529">
        <f t="shared" si="8"/>
        <v>111</v>
      </c>
      <c r="R45" s="663" t="s">
        <v>14</v>
      </c>
      <c r="S45" s="664">
        <f t="shared" si="9"/>
        <v>100</v>
      </c>
      <c r="T45" s="663" t="s">
        <v>14</v>
      </c>
      <c r="U45" s="664">
        <f t="shared" si="10"/>
        <v>100</v>
      </c>
      <c r="V45" s="663" t="s">
        <v>14</v>
      </c>
      <c r="W45" s="664">
        <f t="shared" si="11"/>
        <v>100</v>
      </c>
      <c r="X45" s="665"/>
      <c r="Y45" s="3444"/>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42"/>
      <c r="Q46" s="1261">
        <f t="shared" si="8"/>
        <v>111</v>
      </c>
      <c r="R46" s="666" t="s">
        <v>14</v>
      </c>
      <c r="S46" s="667">
        <f t="shared" si="9"/>
        <v>100</v>
      </c>
      <c r="T46" s="666" t="s">
        <v>14</v>
      </c>
      <c r="U46" s="667">
        <f t="shared" si="10"/>
        <v>100</v>
      </c>
      <c r="V46" s="666" t="s">
        <v>14</v>
      </c>
      <c r="W46" s="667">
        <f t="shared" si="11"/>
        <v>100</v>
      </c>
      <c r="X46" s="1263"/>
      <c r="Y46" s="3444"/>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43"/>
      <c r="Q47" s="1261">
        <f t="shared" si="8"/>
        <v>111</v>
      </c>
      <c r="R47" s="666" t="s">
        <v>14</v>
      </c>
      <c r="S47" s="667">
        <f t="shared" si="9"/>
        <v>100</v>
      </c>
      <c r="T47" s="666" t="s">
        <v>14</v>
      </c>
      <c r="U47" s="667">
        <f t="shared" si="10"/>
        <v>100</v>
      </c>
      <c r="V47" s="666" t="s">
        <v>14</v>
      </c>
      <c r="W47" s="667">
        <f t="shared" si="11"/>
        <v>100</v>
      </c>
      <c r="X47" s="1263"/>
      <c r="Y47" s="3445"/>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20" t="str">
        <f>A48</f>
        <v>成交单价（元/平方米）</v>
      </c>
      <c r="Q48" s="3438"/>
      <c r="R48" s="3433">
        <f>E48</f>
        <v>0</v>
      </c>
      <c r="S48" s="3433"/>
      <c r="T48" s="3433">
        <f>G48</f>
        <v>0</v>
      </c>
      <c r="U48" s="3433"/>
      <c r="V48" s="3433">
        <f>I48</f>
        <v>0</v>
      </c>
      <c r="W48" s="3433"/>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20" t="str">
        <f>A49</f>
        <v>比较价值（元/平方米）</v>
      </c>
      <c r="Q49" s="3438"/>
      <c r="R49" s="3433" t="e">
        <f>IF(F1="售价",ROUND(PRODUCT(R48,AA7:AA47),0),ROUND(PRODUCT(R48,AA7:AA47),1))</f>
        <v>#DIV/0!</v>
      </c>
      <c r="S49" s="3433"/>
      <c r="T49" s="3433" t="e">
        <f>IF(F1="售价",ROUND(PRODUCT(T48,AB7:AB47),0),ROUND(PRODUCT(T48,AB7:AB47),1))</f>
        <v>#DIV/0!</v>
      </c>
      <c r="U49" s="3433"/>
      <c r="V49" s="3433" t="e">
        <f>IF(F1="售价",ROUND(PRODUCT(V48,AC7:AC47),0),ROUND(PRODUCT(V48,AC7:AC47),1))</f>
        <v>#DIV/0!</v>
      </c>
      <c r="W49" s="3433"/>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61" t="str">
        <f>A50</f>
        <v>估价对象XX用房的比较价值（楼面单价，元/平方米）</v>
      </c>
      <c r="Q50" s="3462"/>
      <c r="R50" s="3463" t="e">
        <f>IF(F1="售价",ROUND(IF(D49="简单平均",AVERAGE(R49:V49),R49*F49+T49*H49+V49*J49),0),ROUND(IF(D49="简单平均",AVERAGE(R49:V49),R49*F49+T49*H49+V49*J49),1))</f>
        <v>#DIV/0!</v>
      </c>
      <c r="S50" s="3463"/>
      <c r="T50" s="3463"/>
      <c r="U50" s="3463"/>
      <c r="V50" s="3463"/>
      <c r="W50" s="3463"/>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2024-10</v>
      </c>
      <c r="D59" s="1102">
        <f>EDATE(C59,-1)</f>
        <v>45536</v>
      </c>
      <c r="E59" s="1102">
        <f>EDATE(D59,-1)</f>
        <v>45505</v>
      </c>
      <c r="F59" s="1102">
        <f t="shared" ref="F59:O59" si="13">EDATE(E59,-1)</f>
        <v>45474</v>
      </c>
      <c r="G59" s="1102">
        <f t="shared" si="13"/>
        <v>45444</v>
      </c>
      <c r="H59" s="1102">
        <f t="shared" si="13"/>
        <v>45413</v>
      </c>
      <c r="I59" s="1102">
        <f t="shared" si="13"/>
        <v>45383</v>
      </c>
      <c r="J59" s="1102">
        <f t="shared" si="13"/>
        <v>45352</v>
      </c>
      <c r="K59" s="1102">
        <f t="shared" si="13"/>
        <v>45323</v>
      </c>
      <c r="L59" s="1102">
        <f t="shared" si="13"/>
        <v>45292</v>
      </c>
      <c r="M59" s="1102">
        <f t="shared" si="13"/>
        <v>45261</v>
      </c>
      <c r="N59" s="1102">
        <f t="shared" si="13"/>
        <v>45231</v>
      </c>
      <c r="O59" s="1102">
        <f t="shared" si="13"/>
        <v>45200</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49.92</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21" t="s">
        <v>1767</v>
      </c>
      <c r="D4" s="3422"/>
      <c r="E4" s="3423" t="s">
        <v>1768</v>
      </c>
      <c r="F4" s="3424"/>
      <c r="G4" s="3421" t="s">
        <v>1769</v>
      </c>
      <c r="H4" s="3422"/>
      <c r="I4" s="3421" t="s">
        <v>1770</v>
      </c>
      <c r="J4" s="3422"/>
      <c r="K4" s="536" t="s">
        <v>1771</v>
      </c>
      <c r="L4" s="859"/>
      <c r="M4" s="860"/>
      <c r="N4" s="860"/>
      <c r="O4" s="860"/>
      <c r="P4" s="3425" t="s">
        <v>1772</v>
      </c>
      <c r="Q4" s="3426"/>
      <c r="R4" s="3407" t="s">
        <v>1768</v>
      </c>
      <c r="S4" s="3408"/>
      <c r="T4" s="3407" t="s">
        <v>1769</v>
      </c>
      <c r="U4" s="3408"/>
      <c r="V4" s="3433" t="s">
        <v>1770</v>
      </c>
      <c r="W4" s="3433"/>
      <c r="X4" s="1263"/>
      <c r="Y4" s="3407" t="s">
        <v>1772</v>
      </c>
      <c r="Z4" s="3408"/>
      <c r="AA4" s="3402" t="s">
        <v>1768</v>
      </c>
      <c r="AB4" s="3403" t="s">
        <v>1769</v>
      </c>
      <c r="AC4" s="3402" t="s">
        <v>1770</v>
      </c>
    </row>
    <row r="5" spans="1:29" ht="15">
      <c r="A5" s="347"/>
      <c r="B5" s="348"/>
      <c r="C5" s="3417" t="s">
        <v>1673</v>
      </c>
      <c r="D5" s="3414"/>
      <c r="E5" s="3448" t="s">
        <v>1674</v>
      </c>
      <c r="F5" s="3412"/>
      <c r="G5" s="3417" t="s">
        <v>1675</v>
      </c>
      <c r="H5" s="3414"/>
      <c r="I5" s="3417" t="s">
        <v>1676</v>
      </c>
      <c r="J5" s="3414"/>
      <c r="K5" s="536"/>
      <c r="L5" s="859"/>
      <c r="M5" s="860"/>
      <c r="N5" s="860"/>
      <c r="O5" s="860"/>
      <c r="P5" s="3427"/>
      <c r="Q5" s="3428"/>
      <c r="R5" s="3409"/>
      <c r="S5" s="3410"/>
      <c r="T5" s="3409"/>
      <c r="U5" s="3410"/>
      <c r="V5" s="3433"/>
      <c r="W5" s="3433"/>
      <c r="X5" s="1263"/>
      <c r="Y5" s="3409"/>
      <c r="Z5" s="3410"/>
      <c r="AA5" s="3403"/>
      <c r="AB5" s="3403"/>
      <c r="AC5" s="3403"/>
    </row>
    <row r="6" spans="1:29" ht="15.75" thickBot="1">
      <c r="A6" s="349"/>
      <c r="B6" s="350"/>
      <c r="C6" s="3415" t="s">
        <v>1677</v>
      </c>
      <c r="D6" s="3416"/>
      <c r="E6" s="3418" t="s">
        <v>1677</v>
      </c>
      <c r="F6" s="3419"/>
      <c r="G6" s="3415" t="s">
        <v>1677</v>
      </c>
      <c r="H6" s="3416"/>
      <c r="I6" s="3415" t="s">
        <v>1677</v>
      </c>
      <c r="J6" s="3416"/>
      <c r="K6" s="536" t="s">
        <v>1678</v>
      </c>
      <c r="L6" s="859"/>
      <c r="M6" s="860"/>
      <c r="N6" s="860"/>
      <c r="O6" s="860"/>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c r="F7" s="356">
        <f>SUMIF(52:52,YEAR(E7)&amp;"-"&amp;MONTH(E7),53:53)</f>
        <v>0</v>
      </c>
      <c r="G7" s="355"/>
      <c r="H7" s="354">
        <f>SUMIF(52:52,YEAR(G7)&amp;"-"&amp;MONTH(G7),53:53)</f>
        <v>0</v>
      </c>
      <c r="I7" s="355"/>
      <c r="J7" s="354">
        <f>SUMIF(52:52,YEAR(I7)&amp;"-"&amp;MONTH(I7),53:53)</f>
        <v>0</v>
      </c>
      <c r="K7" s="38"/>
      <c r="L7" s="861"/>
      <c r="M7" s="862"/>
      <c r="N7" s="862"/>
      <c r="O7" s="862"/>
      <c r="P7" s="3405" t="s">
        <v>1680</v>
      </c>
      <c r="Q7" s="3434"/>
      <c r="R7" s="663" t="s">
        <v>14</v>
      </c>
      <c r="S7" s="664">
        <f t="shared" ref="S7:S15" si="0">F7</f>
        <v>0</v>
      </c>
      <c r="T7" s="663" t="s">
        <v>14</v>
      </c>
      <c r="U7" s="664">
        <f t="shared" ref="U7:U15" si="1">H7</f>
        <v>0</v>
      </c>
      <c r="V7" s="663" t="s">
        <v>14</v>
      </c>
      <c r="W7" s="664">
        <f t="shared" ref="W7:W15" si="2">J7</f>
        <v>0</v>
      </c>
      <c r="X7" s="665"/>
      <c r="Y7" s="3405" t="s">
        <v>1680</v>
      </c>
      <c r="Z7" s="3406"/>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5" t="s">
        <v>1683</v>
      </c>
      <c r="Q8" s="3406"/>
      <c r="R8" s="663" t="s">
        <v>14</v>
      </c>
      <c r="S8" s="664">
        <f t="shared" si="0"/>
        <v>100</v>
      </c>
      <c r="T8" s="663" t="s">
        <v>14</v>
      </c>
      <c r="U8" s="664">
        <f t="shared" si="1"/>
        <v>100</v>
      </c>
      <c r="V8" s="663" t="s">
        <v>14</v>
      </c>
      <c r="W8" s="664">
        <f t="shared" si="2"/>
        <v>100</v>
      </c>
      <c r="X8" s="665"/>
      <c r="Y8" s="3405" t="s">
        <v>1683</v>
      </c>
      <c r="Z8" s="3406"/>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38"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38"/>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38"/>
      <c r="Q11" s="529" t="str">
        <f t="shared" si="6"/>
        <v>容积率</v>
      </c>
      <c r="R11" s="663" t="s">
        <v>14</v>
      </c>
      <c r="S11" s="664">
        <f t="shared" si="0"/>
        <v>100</v>
      </c>
      <c r="T11" s="663" t="s">
        <v>14</v>
      </c>
      <c r="U11" s="664">
        <f t="shared" si="1"/>
        <v>100</v>
      </c>
      <c r="V11" s="663" t="s">
        <v>14</v>
      </c>
      <c r="W11" s="664">
        <f t="shared" si="2"/>
        <v>100</v>
      </c>
      <c r="X11" s="665"/>
      <c r="Y11" s="3349"/>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38"/>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38"/>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38"/>
      <c r="Q14" s="529">
        <f t="shared" si="6"/>
        <v>111</v>
      </c>
      <c r="R14" s="663" t="s">
        <v>14</v>
      </c>
      <c r="S14" s="664">
        <f t="shared" si="0"/>
        <v>100</v>
      </c>
      <c r="T14" s="663" t="s">
        <v>14</v>
      </c>
      <c r="U14" s="664">
        <f t="shared" si="1"/>
        <v>100</v>
      </c>
      <c r="V14" s="663" t="s">
        <v>14</v>
      </c>
      <c r="W14" s="664">
        <f t="shared" si="2"/>
        <v>100</v>
      </c>
      <c r="X14" s="665"/>
      <c r="Y14" s="3349"/>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39" t="s">
        <v>1691</v>
      </c>
      <c r="Q15" s="1261" t="str">
        <f t="shared" si="6"/>
        <v>产业集聚程度</v>
      </c>
      <c r="R15" s="666" t="s">
        <v>14</v>
      </c>
      <c r="S15" s="667">
        <f t="shared" si="0"/>
        <v>100</v>
      </c>
      <c r="T15" s="666" t="s">
        <v>14</v>
      </c>
      <c r="U15" s="667">
        <f t="shared" si="1"/>
        <v>100</v>
      </c>
      <c r="V15" s="666" t="s">
        <v>14</v>
      </c>
      <c r="W15" s="667">
        <f t="shared" si="2"/>
        <v>100</v>
      </c>
      <c r="X15" s="1263"/>
      <c r="Y15" s="3439"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40"/>
      <c r="Q16" s="1261"/>
      <c r="R16" s="666"/>
      <c r="S16" s="667"/>
      <c r="T16" s="666"/>
      <c r="U16" s="667"/>
      <c r="V16" s="666"/>
      <c r="W16" s="667"/>
      <c r="X16" s="1263"/>
      <c r="Y16" s="3440"/>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40"/>
      <c r="Q17" s="1261" t="str">
        <f>B17</f>
        <v>交通便捷度</v>
      </c>
      <c r="R17" s="666" t="s">
        <v>14</v>
      </c>
      <c r="S17" s="667">
        <f>F17</f>
        <v>100</v>
      </c>
      <c r="T17" s="666" t="s">
        <v>14</v>
      </c>
      <c r="U17" s="667">
        <f>H17</f>
        <v>100</v>
      </c>
      <c r="V17" s="666" t="s">
        <v>14</v>
      </c>
      <c r="W17" s="667">
        <f>J17</f>
        <v>100</v>
      </c>
      <c r="X17" s="1263"/>
      <c r="Y17" s="3440"/>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40"/>
      <c r="Q18" s="1261"/>
      <c r="R18" s="666"/>
      <c r="S18" s="667"/>
      <c r="T18" s="666"/>
      <c r="U18" s="667"/>
      <c r="V18" s="666"/>
      <c r="W18" s="667"/>
      <c r="X18" s="1263"/>
      <c r="Y18" s="3440"/>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40"/>
      <c r="Q19" s="1261" t="str">
        <f>B19</f>
        <v>公共配套设施</v>
      </c>
      <c r="R19" s="666" t="s">
        <v>14</v>
      </c>
      <c r="S19" s="667">
        <f>F19</f>
        <v>100</v>
      </c>
      <c r="T19" s="666" t="s">
        <v>14</v>
      </c>
      <c r="U19" s="667">
        <f>H19</f>
        <v>100</v>
      </c>
      <c r="V19" s="666" t="s">
        <v>14</v>
      </c>
      <c r="W19" s="667">
        <f>J19</f>
        <v>100</v>
      </c>
      <c r="X19" s="1263"/>
      <c r="Y19" s="3440"/>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40"/>
      <c r="Q20" s="1261"/>
      <c r="R20" s="666"/>
      <c r="S20" s="667"/>
      <c r="T20" s="666"/>
      <c r="U20" s="667"/>
      <c r="V20" s="666"/>
      <c r="W20" s="667"/>
      <c r="X20" s="1263"/>
      <c r="Y20" s="3440"/>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40"/>
      <c r="Q21" s="1261" t="str">
        <f>B21</f>
        <v>基础设施水平</v>
      </c>
      <c r="R21" s="666" t="s">
        <v>14</v>
      </c>
      <c r="S21" s="667">
        <f>F21</f>
        <v>100</v>
      </c>
      <c r="T21" s="666" t="s">
        <v>14</v>
      </c>
      <c r="U21" s="667">
        <f>H21</f>
        <v>100</v>
      </c>
      <c r="V21" s="666" t="s">
        <v>14</v>
      </c>
      <c r="W21" s="667">
        <f>J21</f>
        <v>100</v>
      </c>
      <c r="X21" s="1263"/>
      <c r="Y21" s="3440"/>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40"/>
      <c r="Q22" s="1261"/>
      <c r="R22" s="666"/>
      <c r="S22" s="667"/>
      <c r="T22" s="666"/>
      <c r="U22" s="667"/>
      <c r="V22" s="666"/>
      <c r="W22" s="667"/>
      <c r="X22" s="1263"/>
      <c r="Y22" s="3440"/>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40"/>
      <c r="Q23" s="1261" t="str">
        <f>B23</f>
        <v>环境质量</v>
      </c>
      <c r="R23" s="666" t="s">
        <v>14</v>
      </c>
      <c r="S23" s="667">
        <f>F23</f>
        <v>100</v>
      </c>
      <c r="T23" s="666" t="s">
        <v>14</v>
      </c>
      <c r="U23" s="667">
        <f>H23</f>
        <v>100</v>
      </c>
      <c r="V23" s="666" t="s">
        <v>14</v>
      </c>
      <c r="W23" s="667">
        <f>J23</f>
        <v>100</v>
      </c>
      <c r="X23" s="1263"/>
      <c r="Y23" s="3440"/>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40"/>
      <c r="Q24" s="1261"/>
      <c r="R24" s="666"/>
      <c r="S24" s="667"/>
      <c r="T24" s="666"/>
      <c r="U24" s="667"/>
      <c r="V24" s="666"/>
      <c r="W24" s="667"/>
      <c r="X24" s="1263"/>
      <c r="Y24" s="3440"/>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40"/>
      <c r="Q25" s="1261">
        <f>B25</f>
        <v>111</v>
      </c>
      <c r="R25" s="666" t="s">
        <v>14</v>
      </c>
      <c r="S25" s="667">
        <f>F25</f>
        <v>100</v>
      </c>
      <c r="T25" s="666" t="s">
        <v>14</v>
      </c>
      <c r="U25" s="667">
        <f>H25</f>
        <v>100</v>
      </c>
      <c r="V25" s="666" t="s">
        <v>14</v>
      </c>
      <c r="W25" s="667">
        <f>J25</f>
        <v>100</v>
      </c>
      <c r="X25" s="1263"/>
      <c r="Y25" s="3440"/>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40"/>
      <c r="Q26" s="1261">
        <f t="shared" ref="Q26:Q40" si="8">B26</f>
        <v>111</v>
      </c>
      <c r="R26" s="666" t="s">
        <v>14</v>
      </c>
      <c r="S26" s="667">
        <f>F26</f>
        <v>100</v>
      </c>
      <c r="T26" s="666" t="s">
        <v>14</v>
      </c>
      <c r="U26" s="667">
        <f>H26</f>
        <v>100</v>
      </c>
      <c r="V26" s="666" t="s">
        <v>14</v>
      </c>
      <c r="W26" s="667">
        <f>J26</f>
        <v>100</v>
      </c>
      <c r="X26" s="1263"/>
      <c r="Y26" s="3440"/>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40"/>
      <c r="Q27" s="529">
        <f t="shared" si="8"/>
        <v>111</v>
      </c>
      <c r="R27" s="663" t="s">
        <v>14</v>
      </c>
      <c r="S27" s="664">
        <f>F27</f>
        <v>100</v>
      </c>
      <c r="T27" s="663" t="s">
        <v>14</v>
      </c>
      <c r="U27" s="664">
        <f>H27</f>
        <v>100</v>
      </c>
      <c r="V27" s="663" t="s">
        <v>14</v>
      </c>
      <c r="W27" s="664">
        <f>J27</f>
        <v>100</v>
      </c>
      <c r="X27" s="665"/>
      <c r="Y27" s="3440"/>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40"/>
      <c r="Q28" s="1261">
        <f t="shared" si="8"/>
        <v>111</v>
      </c>
      <c r="R28" s="666" t="s">
        <v>14</v>
      </c>
      <c r="S28" s="667">
        <f t="shared" ref="S28:S40" si="9">F28</f>
        <v>100</v>
      </c>
      <c r="T28" s="666" t="s">
        <v>14</v>
      </c>
      <c r="U28" s="667">
        <f t="shared" ref="U28:U40" si="10">H28</f>
        <v>100</v>
      </c>
      <c r="V28" s="666" t="s">
        <v>14</v>
      </c>
      <c r="W28" s="667">
        <f t="shared" ref="W28:W40" si="11">J28</f>
        <v>100</v>
      </c>
      <c r="X28" s="1263"/>
      <c r="Y28" s="3440"/>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4" t="s">
        <v>1696</v>
      </c>
      <c r="Q29" s="1261" t="str">
        <f t="shared" si="8"/>
        <v>建筑类型</v>
      </c>
      <c r="R29" s="666" t="s">
        <v>14</v>
      </c>
      <c r="S29" s="667">
        <f t="shared" si="9"/>
        <v>100</v>
      </c>
      <c r="T29" s="666" t="s">
        <v>14</v>
      </c>
      <c r="U29" s="667">
        <f t="shared" si="10"/>
        <v>100</v>
      </c>
      <c r="V29" s="666" t="s">
        <v>14</v>
      </c>
      <c r="W29" s="667">
        <f t="shared" si="11"/>
        <v>100</v>
      </c>
      <c r="X29" s="1263"/>
      <c r="Y29" s="3444"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44"/>
      <c r="Q30" s="530" t="str">
        <f t="shared" si="8"/>
        <v>项目建筑规模</v>
      </c>
      <c r="R30" s="668" t="s">
        <v>14</v>
      </c>
      <c r="S30" s="669" t="e">
        <f t="shared" si="9"/>
        <v>#N/A</v>
      </c>
      <c r="T30" s="668" t="s">
        <v>14</v>
      </c>
      <c r="U30" s="669" t="e">
        <f t="shared" si="10"/>
        <v>#N/A</v>
      </c>
      <c r="V30" s="668" t="s">
        <v>14</v>
      </c>
      <c r="W30" s="669" t="e">
        <f t="shared" si="11"/>
        <v>#N/A</v>
      </c>
      <c r="X30" s="670"/>
      <c r="Y30" s="3444"/>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44"/>
      <c r="Q31" s="1261" t="str">
        <f t="shared" si="8"/>
        <v>建筑结构</v>
      </c>
      <c r="R31" s="666" t="s">
        <v>14</v>
      </c>
      <c r="S31" s="667">
        <f t="shared" si="9"/>
        <v>100</v>
      </c>
      <c r="T31" s="666" t="s">
        <v>14</v>
      </c>
      <c r="U31" s="667">
        <f t="shared" si="10"/>
        <v>100</v>
      </c>
      <c r="V31" s="666" t="s">
        <v>14</v>
      </c>
      <c r="W31" s="667">
        <f t="shared" si="11"/>
        <v>100</v>
      </c>
      <c r="X31" s="1263"/>
      <c r="Y31" s="3444"/>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44"/>
      <c r="Q32" s="1261" t="str">
        <f t="shared" si="8"/>
        <v>公共部分装修</v>
      </c>
      <c r="R32" s="666" t="s">
        <v>14</v>
      </c>
      <c r="S32" s="667">
        <f t="shared" si="9"/>
        <v>100</v>
      </c>
      <c r="T32" s="666" t="s">
        <v>14</v>
      </c>
      <c r="U32" s="667">
        <f t="shared" si="10"/>
        <v>100</v>
      </c>
      <c r="V32" s="666" t="s">
        <v>14</v>
      </c>
      <c r="W32" s="667">
        <f t="shared" si="11"/>
        <v>100</v>
      </c>
      <c r="X32" s="1263"/>
      <c r="Y32" s="3444"/>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44"/>
      <c r="Q33" s="1261" t="str">
        <f t="shared" si="8"/>
        <v>成新度</v>
      </c>
      <c r="R33" s="666" t="s">
        <v>14</v>
      </c>
      <c r="S33" s="667" t="e">
        <f t="shared" si="9"/>
        <v>#N/A</v>
      </c>
      <c r="T33" s="666" t="s">
        <v>14</v>
      </c>
      <c r="U33" s="667" t="e">
        <f t="shared" si="10"/>
        <v>#N/A</v>
      </c>
      <c r="V33" s="666" t="s">
        <v>14</v>
      </c>
      <c r="W33" s="667" t="e">
        <f t="shared" si="11"/>
        <v>#N/A</v>
      </c>
      <c r="X33" s="1263"/>
      <c r="Y33" s="3444"/>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44"/>
      <c r="Q34" s="529" t="str">
        <f t="shared" si="8"/>
        <v>物业管理</v>
      </c>
      <c r="R34" s="663" t="s">
        <v>14</v>
      </c>
      <c r="S34" s="664">
        <f t="shared" si="9"/>
        <v>100</v>
      </c>
      <c r="T34" s="663" t="s">
        <v>14</v>
      </c>
      <c r="U34" s="664">
        <f t="shared" si="10"/>
        <v>100</v>
      </c>
      <c r="V34" s="663" t="s">
        <v>14</v>
      </c>
      <c r="W34" s="664">
        <f t="shared" si="11"/>
        <v>100</v>
      </c>
      <c r="X34" s="665"/>
      <c r="Y34" s="3444"/>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44" t="s">
        <v>1696</v>
      </c>
      <c r="Q35" s="1261" t="str">
        <f t="shared" si="8"/>
        <v>市政基础设施</v>
      </c>
      <c r="R35" s="666" t="s">
        <v>14</v>
      </c>
      <c r="S35" s="667">
        <f t="shared" si="9"/>
        <v>100</v>
      </c>
      <c r="T35" s="666" t="s">
        <v>14</v>
      </c>
      <c r="U35" s="667">
        <f t="shared" si="10"/>
        <v>100</v>
      </c>
      <c r="V35" s="666" t="s">
        <v>14</v>
      </c>
      <c r="W35" s="667">
        <f t="shared" si="11"/>
        <v>100</v>
      </c>
      <c r="X35" s="1263"/>
      <c r="Y35" s="3444"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44"/>
      <c r="Q36" s="1261" t="str">
        <f t="shared" si="8"/>
        <v>内部装修</v>
      </c>
      <c r="R36" s="666" t="s">
        <v>14</v>
      </c>
      <c r="S36" s="667">
        <f t="shared" si="9"/>
        <v>100</v>
      </c>
      <c r="T36" s="666" t="s">
        <v>14</v>
      </c>
      <c r="U36" s="667">
        <f t="shared" si="10"/>
        <v>100</v>
      </c>
      <c r="V36" s="666" t="s">
        <v>14</v>
      </c>
      <c r="W36" s="667">
        <f t="shared" si="11"/>
        <v>100</v>
      </c>
      <c r="X36" s="1263"/>
      <c r="Y36" s="3444"/>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44"/>
      <c r="Q37" s="1261" t="str">
        <f t="shared" si="8"/>
        <v>内部装修状况</v>
      </c>
      <c r="R37" s="666" t="s">
        <v>14</v>
      </c>
      <c r="S37" s="667">
        <f t="shared" si="9"/>
        <v>100</v>
      </c>
      <c r="T37" s="666" t="s">
        <v>14</v>
      </c>
      <c r="U37" s="667">
        <f t="shared" si="10"/>
        <v>100</v>
      </c>
      <c r="V37" s="666" t="s">
        <v>14</v>
      </c>
      <c r="W37" s="667">
        <f t="shared" si="11"/>
        <v>100</v>
      </c>
      <c r="X37" s="1263"/>
      <c r="Y37" s="3444"/>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44"/>
      <c r="Q38" s="530">
        <f t="shared" si="8"/>
        <v>111</v>
      </c>
      <c r="R38" s="668" t="s">
        <v>14</v>
      </c>
      <c r="S38" s="669">
        <f t="shared" si="9"/>
        <v>100</v>
      </c>
      <c r="T38" s="668" t="s">
        <v>14</v>
      </c>
      <c r="U38" s="669">
        <f t="shared" si="10"/>
        <v>100</v>
      </c>
      <c r="V38" s="668" t="s">
        <v>14</v>
      </c>
      <c r="W38" s="669">
        <f t="shared" si="11"/>
        <v>100</v>
      </c>
      <c r="X38" s="670"/>
      <c r="Y38" s="3444"/>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44"/>
      <c r="Q39" s="1261">
        <f t="shared" si="8"/>
        <v>111</v>
      </c>
      <c r="R39" s="666" t="s">
        <v>14</v>
      </c>
      <c r="S39" s="667">
        <f t="shared" si="9"/>
        <v>100</v>
      </c>
      <c r="T39" s="666" t="s">
        <v>14</v>
      </c>
      <c r="U39" s="667">
        <f t="shared" si="10"/>
        <v>100</v>
      </c>
      <c r="V39" s="666" t="s">
        <v>14</v>
      </c>
      <c r="W39" s="667">
        <f t="shared" si="11"/>
        <v>100</v>
      </c>
      <c r="X39" s="1263"/>
      <c r="Y39" s="3444"/>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45"/>
      <c r="Q40" s="1261">
        <f t="shared" si="8"/>
        <v>111</v>
      </c>
      <c r="R40" s="666" t="s">
        <v>14</v>
      </c>
      <c r="S40" s="667">
        <f t="shared" si="9"/>
        <v>100</v>
      </c>
      <c r="T40" s="666" t="s">
        <v>14</v>
      </c>
      <c r="U40" s="667">
        <f t="shared" si="10"/>
        <v>100</v>
      </c>
      <c r="V40" s="666" t="s">
        <v>14</v>
      </c>
      <c r="W40" s="667">
        <f t="shared" si="11"/>
        <v>100</v>
      </c>
      <c r="X40" s="1263"/>
      <c r="Y40" s="3445"/>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38" t="str">
        <f>A41</f>
        <v>成交单价（元/平方米）</v>
      </c>
      <c r="Q41" s="3438"/>
      <c r="R41" s="3433">
        <f>E41</f>
        <v>0</v>
      </c>
      <c r="S41" s="3433"/>
      <c r="T41" s="3433">
        <f>G41</f>
        <v>0</v>
      </c>
      <c r="U41" s="3433"/>
      <c r="V41" s="3433">
        <f>I41</f>
        <v>0</v>
      </c>
      <c r="W41" s="3433"/>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38" t="str">
        <f>A42</f>
        <v>比较价值（元/平方米）</v>
      </c>
      <c r="Q42" s="3438"/>
      <c r="R42" s="3433" t="e">
        <f>IF(F1="售价",ROUND(PRODUCT(R41,AA7:AA40),0),ROUND(PRODUCT(R41,AA7:AA40),1))</f>
        <v>#DIV/0!</v>
      </c>
      <c r="S42" s="3433"/>
      <c r="T42" s="3433" t="e">
        <f>IF(F1="售价",ROUND(PRODUCT(T41,AB7:AB40),0),ROUND(PRODUCT(T41,AB7:AB40),1))</f>
        <v>#DIV/0!</v>
      </c>
      <c r="U42" s="3433"/>
      <c r="V42" s="3433" t="e">
        <f>IF(F1="售价",ROUND(PRODUCT(V41,AC7:AC40),0),ROUND(PRODUCT(V41,AC7:AC40),1))</f>
        <v>#DIV/0!</v>
      </c>
      <c r="W42" s="3433"/>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35" t="str">
        <f>A43</f>
        <v>估价对象XX用房的比较价值（楼面单价，元/平方米）</v>
      </c>
      <c r="Q43" s="3436"/>
      <c r="R43" s="3437" t="e">
        <f>IF(F1="售价",ROUND(IF(D42="简单平均",AVERAGE(R42:V42),R42*F42+T42*H42+V42*J42),0),ROUND(IF(D42="简单平均",AVERAGE(R42:V42),R42*F42+T42*H42+V42*J42),1))</f>
        <v>#DIV/0!</v>
      </c>
      <c r="S43" s="3437"/>
      <c r="T43" s="3437"/>
      <c r="U43" s="3437"/>
      <c r="V43" s="3437"/>
      <c r="W43" s="3437"/>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2024-10</v>
      </c>
      <c r="D52" s="1102">
        <f>EDATE(C52,-1)</f>
        <v>45536</v>
      </c>
      <c r="E52" s="1102">
        <f t="shared" ref="E52:O52" si="13">EDATE(D52,-1)</f>
        <v>45505</v>
      </c>
      <c r="F52" s="1102">
        <f t="shared" si="13"/>
        <v>45474</v>
      </c>
      <c r="G52" s="1102">
        <f t="shared" si="13"/>
        <v>45444</v>
      </c>
      <c r="H52" s="1102">
        <f t="shared" si="13"/>
        <v>45413</v>
      </c>
      <c r="I52" s="1102">
        <f t="shared" si="13"/>
        <v>45383</v>
      </c>
      <c r="J52" s="1102">
        <f t="shared" si="13"/>
        <v>45352</v>
      </c>
      <c r="K52" s="1102">
        <f t="shared" si="13"/>
        <v>45323</v>
      </c>
      <c r="L52" s="1102">
        <f t="shared" si="13"/>
        <v>45292</v>
      </c>
      <c r="M52" s="1102">
        <f t="shared" si="13"/>
        <v>45261</v>
      </c>
      <c r="N52" s="1102">
        <f t="shared" si="13"/>
        <v>45231</v>
      </c>
      <c r="O52" s="1102">
        <f t="shared" si="13"/>
        <v>45200</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25" t="s">
        <v>1772</v>
      </c>
      <c r="Q4" s="3426"/>
      <c r="R4" s="3407" t="s">
        <v>1768</v>
      </c>
      <c r="S4" s="3408"/>
      <c r="T4" s="3407" t="s">
        <v>1769</v>
      </c>
      <c r="U4" s="3408"/>
      <c r="V4" s="3433" t="s">
        <v>1770</v>
      </c>
      <c r="W4" s="3433"/>
      <c r="X4" s="1263"/>
      <c r="Y4" s="3407" t="s">
        <v>1772</v>
      </c>
      <c r="Z4" s="3408"/>
      <c r="AA4" s="3402" t="s">
        <v>1768</v>
      </c>
      <c r="AB4" s="3403" t="s">
        <v>1769</v>
      </c>
      <c r="AC4" s="3402" t="s">
        <v>1770</v>
      </c>
    </row>
    <row r="5" spans="1:29" ht="15">
      <c r="A5" s="347"/>
      <c r="B5" s="348"/>
      <c r="C5" s="3417" t="s">
        <v>1673</v>
      </c>
      <c r="D5" s="3414"/>
      <c r="E5" s="3448" t="s">
        <v>1674</v>
      </c>
      <c r="F5" s="3412"/>
      <c r="G5" s="3417" t="s">
        <v>1675</v>
      </c>
      <c r="H5" s="3414"/>
      <c r="I5" s="3417" t="s">
        <v>1676</v>
      </c>
      <c r="J5" s="3414"/>
      <c r="K5" s="536"/>
      <c r="L5" s="2481"/>
      <c r="M5" s="2482"/>
      <c r="N5" s="2482"/>
      <c r="O5" s="2482"/>
      <c r="P5" s="3427"/>
      <c r="Q5" s="3428"/>
      <c r="R5" s="3409"/>
      <c r="S5" s="3410"/>
      <c r="T5" s="3409"/>
      <c r="U5" s="3410"/>
      <c r="V5" s="3433"/>
      <c r="W5" s="3433"/>
      <c r="X5" s="1263"/>
      <c r="Y5" s="3409"/>
      <c r="Z5" s="3410"/>
      <c r="AA5" s="3403"/>
      <c r="AB5" s="3403"/>
      <c r="AC5" s="3403"/>
    </row>
    <row r="6" spans="1:29" ht="15.75" thickBot="1">
      <c r="A6" s="349"/>
      <c r="B6" s="350"/>
      <c r="C6" s="3415" t="s">
        <v>1677</v>
      </c>
      <c r="D6" s="3416"/>
      <c r="E6" s="3418" t="s">
        <v>1677</v>
      </c>
      <c r="F6" s="3419"/>
      <c r="G6" s="3415" t="s">
        <v>1677</v>
      </c>
      <c r="H6" s="3416"/>
      <c r="I6" s="3415" t="s">
        <v>1677</v>
      </c>
      <c r="J6" s="3416"/>
      <c r="K6" s="536" t="s">
        <v>1678</v>
      </c>
      <c r="L6" s="2481"/>
      <c r="M6" s="2482"/>
      <c r="N6" s="2482"/>
      <c r="O6" s="2482"/>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c r="F7" s="356">
        <f>SUMIF(48:48,YEAR(E7)&amp;"-"&amp;MONTH(E7),49:49)</f>
        <v>0</v>
      </c>
      <c r="G7" s="355"/>
      <c r="H7" s="354">
        <f>SUMIF(48:48,YEAR(G7)&amp;"-"&amp;MONTH(G7),49:49)</f>
        <v>0</v>
      </c>
      <c r="I7" s="355"/>
      <c r="J7" s="354">
        <f>SUMIF(48:48,YEAR(I7)&amp;"-"&amp;MONTH(I7),49:49)</f>
        <v>0</v>
      </c>
      <c r="K7" s="38"/>
      <c r="L7" s="2483"/>
      <c r="M7" s="2434"/>
      <c r="N7" s="2434"/>
      <c r="O7" s="2434"/>
      <c r="P7" s="3405" t="s">
        <v>1680</v>
      </c>
      <c r="Q7" s="3434"/>
      <c r="R7" s="663" t="s">
        <v>14</v>
      </c>
      <c r="S7" s="664">
        <f t="shared" ref="S7:S14" si="0">F7</f>
        <v>0</v>
      </c>
      <c r="T7" s="663" t="s">
        <v>14</v>
      </c>
      <c r="U7" s="664">
        <f t="shared" ref="U7:U14" si="1">H7</f>
        <v>0</v>
      </c>
      <c r="V7" s="663" t="s">
        <v>14</v>
      </c>
      <c r="W7" s="664">
        <f t="shared" ref="W7:W14" si="2">J7</f>
        <v>0</v>
      </c>
      <c r="X7" s="665"/>
      <c r="Y7" s="3405" t="s">
        <v>1680</v>
      </c>
      <c r="Z7" s="3406"/>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05" t="s">
        <v>1683</v>
      </c>
      <c r="Q8" s="3406"/>
      <c r="R8" s="663" t="s">
        <v>14</v>
      </c>
      <c r="S8" s="664">
        <f t="shared" si="0"/>
        <v>100</v>
      </c>
      <c r="T8" s="663" t="s">
        <v>14</v>
      </c>
      <c r="U8" s="664">
        <f t="shared" si="1"/>
        <v>100</v>
      </c>
      <c r="V8" s="663" t="s">
        <v>14</v>
      </c>
      <c r="W8" s="664">
        <f t="shared" si="2"/>
        <v>100</v>
      </c>
      <c r="X8" s="665"/>
      <c r="Y8" s="3405" t="s">
        <v>1683</v>
      </c>
      <c r="Z8" s="3406"/>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38" t="s">
        <v>1686</v>
      </c>
      <c r="Q9" s="529" t="str">
        <f t="shared" ref="Q9:Q14" si="6">B9</f>
        <v>用途</v>
      </c>
      <c r="R9" s="663" t="s">
        <v>14</v>
      </c>
      <c r="S9" s="664">
        <f t="shared" si="0"/>
        <v>100</v>
      </c>
      <c r="T9" s="663" t="s">
        <v>14</v>
      </c>
      <c r="U9" s="664">
        <f t="shared" si="1"/>
        <v>100</v>
      </c>
      <c r="V9" s="663" t="s">
        <v>14</v>
      </c>
      <c r="W9" s="664">
        <f t="shared" si="2"/>
        <v>100</v>
      </c>
      <c r="X9" s="665"/>
      <c r="Y9" s="3349"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38"/>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38"/>
      <c r="Q11" s="529">
        <f t="shared" si="6"/>
        <v>111</v>
      </c>
      <c r="R11" s="663" t="s">
        <v>14</v>
      </c>
      <c r="S11" s="664">
        <f t="shared" si="0"/>
        <v>100</v>
      </c>
      <c r="T11" s="663" t="s">
        <v>14</v>
      </c>
      <c r="U11" s="664">
        <f t="shared" si="1"/>
        <v>100</v>
      </c>
      <c r="V11" s="663" t="s">
        <v>14</v>
      </c>
      <c r="W11" s="664">
        <f t="shared" si="2"/>
        <v>100</v>
      </c>
      <c r="X11" s="665"/>
      <c r="Y11" s="3349"/>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38"/>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38"/>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周边有333路、908路、909路等多条公交线路及地铁16号线西北旺站，综合评价交通便捷度较好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39" t="s">
        <v>1691</v>
      </c>
      <c r="Q14" s="1261" t="str">
        <f t="shared" si="6"/>
        <v>交通便捷度</v>
      </c>
      <c r="R14" s="666" t="s">
        <v>14</v>
      </c>
      <c r="S14" s="667">
        <f t="shared" si="0"/>
        <v>100</v>
      </c>
      <c r="T14" s="666" t="s">
        <v>14</v>
      </c>
      <c r="U14" s="667">
        <f t="shared" si="1"/>
        <v>100</v>
      </c>
      <c r="V14" s="666" t="s">
        <v>14</v>
      </c>
      <c r="W14" s="667">
        <f t="shared" si="2"/>
        <v>100</v>
      </c>
      <c r="X14" s="1263"/>
      <c r="Y14" s="3439"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40"/>
      <c r="Q15" s="1261"/>
      <c r="R15" s="666"/>
      <c r="S15" s="667"/>
      <c r="T15" s="666"/>
      <c r="U15" s="667"/>
      <c r="V15" s="666"/>
      <c r="W15" s="667"/>
      <c r="X15" s="1263"/>
      <c r="Y15" s="3440"/>
      <c r="Z15" s="1262"/>
      <c r="AA15" s="1262">
        <v>1</v>
      </c>
      <c r="AB15" s="1262">
        <v>1</v>
      </c>
      <c r="AC15" s="1262">
        <v>1</v>
      </c>
    </row>
    <row r="16" spans="1:29" ht="299.25">
      <c r="A16" s="347"/>
      <c r="B16" s="555" t="s">
        <v>1809</v>
      </c>
      <c r="C16" s="1751" t="str">
        <f>IF(B1="工业",估价对象房地状况!G5,估价对象房地状况!C7)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40"/>
      <c r="Q16" s="1261" t="str">
        <f>B16</f>
        <v>公共配套设施</v>
      </c>
      <c r="R16" s="666" t="s">
        <v>14</v>
      </c>
      <c r="S16" s="667">
        <f>F16</f>
        <v>100</v>
      </c>
      <c r="T16" s="666" t="s">
        <v>14</v>
      </c>
      <c r="U16" s="667">
        <f>H16</f>
        <v>100</v>
      </c>
      <c r="V16" s="666" t="s">
        <v>14</v>
      </c>
      <c r="W16" s="667">
        <f>J16</f>
        <v>100</v>
      </c>
      <c r="X16" s="1263"/>
      <c r="Y16" s="3440"/>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40"/>
      <c r="Q17" s="1261"/>
      <c r="R17" s="666"/>
      <c r="S17" s="667"/>
      <c r="T17" s="666"/>
      <c r="U17" s="667"/>
      <c r="V17" s="666"/>
      <c r="W17" s="667"/>
      <c r="X17" s="1263"/>
      <c r="Y17" s="3440"/>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40"/>
      <c r="Q18" s="1261" t="str">
        <f>B18</f>
        <v>基础设施水平</v>
      </c>
      <c r="R18" s="666" t="s">
        <v>14</v>
      </c>
      <c r="S18" s="667">
        <f>F18</f>
        <v>100</v>
      </c>
      <c r="T18" s="666" t="s">
        <v>14</v>
      </c>
      <c r="U18" s="667">
        <f>H18</f>
        <v>100</v>
      </c>
      <c r="V18" s="666" t="s">
        <v>14</v>
      </c>
      <c r="W18" s="667">
        <f>J18</f>
        <v>100</v>
      </c>
      <c r="X18" s="1263"/>
      <c r="Y18" s="3440"/>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40"/>
      <c r="Q19" s="1261"/>
      <c r="R19" s="666"/>
      <c r="S19" s="667"/>
      <c r="T19" s="666"/>
      <c r="U19" s="667"/>
      <c r="V19" s="666"/>
      <c r="W19" s="667"/>
      <c r="X19" s="1263"/>
      <c r="Y19" s="3440"/>
      <c r="Z19" s="1262"/>
      <c r="AA19" s="1262">
        <v>1</v>
      </c>
      <c r="AB19" s="1262">
        <v>1</v>
      </c>
      <c r="AC19" s="1262">
        <v>1</v>
      </c>
    </row>
    <row r="20" spans="1:29" ht="85.5">
      <c r="A20" s="347"/>
      <c r="B20" s="555" t="s">
        <v>1831</v>
      </c>
      <c r="C20" s="1751" t="str">
        <f>IF(B1="工业",估价对象房地状况!G7,估价对象房地状况!C9)</f>
        <v>自然环境：百望山森林公园、中关村公园等自然景观；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40"/>
      <c r="Q20" s="1261" t="str">
        <f>B20</f>
        <v>自然及人文环境</v>
      </c>
      <c r="R20" s="666" t="s">
        <v>14</v>
      </c>
      <c r="S20" s="667">
        <f>F20</f>
        <v>100</v>
      </c>
      <c r="T20" s="666" t="s">
        <v>14</v>
      </c>
      <c r="U20" s="667">
        <f>H20</f>
        <v>100</v>
      </c>
      <c r="V20" s="666" t="s">
        <v>14</v>
      </c>
      <c r="W20" s="667">
        <f>J20</f>
        <v>100</v>
      </c>
      <c r="X20" s="1263"/>
      <c r="Y20" s="3440"/>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40"/>
      <c r="Q21" s="1261"/>
      <c r="R21" s="666"/>
      <c r="S21" s="667"/>
      <c r="T21" s="666"/>
      <c r="U21" s="667"/>
      <c r="V21" s="666"/>
      <c r="W21" s="667"/>
      <c r="X21" s="1263"/>
      <c r="Y21" s="3440"/>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40"/>
      <c r="Q22" s="1261" t="str">
        <f>B22</f>
        <v>楼层</v>
      </c>
      <c r="R22" s="666" t="s">
        <v>14</v>
      </c>
      <c r="S22" s="667">
        <f>F22</f>
        <v>100</v>
      </c>
      <c r="T22" s="666" t="s">
        <v>14</v>
      </c>
      <c r="U22" s="667">
        <f>H22</f>
        <v>100</v>
      </c>
      <c r="V22" s="666" t="s">
        <v>14</v>
      </c>
      <c r="W22" s="667">
        <f>J22</f>
        <v>100</v>
      </c>
      <c r="X22" s="1263"/>
      <c r="Y22" s="3440"/>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40"/>
      <c r="Q23" s="1261">
        <f>B23</f>
        <v>111</v>
      </c>
      <c r="R23" s="666" t="s">
        <v>14</v>
      </c>
      <c r="S23" s="667">
        <f>F23</f>
        <v>100</v>
      </c>
      <c r="T23" s="666" t="s">
        <v>14</v>
      </c>
      <c r="U23" s="667">
        <f>H23</f>
        <v>100</v>
      </c>
      <c r="V23" s="666" t="s">
        <v>14</v>
      </c>
      <c r="W23" s="667">
        <f>J23</f>
        <v>100</v>
      </c>
      <c r="X23" s="1263"/>
      <c r="Y23" s="3440"/>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40"/>
      <c r="Q24" s="1261">
        <f t="shared" ref="Q24:Q36" si="8">B24</f>
        <v>111</v>
      </c>
      <c r="R24" s="666" t="s">
        <v>14</v>
      </c>
      <c r="S24" s="667">
        <f>F24</f>
        <v>100</v>
      </c>
      <c r="T24" s="666" t="s">
        <v>14</v>
      </c>
      <c r="U24" s="667">
        <f>H24</f>
        <v>100</v>
      </c>
      <c r="V24" s="666" t="s">
        <v>14</v>
      </c>
      <c r="W24" s="667">
        <f>J24</f>
        <v>100</v>
      </c>
      <c r="X24" s="1263"/>
      <c r="Y24" s="3440"/>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40"/>
      <c r="Q25" s="529">
        <f t="shared" si="8"/>
        <v>111</v>
      </c>
      <c r="R25" s="663" t="s">
        <v>14</v>
      </c>
      <c r="S25" s="664">
        <f>F25</f>
        <v>100</v>
      </c>
      <c r="T25" s="663" t="s">
        <v>14</v>
      </c>
      <c r="U25" s="664">
        <f>H25</f>
        <v>100</v>
      </c>
      <c r="V25" s="663" t="s">
        <v>14</v>
      </c>
      <c r="W25" s="664">
        <f>J25</f>
        <v>100</v>
      </c>
      <c r="X25" s="665"/>
      <c r="Y25" s="3440"/>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4"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44"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44"/>
      <c r="Q27" s="530" t="str">
        <f t="shared" si="8"/>
        <v>项目停车位配比</v>
      </c>
      <c r="R27" s="668" t="s">
        <v>14</v>
      </c>
      <c r="S27" s="669">
        <f t="shared" si="9"/>
        <v>100</v>
      </c>
      <c r="T27" s="668" t="s">
        <v>14</v>
      </c>
      <c r="U27" s="669">
        <f t="shared" si="10"/>
        <v>100</v>
      </c>
      <c r="V27" s="668" t="s">
        <v>14</v>
      </c>
      <c r="W27" s="669">
        <f t="shared" si="11"/>
        <v>100</v>
      </c>
      <c r="X27" s="670"/>
      <c r="Y27" s="3444"/>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44"/>
      <c r="Q28" s="1261" t="str">
        <f t="shared" si="8"/>
        <v>公共部分装修</v>
      </c>
      <c r="R28" s="666" t="s">
        <v>14</v>
      </c>
      <c r="S28" s="667">
        <f t="shared" si="9"/>
        <v>100</v>
      </c>
      <c r="T28" s="666" t="s">
        <v>14</v>
      </c>
      <c r="U28" s="667">
        <f t="shared" si="10"/>
        <v>100</v>
      </c>
      <c r="V28" s="666" t="s">
        <v>14</v>
      </c>
      <c r="W28" s="667">
        <f t="shared" si="11"/>
        <v>100</v>
      </c>
      <c r="X28" s="1263"/>
      <c r="Y28" s="3444"/>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44"/>
      <c r="Q29" s="1261" t="str">
        <f t="shared" si="8"/>
        <v>成新率</v>
      </c>
      <c r="R29" s="666" t="s">
        <v>14</v>
      </c>
      <c r="S29" s="667" t="e">
        <f t="shared" si="9"/>
        <v>#N/A</v>
      </c>
      <c r="T29" s="666" t="s">
        <v>14</v>
      </c>
      <c r="U29" s="667" t="e">
        <f t="shared" si="10"/>
        <v>#N/A</v>
      </c>
      <c r="V29" s="666" t="s">
        <v>14</v>
      </c>
      <c r="W29" s="667" t="e">
        <f t="shared" si="11"/>
        <v>#N/A</v>
      </c>
      <c r="X29" s="1263"/>
      <c r="Y29" s="3444"/>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44"/>
      <c r="Q30" s="1261" t="str">
        <f t="shared" si="8"/>
        <v>物业等级</v>
      </c>
      <c r="R30" s="666" t="s">
        <v>14</v>
      </c>
      <c r="S30" s="667">
        <f t="shared" si="9"/>
        <v>100</v>
      </c>
      <c r="T30" s="666" t="s">
        <v>14</v>
      </c>
      <c r="U30" s="667">
        <f t="shared" si="10"/>
        <v>100</v>
      </c>
      <c r="V30" s="666" t="s">
        <v>14</v>
      </c>
      <c r="W30" s="667">
        <f t="shared" si="11"/>
        <v>100</v>
      </c>
      <c r="X30" s="1263"/>
      <c r="Y30" s="3444"/>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44"/>
      <c r="Q31" s="529" t="str">
        <f t="shared" si="8"/>
        <v>停车位面积</v>
      </c>
      <c r="R31" s="663" t="s">
        <v>14</v>
      </c>
      <c r="S31" s="664" t="e">
        <f t="shared" si="9"/>
        <v>#N/A</v>
      </c>
      <c r="T31" s="663" t="s">
        <v>14</v>
      </c>
      <c r="U31" s="664" t="e">
        <f t="shared" si="10"/>
        <v>#N/A</v>
      </c>
      <c r="V31" s="663" t="s">
        <v>14</v>
      </c>
      <c r="W31" s="664" t="e">
        <f t="shared" si="11"/>
        <v>#N/A</v>
      </c>
      <c r="X31" s="665"/>
      <c r="Y31" s="3444"/>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44" t="s">
        <v>1696</v>
      </c>
      <c r="Q32" s="1261" t="str">
        <f t="shared" si="8"/>
        <v>车位类型</v>
      </c>
      <c r="R32" s="666" t="s">
        <v>14</v>
      </c>
      <c r="S32" s="667">
        <f t="shared" si="9"/>
        <v>100</v>
      </c>
      <c r="T32" s="666" t="s">
        <v>14</v>
      </c>
      <c r="U32" s="667">
        <f t="shared" si="10"/>
        <v>100</v>
      </c>
      <c r="V32" s="666" t="s">
        <v>14</v>
      </c>
      <c r="W32" s="667">
        <f t="shared" si="11"/>
        <v>100</v>
      </c>
      <c r="X32" s="1263"/>
      <c r="Y32" s="3444"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44"/>
      <c r="Q33" s="1261" t="str">
        <f t="shared" si="8"/>
        <v>是否直接入户</v>
      </c>
      <c r="R33" s="666" t="s">
        <v>14</v>
      </c>
      <c r="S33" s="667">
        <f t="shared" si="9"/>
        <v>100</v>
      </c>
      <c r="T33" s="666" t="s">
        <v>14</v>
      </c>
      <c r="U33" s="667">
        <f t="shared" si="10"/>
        <v>100</v>
      </c>
      <c r="V33" s="666" t="s">
        <v>14</v>
      </c>
      <c r="W33" s="667">
        <f t="shared" si="11"/>
        <v>100</v>
      </c>
      <c r="X33" s="1263"/>
      <c r="Y33" s="3444"/>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44"/>
      <c r="Q34" s="1261">
        <f t="shared" si="8"/>
        <v>111</v>
      </c>
      <c r="R34" s="666" t="s">
        <v>14</v>
      </c>
      <c r="S34" s="667">
        <f t="shared" si="9"/>
        <v>100</v>
      </c>
      <c r="T34" s="666" t="s">
        <v>14</v>
      </c>
      <c r="U34" s="667">
        <f t="shared" si="10"/>
        <v>100</v>
      </c>
      <c r="V34" s="666" t="s">
        <v>14</v>
      </c>
      <c r="W34" s="667">
        <f t="shared" si="11"/>
        <v>100</v>
      </c>
      <c r="X34" s="1263"/>
      <c r="Y34" s="3444"/>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44"/>
      <c r="Q35" s="530">
        <f t="shared" si="8"/>
        <v>111</v>
      </c>
      <c r="R35" s="668" t="s">
        <v>14</v>
      </c>
      <c r="S35" s="669">
        <f t="shared" si="9"/>
        <v>100</v>
      </c>
      <c r="T35" s="668" t="s">
        <v>14</v>
      </c>
      <c r="U35" s="669">
        <f t="shared" si="10"/>
        <v>100</v>
      </c>
      <c r="V35" s="668" t="s">
        <v>14</v>
      </c>
      <c r="W35" s="669">
        <f t="shared" si="11"/>
        <v>100</v>
      </c>
      <c r="X35" s="670"/>
      <c r="Y35" s="3444"/>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44"/>
      <c r="Q36" s="1261">
        <f t="shared" si="8"/>
        <v>111</v>
      </c>
      <c r="R36" s="666" t="s">
        <v>14</v>
      </c>
      <c r="S36" s="667">
        <f t="shared" si="9"/>
        <v>100</v>
      </c>
      <c r="T36" s="666" t="s">
        <v>14</v>
      </c>
      <c r="U36" s="667">
        <f t="shared" si="10"/>
        <v>100</v>
      </c>
      <c r="V36" s="666" t="s">
        <v>14</v>
      </c>
      <c r="W36" s="667">
        <f t="shared" si="11"/>
        <v>100</v>
      </c>
      <c r="X36" s="1263"/>
      <c r="Y36" s="3444"/>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38" t="str">
        <f>A37</f>
        <v>成交单价</v>
      </c>
      <c r="Q37" s="3438"/>
      <c r="R37" s="3433">
        <f>E37</f>
        <v>0</v>
      </c>
      <c r="S37" s="3433"/>
      <c r="T37" s="3433">
        <f>G37</f>
        <v>0</v>
      </c>
      <c r="U37" s="3433"/>
      <c r="V37" s="3433">
        <f>I37</f>
        <v>0</v>
      </c>
      <c r="W37" s="3433"/>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38" t="str">
        <f>A38</f>
        <v>比较价值（元/平方米）</v>
      </c>
      <c r="Q38" s="3438"/>
      <c r="R38" s="3433" t="e">
        <f>IF(F1="售价",ROUND(PRODUCT(R37,AA7:AA36),0),ROUND(PRODUCT(R37,AA7:AA36),1))</f>
        <v>#DIV/0!</v>
      </c>
      <c r="S38" s="3433"/>
      <c r="T38" s="3433" t="e">
        <f>IF(F1="售价",ROUND(PRODUCT(T37,AB7:AB36),0),ROUND(PRODUCT(T37,AB7:AB36),1))</f>
        <v>#DIV/0!</v>
      </c>
      <c r="U38" s="3433"/>
      <c r="V38" s="3433" t="e">
        <f>IF(F1="售价",ROUND(PRODUCT(V37,AC7:AC36),0),ROUND(PRODUCT(V37,AC7:AC36),1))</f>
        <v>#DIV/0!</v>
      </c>
      <c r="W38" s="3433"/>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35" t="str">
        <f>A39</f>
        <v>估价对象XX用房的比较价值（楼面单价，元/平方米）</v>
      </c>
      <c r="Q39" s="3436"/>
      <c r="R39" s="3465" t="e">
        <f>IF(F1="售价",ROUND(IF(D38="简单平均",AVERAGE(R38:W38),R38*F38+T38*H38+V38*J38),0),ROUND(IF(D38="简单平均",AVERAGE(R38:V38),R38*F38+T38*H38+V38*J38),1))</f>
        <v>#DIV/0!</v>
      </c>
      <c r="S39" s="3465"/>
      <c r="T39" s="3465"/>
      <c r="U39" s="3465"/>
      <c r="V39" s="3465"/>
      <c r="W39" s="3465"/>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2024-10</v>
      </c>
      <c r="D48" s="1102">
        <f>EDATE(C48,-1)</f>
        <v>45536</v>
      </c>
      <c r="E48" s="1102">
        <f t="shared" ref="E48:O48" si="13">EDATE(D48,-1)</f>
        <v>45505</v>
      </c>
      <c r="F48" s="1102">
        <f t="shared" si="13"/>
        <v>45474</v>
      </c>
      <c r="G48" s="1102">
        <f t="shared" si="13"/>
        <v>45444</v>
      </c>
      <c r="H48" s="1102">
        <f t="shared" si="13"/>
        <v>45413</v>
      </c>
      <c r="I48" s="1102">
        <f t="shared" si="13"/>
        <v>45383</v>
      </c>
      <c r="J48" s="1102">
        <f t="shared" si="13"/>
        <v>45352</v>
      </c>
      <c r="K48" s="1102">
        <f t="shared" si="13"/>
        <v>45323</v>
      </c>
      <c r="L48" s="1102">
        <f t="shared" si="13"/>
        <v>45292</v>
      </c>
      <c r="M48" s="1102">
        <f t="shared" si="13"/>
        <v>45261</v>
      </c>
      <c r="N48" s="1102">
        <f t="shared" si="13"/>
        <v>45231</v>
      </c>
      <c r="O48" s="1102">
        <f t="shared" si="13"/>
        <v>45200</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25" t="s">
        <v>1772</v>
      </c>
      <c r="Q4" s="3426"/>
      <c r="R4" s="3407" t="s">
        <v>1768</v>
      </c>
      <c r="S4" s="3408"/>
      <c r="T4" s="3407" t="s">
        <v>1769</v>
      </c>
      <c r="U4" s="3408"/>
      <c r="V4" s="3433" t="s">
        <v>1770</v>
      </c>
      <c r="W4" s="3433"/>
      <c r="X4" s="1263"/>
      <c r="Y4" s="3407" t="s">
        <v>1772</v>
      </c>
      <c r="Z4" s="3408"/>
      <c r="AA4" s="3402" t="s">
        <v>1768</v>
      </c>
      <c r="AB4" s="3403" t="s">
        <v>1769</v>
      </c>
      <c r="AC4" s="3402" t="s">
        <v>1770</v>
      </c>
    </row>
    <row r="5" spans="1:29" ht="15">
      <c r="A5" s="347"/>
      <c r="B5" s="348"/>
      <c r="C5" s="3417" t="s">
        <v>1673</v>
      </c>
      <c r="D5" s="3414"/>
      <c r="E5" s="3448" t="s">
        <v>1674</v>
      </c>
      <c r="F5" s="3412"/>
      <c r="G5" s="3417" t="s">
        <v>1675</v>
      </c>
      <c r="H5" s="3414"/>
      <c r="I5" s="3417" t="s">
        <v>1676</v>
      </c>
      <c r="J5" s="3414"/>
      <c r="K5" s="536"/>
      <c r="L5" s="2481"/>
      <c r="M5" s="2482"/>
      <c r="N5" s="2482"/>
      <c r="O5" s="2482"/>
      <c r="P5" s="3427"/>
      <c r="Q5" s="3428"/>
      <c r="R5" s="3409"/>
      <c r="S5" s="3410"/>
      <c r="T5" s="3409"/>
      <c r="U5" s="3410"/>
      <c r="V5" s="3433"/>
      <c r="W5" s="3433"/>
      <c r="X5" s="1263"/>
      <c r="Y5" s="3409"/>
      <c r="Z5" s="3410"/>
      <c r="AA5" s="3403"/>
      <c r="AB5" s="3403"/>
      <c r="AC5" s="3403"/>
    </row>
    <row r="6" spans="1:29" ht="15.75" thickBot="1">
      <c r="A6" s="349"/>
      <c r="B6" s="350"/>
      <c r="C6" s="3415" t="s">
        <v>1677</v>
      </c>
      <c r="D6" s="3416"/>
      <c r="E6" s="3418" t="s">
        <v>1677</v>
      </c>
      <c r="F6" s="3419"/>
      <c r="G6" s="3415" t="s">
        <v>1677</v>
      </c>
      <c r="H6" s="3416"/>
      <c r="I6" s="3415" t="s">
        <v>1677</v>
      </c>
      <c r="J6" s="3416"/>
      <c r="K6" s="536" t="s">
        <v>1678</v>
      </c>
      <c r="L6" s="2481"/>
      <c r="M6" s="2482"/>
      <c r="N6" s="2482"/>
      <c r="O6" s="2482"/>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05" t="s">
        <v>1680</v>
      </c>
      <c r="Q7" s="3434"/>
      <c r="R7" s="663" t="s">
        <v>14</v>
      </c>
      <c r="S7" s="664">
        <f t="shared" ref="S7:S14" si="0">F7</f>
        <v>0</v>
      </c>
      <c r="T7" s="663" t="s">
        <v>14</v>
      </c>
      <c r="U7" s="664">
        <f t="shared" ref="U7:U14" si="1">H7</f>
        <v>0</v>
      </c>
      <c r="V7" s="663" t="s">
        <v>14</v>
      </c>
      <c r="W7" s="664">
        <f t="shared" ref="W7:W14" si="2">J7</f>
        <v>0</v>
      </c>
      <c r="X7" s="665"/>
      <c r="Y7" s="3405" t="s">
        <v>1680</v>
      </c>
      <c r="Z7" s="3406"/>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05" t="s">
        <v>1683</v>
      </c>
      <c r="Q8" s="3406"/>
      <c r="R8" s="663" t="s">
        <v>14</v>
      </c>
      <c r="S8" s="664">
        <f t="shared" si="0"/>
        <v>100</v>
      </c>
      <c r="T8" s="663" t="s">
        <v>14</v>
      </c>
      <c r="U8" s="664">
        <f t="shared" si="1"/>
        <v>100</v>
      </c>
      <c r="V8" s="663" t="s">
        <v>14</v>
      </c>
      <c r="W8" s="664">
        <f t="shared" si="2"/>
        <v>100</v>
      </c>
      <c r="X8" s="665"/>
      <c r="Y8" s="3405" t="s">
        <v>1683</v>
      </c>
      <c r="Z8" s="3406"/>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38" t="s">
        <v>1686</v>
      </c>
      <c r="Q9" s="529" t="str">
        <f t="shared" ref="Q9:Q14" si="6">B9</f>
        <v>用途</v>
      </c>
      <c r="R9" s="663" t="s">
        <v>14</v>
      </c>
      <c r="S9" s="664">
        <f t="shared" si="0"/>
        <v>100</v>
      </c>
      <c r="T9" s="663" t="s">
        <v>14</v>
      </c>
      <c r="U9" s="664">
        <f t="shared" si="1"/>
        <v>100</v>
      </c>
      <c r="V9" s="663" t="s">
        <v>14</v>
      </c>
      <c r="W9" s="664">
        <f t="shared" si="2"/>
        <v>100</v>
      </c>
      <c r="X9" s="665"/>
      <c r="Y9" s="3349"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38"/>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38"/>
      <c r="Q11" s="529">
        <f t="shared" si="6"/>
        <v>111</v>
      </c>
      <c r="R11" s="663" t="s">
        <v>14</v>
      </c>
      <c r="S11" s="664">
        <f t="shared" si="0"/>
        <v>100</v>
      </c>
      <c r="T11" s="663" t="s">
        <v>14</v>
      </c>
      <c r="U11" s="664">
        <f t="shared" si="1"/>
        <v>100</v>
      </c>
      <c r="V11" s="663" t="s">
        <v>14</v>
      </c>
      <c r="W11" s="664">
        <f t="shared" si="2"/>
        <v>100</v>
      </c>
      <c r="X11" s="665"/>
      <c r="Y11" s="3349"/>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38"/>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38"/>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周边有333路、908路、909路等多条公交线路及地铁16号线西北旺站，综合评价交通便捷度较好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39" t="s">
        <v>1691</v>
      </c>
      <c r="Q14" s="1261" t="str">
        <f t="shared" si="6"/>
        <v>交通便捷度</v>
      </c>
      <c r="R14" s="666" t="s">
        <v>14</v>
      </c>
      <c r="S14" s="667">
        <f t="shared" si="0"/>
        <v>100</v>
      </c>
      <c r="T14" s="666" t="s">
        <v>14</v>
      </c>
      <c r="U14" s="667">
        <f t="shared" si="1"/>
        <v>100</v>
      </c>
      <c r="V14" s="666" t="s">
        <v>14</v>
      </c>
      <c r="W14" s="667">
        <f t="shared" si="2"/>
        <v>100</v>
      </c>
      <c r="X14" s="1263"/>
      <c r="Y14" s="3439"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40"/>
      <c r="Q15" s="1261"/>
      <c r="R15" s="666"/>
      <c r="S15" s="667"/>
      <c r="T15" s="666"/>
      <c r="U15" s="667"/>
      <c r="V15" s="666"/>
      <c r="W15" s="667"/>
      <c r="X15" s="1263"/>
      <c r="Y15" s="3440"/>
      <c r="Z15" s="1262"/>
      <c r="AA15" s="1262">
        <v>1</v>
      </c>
      <c r="AB15" s="1262">
        <v>1</v>
      </c>
      <c r="AC15" s="1262">
        <v>1</v>
      </c>
    </row>
    <row r="16" spans="1:29" ht="299.25">
      <c r="A16" s="366"/>
      <c r="B16" s="389" t="s">
        <v>1809</v>
      </c>
      <c r="C16" s="1751" t="str">
        <f>IF(B1="工业",估价对象房地状况!G5,估价对象房地状况!C7)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40"/>
      <c r="Q16" s="1261" t="str">
        <f>B16</f>
        <v>公共配套设施</v>
      </c>
      <c r="R16" s="666" t="s">
        <v>14</v>
      </c>
      <c r="S16" s="667">
        <f>F16</f>
        <v>100</v>
      </c>
      <c r="T16" s="666" t="s">
        <v>14</v>
      </c>
      <c r="U16" s="667">
        <f>H16</f>
        <v>100</v>
      </c>
      <c r="V16" s="666" t="s">
        <v>14</v>
      </c>
      <c r="W16" s="667">
        <f>J16</f>
        <v>100</v>
      </c>
      <c r="X16" s="1263"/>
      <c r="Y16" s="3440"/>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40"/>
      <c r="Q17" s="1261"/>
      <c r="R17" s="666"/>
      <c r="S17" s="667"/>
      <c r="T17" s="666"/>
      <c r="U17" s="667"/>
      <c r="V17" s="666"/>
      <c r="W17" s="667"/>
      <c r="X17" s="1263"/>
      <c r="Y17" s="3440"/>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40"/>
      <c r="Q18" s="1261" t="str">
        <f>B18</f>
        <v>基础设施水平</v>
      </c>
      <c r="R18" s="666" t="s">
        <v>14</v>
      </c>
      <c r="S18" s="667">
        <f>F18</f>
        <v>100</v>
      </c>
      <c r="T18" s="666" t="s">
        <v>14</v>
      </c>
      <c r="U18" s="667">
        <f>H18</f>
        <v>100</v>
      </c>
      <c r="V18" s="666" t="s">
        <v>14</v>
      </c>
      <c r="W18" s="667">
        <f>J18</f>
        <v>100</v>
      </c>
      <c r="X18" s="1263"/>
      <c r="Y18" s="3440"/>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40"/>
      <c r="Q19" s="1261"/>
      <c r="R19" s="666"/>
      <c r="S19" s="667"/>
      <c r="T19" s="666"/>
      <c r="U19" s="667"/>
      <c r="V19" s="666"/>
      <c r="W19" s="667"/>
      <c r="X19" s="1263"/>
      <c r="Y19" s="3440"/>
      <c r="Z19" s="1262"/>
      <c r="AA19" s="1262">
        <v>1</v>
      </c>
      <c r="AB19" s="1262">
        <v>1</v>
      </c>
      <c r="AC19" s="1262">
        <v>1</v>
      </c>
    </row>
    <row r="20" spans="1:29" ht="85.5">
      <c r="A20" s="366"/>
      <c r="B20" s="389" t="s">
        <v>1831</v>
      </c>
      <c r="C20" s="1751" t="str">
        <f>IF(B1="工业",估价对象房地状况!G7,估价对象房地状况!C9)</f>
        <v>自然环境：百望山森林公园、中关村公园等自然景观；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40"/>
      <c r="Q20" s="1261" t="str">
        <f>B20</f>
        <v>自然及人文环境</v>
      </c>
      <c r="R20" s="666" t="s">
        <v>14</v>
      </c>
      <c r="S20" s="667">
        <f>F20</f>
        <v>100</v>
      </c>
      <c r="T20" s="666" t="s">
        <v>14</v>
      </c>
      <c r="U20" s="667">
        <f>H20</f>
        <v>100</v>
      </c>
      <c r="V20" s="666" t="s">
        <v>14</v>
      </c>
      <c r="W20" s="667">
        <f>J20</f>
        <v>100</v>
      </c>
      <c r="X20" s="1263"/>
      <c r="Y20" s="3440"/>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40"/>
      <c r="Q21" s="1261"/>
      <c r="R21" s="666"/>
      <c r="S21" s="667"/>
      <c r="T21" s="666"/>
      <c r="U21" s="667"/>
      <c r="V21" s="666"/>
      <c r="W21" s="667"/>
      <c r="X21" s="1263"/>
      <c r="Y21" s="3440"/>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40"/>
      <c r="Q22" s="1261" t="str">
        <f>B22</f>
        <v>楼层</v>
      </c>
      <c r="R22" s="666" t="s">
        <v>14</v>
      </c>
      <c r="S22" s="667">
        <f>F22</f>
        <v>100</v>
      </c>
      <c r="T22" s="666" t="s">
        <v>14</v>
      </c>
      <c r="U22" s="667">
        <f>H22</f>
        <v>100</v>
      </c>
      <c r="V22" s="666" t="s">
        <v>14</v>
      </c>
      <c r="W22" s="667">
        <f>J22</f>
        <v>100</v>
      </c>
      <c r="X22" s="1263"/>
      <c r="Y22" s="3440"/>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40"/>
      <c r="Q23" s="1261">
        <f>B23</f>
        <v>111</v>
      </c>
      <c r="R23" s="666" t="s">
        <v>14</v>
      </c>
      <c r="S23" s="667">
        <f>F23</f>
        <v>100</v>
      </c>
      <c r="T23" s="666" t="s">
        <v>14</v>
      </c>
      <c r="U23" s="667">
        <f>H23</f>
        <v>100</v>
      </c>
      <c r="V23" s="666" t="s">
        <v>14</v>
      </c>
      <c r="W23" s="667">
        <f>J23</f>
        <v>100</v>
      </c>
      <c r="X23" s="1263"/>
      <c r="Y23" s="3440"/>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40"/>
      <c r="Q24" s="1261">
        <f t="shared" ref="Q24:Q34" si="8">B24</f>
        <v>111</v>
      </c>
      <c r="R24" s="666" t="s">
        <v>14</v>
      </c>
      <c r="S24" s="667">
        <f>F24</f>
        <v>100</v>
      </c>
      <c r="T24" s="666" t="s">
        <v>14</v>
      </c>
      <c r="U24" s="667">
        <f>H24</f>
        <v>100</v>
      </c>
      <c r="V24" s="666" t="s">
        <v>14</v>
      </c>
      <c r="W24" s="667">
        <f>J24</f>
        <v>100</v>
      </c>
      <c r="X24" s="1263"/>
      <c r="Y24" s="3440"/>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40"/>
      <c r="Q25" s="529">
        <f t="shared" si="8"/>
        <v>111</v>
      </c>
      <c r="R25" s="663" t="s">
        <v>14</v>
      </c>
      <c r="S25" s="664">
        <f>F25</f>
        <v>100</v>
      </c>
      <c r="T25" s="663" t="s">
        <v>14</v>
      </c>
      <c r="U25" s="664">
        <f>H25</f>
        <v>100</v>
      </c>
      <c r="V25" s="663" t="s">
        <v>14</v>
      </c>
      <c r="W25" s="664">
        <f>J25</f>
        <v>100</v>
      </c>
      <c r="X25" s="665"/>
      <c r="Y25" s="3440"/>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4"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44"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44"/>
      <c r="Q27" s="530" t="str">
        <f t="shared" si="8"/>
        <v>成新率</v>
      </c>
      <c r="R27" s="668" t="s">
        <v>14</v>
      </c>
      <c r="S27" s="669" t="e">
        <f t="shared" si="9"/>
        <v>#N/A</v>
      </c>
      <c r="T27" s="668" t="s">
        <v>14</v>
      </c>
      <c r="U27" s="669" t="e">
        <f t="shared" si="10"/>
        <v>#N/A</v>
      </c>
      <c r="V27" s="668" t="s">
        <v>14</v>
      </c>
      <c r="W27" s="669" t="e">
        <f t="shared" si="11"/>
        <v>#N/A</v>
      </c>
      <c r="X27" s="670"/>
      <c r="Y27" s="3444"/>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44"/>
      <c r="Q28" s="1261" t="str">
        <f t="shared" si="8"/>
        <v>物业等级</v>
      </c>
      <c r="R28" s="666" t="s">
        <v>14</v>
      </c>
      <c r="S28" s="667">
        <f t="shared" si="9"/>
        <v>100</v>
      </c>
      <c r="T28" s="666" t="s">
        <v>14</v>
      </c>
      <c r="U28" s="667">
        <f t="shared" si="10"/>
        <v>100</v>
      </c>
      <c r="V28" s="666" t="s">
        <v>14</v>
      </c>
      <c r="W28" s="667">
        <f t="shared" si="11"/>
        <v>100</v>
      </c>
      <c r="X28" s="1263"/>
      <c r="Y28" s="3444"/>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44"/>
      <c r="Q29" s="1261" t="str">
        <f t="shared" si="8"/>
        <v>有无电梯</v>
      </c>
      <c r="R29" s="666" t="s">
        <v>14</v>
      </c>
      <c r="S29" s="667">
        <f t="shared" si="9"/>
        <v>100</v>
      </c>
      <c r="T29" s="666" t="s">
        <v>14</v>
      </c>
      <c r="U29" s="667">
        <f t="shared" si="10"/>
        <v>100</v>
      </c>
      <c r="V29" s="666" t="s">
        <v>14</v>
      </c>
      <c r="W29" s="667">
        <f t="shared" si="11"/>
        <v>100</v>
      </c>
      <c r="X29" s="1263"/>
      <c r="Y29" s="3444"/>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44"/>
      <c r="Q30" s="1261" t="str">
        <f t="shared" si="8"/>
        <v>建筑面积</v>
      </c>
      <c r="R30" s="666" t="s">
        <v>14</v>
      </c>
      <c r="S30" s="667" t="e">
        <f t="shared" si="9"/>
        <v>#N/A</v>
      </c>
      <c r="T30" s="666" t="s">
        <v>14</v>
      </c>
      <c r="U30" s="667" t="e">
        <f t="shared" si="10"/>
        <v>#N/A</v>
      </c>
      <c r="V30" s="666" t="s">
        <v>14</v>
      </c>
      <c r="W30" s="667" t="e">
        <f t="shared" si="11"/>
        <v>#N/A</v>
      </c>
      <c r="X30" s="1263"/>
      <c r="Y30" s="3444"/>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44"/>
      <c r="Q31" s="529" t="str">
        <f t="shared" si="8"/>
        <v>是否封闭</v>
      </c>
      <c r="R31" s="663" t="s">
        <v>14</v>
      </c>
      <c r="S31" s="664">
        <f t="shared" si="9"/>
        <v>100</v>
      </c>
      <c r="T31" s="663" t="s">
        <v>14</v>
      </c>
      <c r="U31" s="664">
        <f t="shared" si="10"/>
        <v>100</v>
      </c>
      <c r="V31" s="663" t="s">
        <v>14</v>
      </c>
      <c r="W31" s="664">
        <f t="shared" si="11"/>
        <v>100</v>
      </c>
      <c r="X31" s="665"/>
      <c r="Y31" s="3444"/>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44" t="s">
        <v>1696</v>
      </c>
      <c r="Q32" s="1261">
        <f t="shared" si="8"/>
        <v>111</v>
      </c>
      <c r="R32" s="666" t="s">
        <v>14</v>
      </c>
      <c r="S32" s="667">
        <f t="shared" si="9"/>
        <v>100</v>
      </c>
      <c r="T32" s="666" t="s">
        <v>14</v>
      </c>
      <c r="U32" s="667">
        <f t="shared" si="10"/>
        <v>100</v>
      </c>
      <c r="V32" s="666" t="s">
        <v>14</v>
      </c>
      <c r="W32" s="667">
        <f t="shared" si="11"/>
        <v>100</v>
      </c>
      <c r="X32" s="1263"/>
      <c r="Y32" s="3444"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44"/>
      <c r="Q33" s="1261">
        <f t="shared" si="8"/>
        <v>111</v>
      </c>
      <c r="R33" s="666" t="s">
        <v>14</v>
      </c>
      <c r="S33" s="667">
        <f t="shared" si="9"/>
        <v>100</v>
      </c>
      <c r="T33" s="666" t="s">
        <v>14</v>
      </c>
      <c r="U33" s="667">
        <f t="shared" si="10"/>
        <v>100</v>
      </c>
      <c r="V33" s="666" t="s">
        <v>14</v>
      </c>
      <c r="W33" s="667">
        <f t="shared" si="11"/>
        <v>100</v>
      </c>
      <c r="X33" s="1263"/>
      <c r="Y33" s="3444"/>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44"/>
      <c r="Q34" s="1261">
        <f t="shared" si="8"/>
        <v>111</v>
      </c>
      <c r="R34" s="666" t="s">
        <v>14</v>
      </c>
      <c r="S34" s="667">
        <f t="shared" si="9"/>
        <v>100</v>
      </c>
      <c r="T34" s="666" t="s">
        <v>14</v>
      </c>
      <c r="U34" s="667">
        <f t="shared" si="10"/>
        <v>100</v>
      </c>
      <c r="V34" s="666" t="s">
        <v>14</v>
      </c>
      <c r="W34" s="667">
        <f t="shared" si="11"/>
        <v>100</v>
      </c>
      <c r="X34" s="1263"/>
      <c r="Y34" s="3444"/>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38" t="str">
        <f>A35</f>
        <v>成交单价（元/平方米）</v>
      </c>
      <c r="Q35" s="3438"/>
      <c r="R35" s="3433">
        <f>E35</f>
        <v>0</v>
      </c>
      <c r="S35" s="3433"/>
      <c r="T35" s="3433">
        <f>G35</f>
        <v>0</v>
      </c>
      <c r="U35" s="3433"/>
      <c r="V35" s="3433">
        <f>I35</f>
        <v>0</v>
      </c>
      <c r="W35" s="3433"/>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38" t="str">
        <f>A36</f>
        <v>比较价值（元/平方米）</v>
      </c>
      <c r="Q36" s="3438"/>
      <c r="R36" s="3433" t="e">
        <f>IF(F1="售价",ROUND(PRODUCT(R35,AA7:AA34),0),ROUND(PRODUCT(R35,AA7:AA34),1))</f>
        <v>#DIV/0!</v>
      </c>
      <c r="S36" s="3433"/>
      <c r="T36" s="3433" t="e">
        <f>IF(F1="售价",ROUND(PRODUCT(T35,AB7:AB34),0),ROUND(PRODUCT(T35,AB7:AB34),1))</f>
        <v>#DIV/0!</v>
      </c>
      <c r="U36" s="3433"/>
      <c r="V36" s="3433" t="e">
        <f>IF(F1="售价",ROUND(PRODUCT(V35,AC7:AC34),0),ROUND(PRODUCT(V35,AC7:AC34),1))</f>
        <v>#DIV/0!</v>
      </c>
      <c r="W36" s="3433"/>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35" t="str">
        <f>A37</f>
        <v>估价对象XX用房的比较价值（楼面单价，元/平方米）</v>
      </c>
      <c r="Q37" s="3436"/>
      <c r="R37" s="3465" t="e">
        <f>IF(F1="售价",ROUND(IF(D36="简单平均",AVERAGE(R36:W36),R36*F36+T36*H36+V36*J36),0),ROUND(IF(D36="简单平均",AVERAGE(R36:V36),R36*F36+T36*H36+V36*J36),1))</f>
        <v>#DIV/0!</v>
      </c>
      <c r="S37" s="3465"/>
      <c r="T37" s="3465"/>
      <c r="U37" s="3465"/>
      <c r="V37" s="3465"/>
      <c r="W37" s="3465"/>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2024-10</v>
      </c>
      <c r="D46" s="1102">
        <f>EDATE(C46,-1)</f>
        <v>45536</v>
      </c>
      <c r="E46" s="1102">
        <f t="shared" ref="E46:O46" si="13">EDATE(D46,-1)</f>
        <v>45505</v>
      </c>
      <c r="F46" s="1102">
        <f t="shared" si="13"/>
        <v>45474</v>
      </c>
      <c r="G46" s="1102">
        <f t="shared" si="13"/>
        <v>45444</v>
      </c>
      <c r="H46" s="1102">
        <f t="shared" si="13"/>
        <v>45413</v>
      </c>
      <c r="I46" s="1102">
        <f t="shared" si="13"/>
        <v>45383</v>
      </c>
      <c r="J46" s="1102">
        <f t="shared" si="13"/>
        <v>45352</v>
      </c>
      <c r="K46" s="1102">
        <f t="shared" si="13"/>
        <v>45323</v>
      </c>
      <c r="L46" s="1102">
        <f t="shared" si="13"/>
        <v>45292</v>
      </c>
      <c r="M46" s="1102">
        <f t="shared" si="13"/>
        <v>45261</v>
      </c>
      <c r="N46" s="1102">
        <f t="shared" si="13"/>
        <v>45231</v>
      </c>
      <c r="O46" s="1102">
        <f t="shared" si="13"/>
        <v>45200</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25" t="s">
        <v>1772</v>
      </c>
      <c r="Q4" s="3426"/>
      <c r="R4" s="3407" t="s">
        <v>1768</v>
      </c>
      <c r="S4" s="3408"/>
      <c r="T4" s="3407" t="s">
        <v>1769</v>
      </c>
      <c r="U4" s="3408"/>
      <c r="V4" s="3433" t="s">
        <v>1770</v>
      </c>
      <c r="W4" s="3433"/>
      <c r="X4" s="1263"/>
      <c r="Y4" s="3407" t="s">
        <v>1772</v>
      </c>
      <c r="Z4" s="3408"/>
      <c r="AA4" s="3402" t="s">
        <v>1768</v>
      </c>
      <c r="AB4" s="3403" t="s">
        <v>1769</v>
      </c>
      <c r="AC4" s="3402" t="s">
        <v>1770</v>
      </c>
    </row>
    <row r="5" spans="1:29" ht="15">
      <c r="A5" s="347"/>
      <c r="B5" s="348"/>
      <c r="C5" s="3417" t="s">
        <v>1673</v>
      </c>
      <c r="D5" s="3414"/>
      <c r="E5" s="3448" t="s">
        <v>1674</v>
      </c>
      <c r="F5" s="3412"/>
      <c r="G5" s="3417" t="s">
        <v>1675</v>
      </c>
      <c r="H5" s="3414"/>
      <c r="I5" s="3417" t="s">
        <v>1676</v>
      </c>
      <c r="J5" s="3414"/>
      <c r="K5" s="536"/>
      <c r="L5" s="2481"/>
      <c r="M5" s="2482"/>
      <c r="N5" s="2482"/>
      <c r="O5" s="2482"/>
      <c r="P5" s="3427"/>
      <c r="Q5" s="3428"/>
      <c r="R5" s="3409"/>
      <c r="S5" s="3410"/>
      <c r="T5" s="3409"/>
      <c r="U5" s="3410"/>
      <c r="V5" s="3433"/>
      <c r="W5" s="3433"/>
      <c r="X5" s="1263"/>
      <c r="Y5" s="3409"/>
      <c r="Z5" s="3410"/>
      <c r="AA5" s="3403"/>
      <c r="AB5" s="3403"/>
      <c r="AC5" s="3403"/>
    </row>
    <row r="6" spans="1:29" ht="15.75" thickBot="1">
      <c r="A6" s="349"/>
      <c r="B6" s="350"/>
      <c r="C6" s="3415" t="s">
        <v>1677</v>
      </c>
      <c r="D6" s="3416"/>
      <c r="E6" s="3418" t="s">
        <v>1677</v>
      </c>
      <c r="F6" s="3419"/>
      <c r="G6" s="3415" t="s">
        <v>1677</v>
      </c>
      <c r="H6" s="3416"/>
      <c r="I6" s="3415" t="s">
        <v>1677</v>
      </c>
      <c r="J6" s="3416"/>
      <c r="K6" s="536" t="s">
        <v>1678</v>
      </c>
      <c r="L6" s="2481"/>
      <c r="M6" s="2482"/>
      <c r="N6" s="2482"/>
      <c r="O6" s="2482"/>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05" t="s">
        <v>1680</v>
      </c>
      <c r="Q7" s="3434"/>
      <c r="R7" s="663" t="s">
        <v>14</v>
      </c>
      <c r="S7" s="664">
        <f t="shared" ref="S7:S15" si="0">F7</f>
        <v>0</v>
      </c>
      <c r="T7" s="663" t="s">
        <v>14</v>
      </c>
      <c r="U7" s="664">
        <f t="shared" ref="U7:U15" si="1">H7</f>
        <v>0</v>
      </c>
      <c r="V7" s="663" t="s">
        <v>14</v>
      </c>
      <c r="W7" s="664">
        <f t="shared" ref="W7:W15" si="2">J7</f>
        <v>0</v>
      </c>
      <c r="X7" s="665"/>
      <c r="Y7" s="3405" t="s">
        <v>1680</v>
      </c>
      <c r="Z7" s="3406"/>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05" t="s">
        <v>1683</v>
      </c>
      <c r="Q8" s="3406"/>
      <c r="R8" s="663" t="s">
        <v>14</v>
      </c>
      <c r="S8" s="664">
        <f t="shared" si="0"/>
        <v>0</v>
      </c>
      <c r="T8" s="663" t="s">
        <v>14</v>
      </c>
      <c r="U8" s="664">
        <f t="shared" si="1"/>
        <v>0</v>
      </c>
      <c r="V8" s="663" t="s">
        <v>14</v>
      </c>
      <c r="W8" s="664">
        <f t="shared" si="2"/>
        <v>0</v>
      </c>
      <c r="X8" s="665"/>
      <c r="Y8" s="3405" t="s">
        <v>1683</v>
      </c>
      <c r="Z8" s="3406"/>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38"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1"/>
      <c r="L10" s="2484"/>
      <c r="M10" s="2485"/>
      <c r="N10" s="2485"/>
      <c r="O10" s="2536"/>
      <c r="P10" s="3438"/>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38"/>
      <c r="Q11" s="529" t="str">
        <f t="shared" si="6"/>
        <v>容积率</v>
      </c>
      <c r="R11" s="663" t="s">
        <v>14</v>
      </c>
      <c r="S11" s="664" t="e">
        <f t="shared" si="0"/>
        <v>#N/A</v>
      </c>
      <c r="T11" s="663" t="s">
        <v>14</v>
      </c>
      <c r="U11" s="664" t="e">
        <f t="shared" si="1"/>
        <v>#N/A</v>
      </c>
      <c r="V11" s="663" t="s">
        <v>14</v>
      </c>
      <c r="W11" s="664" t="e">
        <f t="shared" si="2"/>
        <v>#N/A</v>
      </c>
      <c r="X11" s="665"/>
      <c r="Y11" s="3349"/>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38"/>
      <c r="Q12" s="529" t="str">
        <f t="shared" si="6"/>
        <v>配建</v>
      </c>
      <c r="R12" s="663" t="s">
        <v>14</v>
      </c>
      <c r="S12" s="664">
        <f t="shared" si="0"/>
        <v>100</v>
      </c>
      <c r="T12" s="663" t="s">
        <v>14</v>
      </c>
      <c r="U12" s="664">
        <f t="shared" si="1"/>
        <v>100</v>
      </c>
      <c r="V12" s="663" t="s">
        <v>14</v>
      </c>
      <c r="W12" s="664">
        <f t="shared" si="2"/>
        <v>100</v>
      </c>
      <c r="X12" s="665"/>
      <c r="Y12" s="3349"/>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38"/>
      <c r="Q13" s="529">
        <f t="shared" si="6"/>
        <v>111</v>
      </c>
      <c r="R13" s="663" t="s">
        <v>14</v>
      </c>
      <c r="S13" s="664">
        <f t="shared" si="0"/>
        <v>100</v>
      </c>
      <c r="T13" s="663" t="s">
        <v>14</v>
      </c>
      <c r="U13" s="664">
        <f t="shared" si="1"/>
        <v>100</v>
      </c>
      <c r="V13" s="663" t="s">
        <v>14</v>
      </c>
      <c r="W13" s="664">
        <f t="shared" si="2"/>
        <v>100</v>
      </c>
      <c r="X13" s="665"/>
      <c r="Y13" s="3349"/>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38"/>
      <c r="Q14" s="529">
        <f t="shared" si="6"/>
        <v>111</v>
      </c>
      <c r="R14" s="663" t="s">
        <v>14</v>
      </c>
      <c r="S14" s="664">
        <f t="shared" si="0"/>
        <v>100</v>
      </c>
      <c r="T14" s="663" t="s">
        <v>14</v>
      </c>
      <c r="U14" s="664">
        <f t="shared" si="1"/>
        <v>100</v>
      </c>
      <c r="V14" s="663" t="s">
        <v>14</v>
      </c>
      <c r="W14" s="664">
        <f t="shared" si="2"/>
        <v>100</v>
      </c>
      <c r="X14" s="665"/>
      <c r="Y14" s="3349"/>
      <c r="Z14" s="50">
        <f t="shared" si="7"/>
        <v>111</v>
      </c>
      <c r="AA14" s="50">
        <f>D14/F14</f>
        <v>1</v>
      </c>
      <c r="AB14" s="50">
        <f>D14/H14</f>
        <v>1</v>
      </c>
      <c r="AC14" s="50">
        <f>D14/J14</f>
        <v>1</v>
      </c>
    </row>
    <row r="15" spans="1:29" ht="71.25">
      <c r="A15" s="378" t="s">
        <v>1690</v>
      </c>
      <c r="B15" s="58" t="s">
        <v>1257</v>
      </c>
      <c r="C15" s="1747" t="str">
        <f>估价对象房地状况!C15</f>
        <v>周边有如园、景和园、冬晴园、百旺茉莉园等住宅小区，居住社区成熟度较好。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39" t="s">
        <v>1691</v>
      </c>
      <c r="Q15" s="1261" t="str">
        <f t="shared" si="6"/>
        <v>居住社区成熟度</v>
      </c>
      <c r="R15" s="666" t="s">
        <v>14</v>
      </c>
      <c r="S15" s="667">
        <f t="shared" si="0"/>
        <v>100</v>
      </c>
      <c r="T15" s="666" t="s">
        <v>14</v>
      </c>
      <c r="U15" s="667">
        <f t="shared" si="1"/>
        <v>100</v>
      </c>
      <c r="V15" s="666" t="s">
        <v>14</v>
      </c>
      <c r="W15" s="667">
        <f t="shared" si="2"/>
        <v>100</v>
      </c>
      <c r="X15" s="1263"/>
      <c r="Y15" s="3439"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40"/>
      <c r="Q16" s="1261"/>
      <c r="R16" s="666"/>
      <c r="S16" s="667"/>
      <c r="T16" s="666"/>
      <c r="U16" s="667"/>
      <c r="V16" s="666"/>
      <c r="W16" s="667"/>
      <c r="X16" s="1263"/>
      <c r="Y16" s="3440"/>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40"/>
      <c r="Q17" s="1261" t="str">
        <f>B17</f>
        <v>商业繁华度</v>
      </c>
      <c r="R17" s="666" t="s">
        <v>14</v>
      </c>
      <c r="S17" s="667">
        <f>F17</f>
        <v>100</v>
      </c>
      <c r="T17" s="666" t="s">
        <v>14</v>
      </c>
      <c r="U17" s="667">
        <f>H17</f>
        <v>100</v>
      </c>
      <c r="V17" s="666" t="s">
        <v>14</v>
      </c>
      <c r="W17" s="667">
        <f>J17</f>
        <v>100</v>
      </c>
      <c r="X17" s="1263"/>
      <c r="Y17" s="3440"/>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40"/>
      <c r="Q18" s="1261"/>
      <c r="R18" s="666"/>
      <c r="S18" s="667"/>
      <c r="T18" s="666"/>
      <c r="U18" s="667"/>
      <c r="V18" s="666"/>
      <c r="W18" s="667"/>
      <c r="X18" s="1263"/>
      <c r="Y18" s="3440"/>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40"/>
      <c r="Q19" s="1261" t="str">
        <f>B19</f>
        <v>办公集聚程度</v>
      </c>
      <c r="R19" s="666" t="s">
        <v>14</v>
      </c>
      <c r="S19" s="667">
        <f>F19</f>
        <v>100</v>
      </c>
      <c r="T19" s="666" t="s">
        <v>14</v>
      </c>
      <c r="U19" s="667">
        <f>H19</f>
        <v>100</v>
      </c>
      <c r="V19" s="666" t="s">
        <v>14</v>
      </c>
      <c r="W19" s="667">
        <f>J19</f>
        <v>100</v>
      </c>
      <c r="X19" s="1263"/>
      <c r="Y19" s="3440"/>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40"/>
      <c r="Q20" s="1261"/>
      <c r="R20" s="666"/>
      <c r="S20" s="667"/>
      <c r="T20" s="666"/>
      <c r="U20" s="667"/>
      <c r="V20" s="666"/>
      <c r="W20" s="667"/>
      <c r="X20" s="1263"/>
      <c r="Y20" s="3440"/>
      <c r="Z20" s="1262"/>
      <c r="AA20" s="1262">
        <v>1</v>
      </c>
      <c r="AB20" s="1262">
        <v>1</v>
      </c>
      <c r="AC20" s="1262">
        <v>1</v>
      </c>
    </row>
    <row r="21" spans="1:29" ht="85.5">
      <c r="A21" s="366"/>
      <c r="B21" s="389" t="s">
        <v>1830</v>
      </c>
      <c r="C21" s="1751" t="str">
        <f>估价对象房地状况!C18</f>
        <v>周边有333路、908路、909路等多条公交线路及地铁16号线西北旺站，综合评价交通便捷度较好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40"/>
      <c r="Q21" s="1261" t="str">
        <f>B21</f>
        <v>交通便捷度</v>
      </c>
      <c r="R21" s="666" t="s">
        <v>14</v>
      </c>
      <c r="S21" s="667">
        <f>F21</f>
        <v>100</v>
      </c>
      <c r="T21" s="666" t="s">
        <v>14</v>
      </c>
      <c r="U21" s="667">
        <f>H21</f>
        <v>100</v>
      </c>
      <c r="V21" s="666" t="s">
        <v>14</v>
      </c>
      <c r="W21" s="667">
        <f>J21</f>
        <v>100</v>
      </c>
      <c r="X21" s="1263"/>
      <c r="Y21" s="3440"/>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40"/>
      <c r="Q22" s="1261"/>
      <c r="R22" s="666"/>
      <c r="S22" s="667"/>
      <c r="T22" s="666"/>
      <c r="U22" s="667"/>
      <c r="V22" s="666"/>
      <c r="W22" s="667"/>
      <c r="X22" s="1263"/>
      <c r="Y22" s="3440"/>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40"/>
      <c r="Q23" s="1261" t="str">
        <f t="shared" ref="Q23:Q37" si="8">B23</f>
        <v>区域土地利用方向</v>
      </c>
      <c r="R23" s="666" t="s">
        <v>14</v>
      </c>
      <c r="S23" s="667">
        <f>F23</f>
        <v>100</v>
      </c>
      <c r="T23" s="666" t="s">
        <v>14</v>
      </c>
      <c r="U23" s="667">
        <f>H23</f>
        <v>100</v>
      </c>
      <c r="V23" s="666" t="s">
        <v>14</v>
      </c>
      <c r="W23" s="667">
        <f>J23</f>
        <v>100</v>
      </c>
      <c r="X23" s="1263"/>
      <c r="Y23" s="3440"/>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40"/>
      <c r="Q24" s="1261"/>
      <c r="R24" s="666"/>
      <c r="S24" s="667"/>
      <c r="T24" s="666"/>
      <c r="U24" s="667"/>
      <c r="V24" s="666"/>
      <c r="W24" s="667"/>
      <c r="X24" s="1263"/>
      <c r="Y24" s="3440"/>
      <c r="Z24" s="1262"/>
      <c r="AA24" s="1262"/>
      <c r="AB24" s="1262"/>
      <c r="AC24" s="1262"/>
    </row>
    <row r="25" spans="1:29" ht="85.5">
      <c r="A25" s="347"/>
      <c r="B25" s="585" t="s">
        <v>1869</v>
      </c>
      <c r="C25" s="1801" t="str">
        <f>估价对象房地状况!C20</f>
        <v>自然环境：百望山森林公园、中关村公园等自然景观；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40"/>
      <c r="Q25" s="1261" t="str">
        <f t="shared" si="8"/>
        <v>自然及人文环境状况</v>
      </c>
      <c r="R25" s="666" t="s">
        <v>14</v>
      </c>
      <c r="S25" s="667">
        <f>F25</f>
        <v>100</v>
      </c>
      <c r="T25" s="666" t="s">
        <v>14</v>
      </c>
      <c r="U25" s="667">
        <f>H25</f>
        <v>100</v>
      </c>
      <c r="V25" s="666" t="s">
        <v>14</v>
      </c>
      <c r="W25" s="667">
        <f>J25</f>
        <v>100</v>
      </c>
      <c r="X25" s="1263"/>
      <c r="Y25" s="3440"/>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40"/>
      <c r="Q26" s="1261"/>
      <c r="R26" s="666"/>
      <c r="S26" s="667"/>
      <c r="T26" s="666"/>
      <c r="U26" s="667"/>
      <c r="V26" s="666"/>
      <c r="W26" s="667"/>
      <c r="X26" s="1263"/>
      <c r="Y26" s="3440"/>
      <c r="Z26" s="1262"/>
      <c r="AA26" s="1262">
        <v>1</v>
      </c>
      <c r="AB26" s="1262">
        <v>1</v>
      </c>
      <c r="AC26" s="1262">
        <v>1</v>
      </c>
    </row>
    <row r="27" spans="1:29" s="101" customFormat="1" ht="299.25">
      <c r="A27" s="442"/>
      <c r="B27" s="585" t="s">
        <v>1775</v>
      </c>
      <c r="C27" s="1751"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40"/>
      <c r="Q27" s="529" t="str">
        <f t="shared" si="8"/>
        <v>公共配套设施</v>
      </c>
      <c r="R27" s="663" t="s">
        <v>14</v>
      </c>
      <c r="S27" s="664">
        <f>F27</f>
        <v>100</v>
      </c>
      <c r="T27" s="663" t="s">
        <v>14</v>
      </c>
      <c r="U27" s="664">
        <f>H27</f>
        <v>100</v>
      </c>
      <c r="V27" s="663" t="s">
        <v>14</v>
      </c>
      <c r="W27" s="664">
        <f>J27</f>
        <v>100</v>
      </c>
      <c r="X27" s="665"/>
      <c r="Y27" s="3440"/>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40"/>
      <c r="Q28" s="529"/>
      <c r="R28" s="663"/>
      <c r="S28" s="664"/>
      <c r="T28" s="663"/>
      <c r="U28" s="664"/>
      <c r="V28" s="663"/>
      <c r="W28" s="664"/>
      <c r="X28" s="665"/>
      <c r="Y28" s="3440"/>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40"/>
      <c r="Q29" s="529" t="str">
        <f>B29</f>
        <v>基础设施水平</v>
      </c>
      <c r="R29" s="663" t="s">
        <v>14</v>
      </c>
      <c r="S29" s="664">
        <f>F29</f>
        <v>100</v>
      </c>
      <c r="T29" s="663" t="s">
        <v>14</v>
      </c>
      <c r="U29" s="664">
        <f>H29</f>
        <v>100</v>
      </c>
      <c r="V29" s="663" t="s">
        <v>14</v>
      </c>
      <c r="W29" s="664">
        <f>J29</f>
        <v>100</v>
      </c>
      <c r="X29" s="665"/>
      <c r="Y29" s="3440"/>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40"/>
      <c r="Q30" s="529"/>
      <c r="R30" s="663"/>
      <c r="S30" s="664"/>
      <c r="T30" s="663"/>
      <c r="U30" s="664"/>
      <c r="V30" s="663"/>
      <c r="W30" s="664"/>
      <c r="X30" s="665"/>
      <c r="Y30" s="3440"/>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40"/>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40"/>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40"/>
      <c r="Q32" s="1261" t="str">
        <f t="shared" si="8"/>
        <v>毗邻道路的类型与等级</v>
      </c>
      <c r="R32" s="666" t="s">
        <v>14</v>
      </c>
      <c r="S32" s="667">
        <f t="shared" si="9"/>
        <v>100</v>
      </c>
      <c r="T32" s="666" t="s">
        <v>14</v>
      </c>
      <c r="U32" s="667">
        <f t="shared" si="10"/>
        <v>100</v>
      </c>
      <c r="V32" s="666" t="s">
        <v>14</v>
      </c>
      <c r="W32" s="667">
        <f t="shared" si="11"/>
        <v>100</v>
      </c>
      <c r="X32" s="1263"/>
      <c r="Y32" s="3440"/>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40"/>
      <c r="Q33" s="1261"/>
      <c r="R33" s="666"/>
      <c r="S33" s="667"/>
      <c r="T33" s="666"/>
      <c r="U33" s="667"/>
      <c r="V33" s="666"/>
      <c r="W33" s="667"/>
      <c r="X33" s="1263"/>
      <c r="Y33" s="3440"/>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40"/>
      <c r="Q34" s="1261" t="str">
        <f t="shared" si="8"/>
        <v>土地级别</v>
      </c>
      <c r="R34" s="666" t="s">
        <v>14</v>
      </c>
      <c r="S34" s="667">
        <f t="shared" si="9"/>
        <v>100</v>
      </c>
      <c r="T34" s="666" t="s">
        <v>14</v>
      </c>
      <c r="U34" s="667">
        <f t="shared" si="10"/>
        <v>100</v>
      </c>
      <c r="V34" s="666" t="s">
        <v>14</v>
      </c>
      <c r="W34" s="667">
        <f t="shared" si="11"/>
        <v>100</v>
      </c>
      <c r="X34" s="1263"/>
      <c r="Y34" s="3440"/>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40"/>
      <c r="Q35" s="1261">
        <f t="shared" si="8"/>
        <v>111</v>
      </c>
      <c r="R35" s="666" t="s">
        <v>14</v>
      </c>
      <c r="S35" s="667">
        <f t="shared" si="9"/>
        <v>100</v>
      </c>
      <c r="T35" s="666" t="s">
        <v>14</v>
      </c>
      <c r="U35" s="667">
        <f t="shared" si="10"/>
        <v>100</v>
      </c>
      <c r="V35" s="666" t="s">
        <v>14</v>
      </c>
      <c r="W35" s="667">
        <f t="shared" si="11"/>
        <v>100</v>
      </c>
      <c r="X35" s="1263"/>
      <c r="Y35" s="3440"/>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4" t="s">
        <v>1696</v>
      </c>
      <c r="Q36" s="1261">
        <f t="shared" si="8"/>
        <v>111</v>
      </c>
      <c r="R36" s="666" t="s">
        <v>14</v>
      </c>
      <c r="S36" s="667">
        <f t="shared" si="9"/>
        <v>100</v>
      </c>
      <c r="T36" s="666" t="s">
        <v>14</v>
      </c>
      <c r="U36" s="667">
        <f t="shared" si="10"/>
        <v>100</v>
      </c>
      <c r="V36" s="666" t="s">
        <v>14</v>
      </c>
      <c r="W36" s="667">
        <f t="shared" si="11"/>
        <v>100</v>
      </c>
      <c r="X36" s="1263"/>
      <c r="Y36" s="3444"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44"/>
      <c r="Q37" s="1261">
        <f t="shared" si="8"/>
        <v>111</v>
      </c>
      <c r="R37" s="668" t="s">
        <v>14</v>
      </c>
      <c r="S37" s="669">
        <f t="shared" si="9"/>
        <v>100</v>
      </c>
      <c r="T37" s="668" t="s">
        <v>14</v>
      </c>
      <c r="U37" s="669">
        <f t="shared" si="10"/>
        <v>100</v>
      </c>
      <c r="V37" s="668" t="s">
        <v>14</v>
      </c>
      <c r="W37" s="669">
        <f t="shared" si="11"/>
        <v>100</v>
      </c>
      <c r="X37" s="670"/>
      <c r="Y37" s="3444"/>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44"/>
      <c r="Q38" s="1261" t="str">
        <f>B38</f>
        <v>宗地面积</v>
      </c>
      <c r="R38" s="666" t="s">
        <v>14</v>
      </c>
      <c r="S38" s="667" t="e">
        <f t="shared" si="9"/>
        <v>#N/A</v>
      </c>
      <c r="T38" s="666" t="s">
        <v>14</v>
      </c>
      <c r="U38" s="667" t="e">
        <f t="shared" si="10"/>
        <v>#N/A</v>
      </c>
      <c r="V38" s="666" t="s">
        <v>14</v>
      </c>
      <c r="W38" s="667" t="e">
        <f t="shared" si="11"/>
        <v>#N/A</v>
      </c>
      <c r="X38" s="1263"/>
      <c r="Y38" s="3444"/>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44"/>
      <c r="Q39" s="1261" t="str">
        <f t="shared" ref="Q39:Q45" si="13">B39</f>
        <v>宗地形状</v>
      </c>
      <c r="R39" s="666" t="s">
        <v>14</v>
      </c>
      <c r="S39" s="667">
        <f t="shared" si="9"/>
        <v>100</v>
      </c>
      <c r="T39" s="666" t="s">
        <v>14</v>
      </c>
      <c r="U39" s="667">
        <f t="shared" si="10"/>
        <v>100</v>
      </c>
      <c r="V39" s="666" t="s">
        <v>14</v>
      </c>
      <c r="W39" s="667">
        <f t="shared" si="11"/>
        <v>100</v>
      </c>
      <c r="X39" s="1263"/>
      <c r="Y39" s="3444"/>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44"/>
      <c r="Q40" s="1261" t="str">
        <f t="shared" si="13"/>
        <v>临街宽度及深度</v>
      </c>
      <c r="R40" s="666" t="s">
        <v>14</v>
      </c>
      <c r="S40" s="667">
        <f t="shared" si="9"/>
        <v>100</v>
      </c>
      <c r="T40" s="666" t="s">
        <v>14</v>
      </c>
      <c r="U40" s="667">
        <f t="shared" si="10"/>
        <v>100</v>
      </c>
      <c r="V40" s="666" t="s">
        <v>14</v>
      </c>
      <c r="W40" s="667">
        <f t="shared" si="11"/>
        <v>100</v>
      </c>
      <c r="X40" s="1263"/>
      <c r="Y40" s="3444"/>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44"/>
      <c r="Q41" s="1261" t="str">
        <f t="shared" si="13"/>
        <v>宗地开发程度</v>
      </c>
      <c r="R41" s="663" t="s">
        <v>14</v>
      </c>
      <c r="S41" s="664">
        <f t="shared" si="9"/>
        <v>100</v>
      </c>
      <c r="T41" s="663" t="s">
        <v>14</v>
      </c>
      <c r="U41" s="664">
        <f t="shared" si="10"/>
        <v>100</v>
      </c>
      <c r="V41" s="663" t="s">
        <v>14</v>
      </c>
      <c r="W41" s="664">
        <f t="shared" si="11"/>
        <v>100</v>
      </c>
      <c r="X41" s="665"/>
      <c r="Y41" s="3444"/>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44" t="s">
        <v>1696</v>
      </c>
      <c r="Q42" s="1261" t="str">
        <f t="shared" si="13"/>
        <v>工程地质条件</v>
      </c>
      <c r="R42" s="666" t="s">
        <v>14</v>
      </c>
      <c r="S42" s="667">
        <f t="shared" si="9"/>
        <v>100</v>
      </c>
      <c r="T42" s="666" t="s">
        <v>14</v>
      </c>
      <c r="U42" s="667">
        <f t="shared" si="10"/>
        <v>100</v>
      </c>
      <c r="V42" s="666" t="s">
        <v>14</v>
      </c>
      <c r="W42" s="667">
        <f t="shared" si="11"/>
        <v>100</v>
      </c>
      <c r="X42" s="1263"/>
      <c r="Y42" s="3444"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44"/>
      <c r="Q43" s="1261">
        <f t="shared" si="13"/>
        <v>111</v>
      </c>
      <c r="R43" s="666" t="s">
        <v>14</v>
      </c>
      <c r="S43" s="667">
        <f t="shared" si="9"/>
        <v>100</v>
      </c>
      <c r="T43" s="666" t="s">
        <v>14</v>
      </c>
      <c r="U43" s="667">
        <f t="shared" si="10"/>
        <v>100</v>
      </c>
      <c r="V43" s="666" t="s">
        <v>14</v>
      </c>
      <c r="W43" s="667">
        <f t="shared" si="11"/>
        <v>100</v>
      </c>
      <c r="X43" s="1263"/>
      <c r="Y43" s="3444"/>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44"/>
      <c r="Q44" s="1261">
        <f t="shared" si="13"/>
        <v>111</v>
      </c>
      <c r="R44" s="666" t="s">
        <v>14</v>
      </c>
      <c r="S44" s="667">
        <f t="shared" si="9"/>
        <v>100</v>
      </c>
      <c r="T44" s="666" t="s">
        <v>14</v>
      </c>
      <c r="U44" s="667">
        <f t="shared" si="10"/>
        <v>100</v>
      </c>
      <c r="V44" s="666" t="s">
        <v>14</v>
      </c>
      <c r="W44" s="667">
        <f t="shared" si="11"/>
        <v>100</v>
      </c>
      <c r="X44" s="1263"/>
      <c r="Y44" s="3444"/>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44"/>
      <c r="Q45" s="1261">
        <f t="shared" si="13"/>
        <v>111</v>
      </c>
      <c r="R45" s="668" t="s">
        <v>14</v>
      </c>
      <c r="S45" s="669">
        <f t="shared" si="9"/>
        <v>100</v>
      </c>
      <c r="T45" s="668" t="s">
        <v>14</v>
      </c>
      <c r="U45" s="669">
        <f t="shared" si="10"/>
        <v>100</v>
      </c>
      <c r="V45" s="668" t="s">
        <v>14</v>
      </c>
      <c r="W45" s="669">
        <f t="shared" si="11"/>
        <v>100</v>
      </c>
      <c r="X45" s="670"/>
      <c r="Y45" s="3444"/>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38" t="str">
        <f>A46</f>
        <v>成交单价</v>
      </c>
      <c r="Q46" s="3438"/>
      <c r="R46" s="3433">
        <f>E46</f>
        <v>0</v>
      </c>
      <c r="S46" s="3433"/>
      <c r="T46" s="3433">
        <f>G46</f>
        <v>0</v>
      </c>
      <c r="U46" s="3433"/>
      <c r="V46" s="3433">
        <f>I46</f>
        <v>0</v>
      </c>
      <c r="W46" s="3433"/>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38" t="str">
        <f>A47</f>
        <v>比较价值（元/平方米）</v>
      </c>
      <c r="Q47" s="3438"/>
      <c r="R47" s="3466" t="e">
        <f>ROUND(PRODUCT(R46,AA7:AA45),0)</f>
        <v>#DIV/0!</v>
      </c>
      <c r="S47" s="3466"/>
      <c r="T47" s="3466" t="e">
        <f>ROUND(PRODUCT(T46,AB7:AB45),0)</f>
        <v>#DIV/0!</v>
      </c>
      <c r="U47" s="3466"/>
      <c r="V47" s="3466" t="e">
        <f>ROUND(PRODUCT(V46,AC7:AC45),0)</f>
        <v>#DIV/0!</v>
      </c>
      <c r="W47" s="3466"/>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35" t="str">
        <f>A48</f>
        <v>估价对象XX用房的比较价值（楼面单价，元/平方米）</v>
      </c>
      <c r="Q48" s="3436"/>
      <c r="R48" s="3467" t="e">
        <f>ROUND(IF(D47="简单平均",AVERAGE(R47:W47),R47*F47+T47*H47+V47*J47),0)</f>
        <v>#DIV/0!</v>
      </c>
      <c r="S48" s="3467"/>
      <c r="T48" s="3467"/>
      <c r="U48" s="3467"/>
      <c r="V48" s="3467"/>
      <c r="W48" s="3467"/>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21" t="s">
        <v>1884</v>
      </c>
      <c r="H55" s="3468"/>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49.92</v>
      </c>
      <c r="F56" s="832" t="e">
        <f t="shared" ref="F56:F64" si="14">ROUND(B56*E56/10000,0)</f>
        <v>#DIV/0!</v>
      </c>
      <c r="G56" s="3420"/>
      <c r="H56" s="3438"/>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五级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49.92</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2024-10-1</v>
      </c>
      <c r="D67" s="655">
        <f>EDATE(C67,-3)</f>
        <v>45474</v>
      </c>
      <c r="E67" s="655">
        <f>EDATE(D67,-3)</f>
        <v>45383</v>
      </c>
      <c r="F67" s="655">
        <f t="shared" ref="F67:O67" si="17">EDATE(E67,-3)</f>
        <v>45292</v>
      </c>
      <c r="G67" s="655">
        <f t="shared" si="17"/>
        <v>45200</v>
      </c>
      <c r="H67" s="655">
        <f t="shared" si="17"/>
        <v>45108</v>
      </c>
      <c r="I67" s="655">
        <f t="shared" si="17"/>
        <v>45017</v>
      </c>
      <c r="J67" s="655">
        <f t="shared" si="17"/>
        <v>44927</v>
      </c>
      <c r="K67" s="655">
        <f t="shared" si="17"/>
        <v>44835</v>
      </c>
      <c r="L67" s="655">
        <f t="shared" si="17"/>
        <v>44743</v>
      </c>
      <c r="M67" s="655">
        <f t="shared" si="17"/>
        <v>44652</v>
      </c>
      <c r="N67" s="655">
        <f t="shared" si="17"/>
        <v>44562</v>
      </c>
      <c r="O67" s="655">
        <f t="shared" si="17"/>
        <v>44470</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1" t="s">
        <v>1767</v>
      </c>
      <c r="D4" s="3422"/>
      <c r="E4" s="3423" t="s">
        <v>1768</v>
      </c>
      <c r="F4" s="3424"/>
      <c r="G4" s="3421" t="s">
        <v>1769</v>
      </c>
      <c r="H4" s="3422"/>
      <c r="I4" s="3421" t="s">
        <v>1770</v>
      </c>
      <c r="J4" s="3422"/>
      <c r="K4" s="536" t="s">
        <v>1771</v>
      </c>
      <c r="L4" s="2481"/>
      <c r="M4" s="2482"/>
      <c r="N4" s="2482"/>
      <c r="O4" s="2482"/>
      <c r="P4" s="3425" t="s">
        <v>1772</v>
      </c>
      <c r="Q4" s="3426"/>
      <c r="R4" s="3407" t="s">
        <v>1768</v>
      </c>
      <c r="S4" s="3408"/>
      <c r="T4" s="3407" t="s">
        <v>1769</v>
      </c>
      <c r="U4" s="3408"/>
      <c r="V4" s="3433" t="s">
        <v>1770</v>
      </c>
      <c r="W4" s="3433"/>
      <c r="X4" s="1263"/>
      <c r="Y4" s="3407" t="s">
        <v>1772</v>
      </c>
      <c r="Z4" s="3408"/>
      <c r="AA4" s="3402" t="s">
        <v>1768</v>
      </c>
      <c r="AB4" s="3403" t="s">
        <v>1769</v>
      </c>
      <c r="AC4" s="3402" t="s">
        <v>1770</v>
      </c>
    </row>
    <row r="5" spans="1:29" ht="15">
      <c r="A5" s="347"/>
      <c r="B5" s="348"/>
      <c r="C5" s="3417" t="s">
        <v>1673</v>
      </c>
      <c r="D5" s="3414"/>
      <c r="E5" s="3448" t="s">
        <v>1674</v>
      </c>
      <c r="F5" s="3412"/>
      <c r="G5" s="3417" t="s">
        <v>1675</v>
      </c>
      <c r="H5" s="3414"/>
      <c r="I5" s="3417" t="s">
        <v>1676</v>
      </c>
      <c r="J5" s="3414"/>
      <c r="K5" s="536"/>
      <c r="L5" s="2481"/>
      <c r="M5" s="2482"/>
      <c r="N5" s="2482"/>
      <c r="O5" s="2482"/>
      <c r="P5" s="3427"/>
      <c r="Q5" s="3428"/>
      <c r="R5" s="3409"/>
      <c r="S5" s="3410"/>
      <c r="T5" s="3409"/>
      <c r="U5" s="3410"/>
      <c r="V5" s="3433"/>
      <c r="W5" s="3433"/>
      <c r="X5" s="1263"/>
      <c r="Y5" s="3409"/>
      <c r="Z5" s="3410"/>
      <c r="AA5" s="3403"/>
      <c r="AB5" s="3403"/>
      <c r="AC5" s="3403"/>
    </row>
    <row r="6" spans="1:29" ht="15.75" thickBot="1">
      <c r="A6" s="349"/>
      <c r="B6" s="350"/>
      <c r="C6" s="3469" t="s">
        <v>1916</v>
      </c>
      <c r="D6" s="3470"/>
      <c r="E6" s="3471" t="s">
        <v>1916</v>
      </c>
      <c r="F6" s="3472"/>
      <c r="G6" s="3469" t="s">
        <v>1916</v>
      </c>
      <c r="H6" s="3470"/>
      <c r="I6" s="3469" t="s">
        <v>1916</v>
      </c>
      <c r="J6" s="3470"/>
      <c r="K6" s="536" t="s">
        <v>1678</v>
      </c>
      <c r="L6" s="2481"/>
      <c r="M6" s="2482"/>
      <c r="N6" s="2482"/>
      <c r="O6" s="2482"/>
      <c r="P6" s="3429"/>
      <c r="Q6" s="3430"/>
      <c r="R6" s="3409"/>
      <c r="S6" s="3410"/>
      <c r="T6" s="3431"/>
      <c r="U6" s="3432"/>
      <c r="V6" s="3433"/>
      <c r="W6" s="3433"/>
      <c r="X6" s="1263"/>
      <c r="Y6" s="3431"/>
      <c r="Z6" s="3432"/>
      <c r="AA6" s="3404"/>
      <c r="AB6" s="3404"/>
      <c r="AC6" s="3404"/>
    </row>
    <row r="7" spans="1:29" s="101" customFormat="1" ht="15.75" thickBot="1">
      <c r="A7" s="351" t="s">
        <v>1679</v>
      </c>
      <c r="B7" s="352"/>
      <c r="C7" s="353">
        <f>'数据-取费表'!B2</f>
        <v>45583</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05" t="s">
        <v>1680</v>
      </c>
      <c r="Q7" s="3434"/>
      <c r="R7" s="663" t="s">
        <v>14</v>
      </c>
      <c r="S7" s="664">
        <f t="shared" ref="S7:S15" si="0">F7</f>
        <v>0</v>
      </c>
      <c r="T7" s="663" t="s">
        <v>14</v>
      </c>
      <c r="U7" s="664">
        <f t="shared" ref="U7:U15" si="1">H7</f>
        <v>0</v>
      </c>
      <c r="V7" s="663" t="s">
        <v>14</v>
      </c>
      <c r="W7" s="664">
        <f t="shared" ref="W7:W15" si="2">J7</f>
        <v>0</v>
      </c>
      <c r="X7" s="665"/>
      <c r="Y7" s="3405" t="s">
        <v>1680</v>
      </c>
      <c r="Z7" s="3406"/>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05" t="s">
        <v>1683</v>
      </c>
      <c r="Q8" s="3406"/>
      <c r="R8" s="663" t="s">
        <v>14</v>
      </c>
      <c r="S8" s="664">
        <f t="shared" si="0"/>
        <v>0</v>
      </c>
      <c r="T8" s="663" t="s">
        <v>14</v>
      </c>
      <c r="U8" s="664">
        <f t="shared" si="1"/>
        <v>0</v>
      </c>
      <c r="V8" s="663" t="s">
        <v>14</v>
      </c>
      <c r="W8" s="664">
        <f t="shared" si="2"/>
        <v>0</v>
      </c>
      <c r="X8" s="665"/>
      <c r="Y8" s="3405" t="s">
        <v>1683</v>
      </c>
      <c r="Z8" s="3406"/>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38" t="s">
        <v>1686</v>
      </c>
      <c r="Q9" s="529" t="str">
        <f t="shared" ref="Q9:Q15" si="6">B9</f>
        <v>用途</v>
      </c>
      <c r="R9" s="663" t="s">
        <v>14</v>
      </c>
      <c r="S9" s="664">
        <f t="shared" si="0"/>
        <v>100</v>
      </c>
      <c r="T9" s="663" t="s">
        <v>14</v>
      </c>
      <c r="U9" s="664">
        <f t="shared" si="1"/>
        <v>100</v>
      </c>
      <c r="V9" s="663" t="s">
        <v>14</v>
      </c>
      <c r="W9" s="664">
        <f t="shared" si="2"/>
        <v>100</v>
      </c>
      <c r="X9" s="665"/>
      <c r="Y9" s="3349"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1"/>
      <c r="L10" s="2484"/>
      <c r="M10" s="2485"/>
      <c r="N10" s="2485"/>
      <c r="O10" s="2536"/>
      <c r="P10" s="3438"/>
      <c r="Q10" s="529" t="str">
        <f t="shared" si="6"/>
        <v>土地使用年限（年）</v>
      </c>
      <c r="R10" s="663" t="s">
        <v>14</v>
      </c>
      <c r="S10" s="664">
        <f t="shared" si="0"/>
        <v>100</v>
      </c>
      <c r="T10" s="663" t="s">
        <v>14</v>
      </c>
      <c r="U10" s="664">
        <f t="shared" si="1"/>
        <v>100</v>
      </c>
      <c r="V10" s="663" t="s">
        <v>14</v>
      </c>
      <c r="W10" s="664">
        <f t="shared" si="2"/>
        <v>100</v>
      </c>
      <c r="X10" s="665"/>
      <c r="Y10" s="3349"/>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38"/>
      <c r="Q11" s="529" t="str">
        <f t="shared" si="6"/>
        <v>容积率</v>
      </c>
      <c r="R11" s="663" t="s">
        <v>14</v>
      </c>
      <c r="S11" s="664" t="e">
        <f t="shared" si="0"/>
        <v>#N/A</v>
      </c>
      <c r="T11" s="663" t="s">
        <v>14</v>
      </c>
      <c r="U11" s="664" t="e">
        <f t="shared" si="1"/>
        <v>#N/A</v>
      </c>
      <c r="V11" s="663" t="s">
        <v>14</v>
      </c>
      <c r="W11" s="664" t="e">
        <f t="shared" si="2"/>
        <v>#N/A</v>
      </c>
      <c r="X11" s="665"/>
      <c r="Y11" s="3349"/>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38"/>
      <c r="Q12" s="529">
        <f t="shared" si="6"/>
        <v>111</v>
      </c>
      <c r="R12" s="663" t="s">
        <v>14</v>
      </c>
      <c r="S12" s="664">
        <f t="shared" si="0"/>
        <v>100</v>
      </c>
      <c r="T12" s="663" t="s">
        <v>14</v>
      </c>
      <c r="U12" s="664">
        <f t="shared" si="1"/>
        <v>100</v>
      </c>
      <c r="V12" s="663" t="s">
        <v>14</v>
      </c>
      <c r="W12" s="664">
        <f t="shared" si="2"/>
        <v>100</v>
      </c>
      <c r="X12" s="665"/>
      <c r="Y12" s="3349"/>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38"/>
      <c r="Q13" s="529">
        <f t="shared" si="6"/>
        <v>111</v>
      </c>
      <c r="R13" s="663" t="s">
        <v>14</v>
      </c>
      <c r="S13" s="664">
        <f t="shared" si="0"/>
        <v>100</v>
      </c>
      <c r="T13" s="663" t="s">
        <v>14</v>
      </c>
      <c r="U13" s="664">
        <f t="shared" si="1"/>
        <v>100</v>
      </c>
      <c r="V13" s="663" t="s">
        <v>14</v>
      </c>
      <c r="W13" s="664">
        <f t="shared" si="2"/>
        <v>100</v>
      </c>
      <c r="X13" s="665"/>
      <c r="Y13" s="3349"/>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38"/>
      <c r="Q14" s="529">
        <f t="shared" si="6"/>
        <v>111</v>
      </c>
      <c r="R14" s="663" t="s">
        <v>14</v>
      </c>
      <c r="S14" s="664">
        <f t="shared" si="0"/>
        <v>100</v>
      </c>
      <c r="T14" s="663" t="s">
        <v>14</v>
      </c>
      <c r="U14" s="664">
        <f t="shared" si="1"/>
        <v>100</v>
      </c>
      <c r="V14" s="663" t="s">
        <v>14</v>
      </c>
      <c r="W14" s="664">
        <f t="shared" si="2"/>
        <v>100</v>
      </c>
      <c r="X14" s="665"/>
      <c r="Y14" s="3349"/>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39" t="s">
        <v>1691</v>
      </c>
      <c r="Q15" s="1261" t="str">
        <f t="shared" si="6"/>
        <v>产业集聚程度</v>
      </c>
      <c r="R15" s="666" t="s">
        <v>14</v>
      </c>
      <c r="S15" s="667">
        <f t="shared" si="0"/>
        <v>100</v>
      </c>
      <c r="T15" s="666" t="s">
        <v>14</v>
      </c>
      <c r="U15" s="667">
        <f t="shared" si="1"/>
        <v>100</v>
      </c>
      <c r="V15" s="666" t="s">
        <v>14</v>
      </c>
      <c r="W15" s="667">
        <f t="shared" si="2"/>
        <v>100</v>
      </c>
      <c r="X15" s="1263"/>
      <c r="Y15" s="3439"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40"/>
      <c r="Q16" s="1261"/>
      <c r="R16" s="666"/>
      <c r="S16" s="667"/>
      <c r="T16" s="666"/>
      <c r="U16" s="667"/>
      <c r="V16" s="666"/>
      <c r="W16" s="667"/>
      <c r="X16" s="1263"/>
      <c r="Y16" s="3440"/>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40"/>
      <c r="Q17" s="1261" t="str">
        <f>B17</f>
        <v>交通便捷度</v>
      </c>
      <c r="R17" s="666" t="s">
        <v>14</v>
      </c>
      <c r="S17" s="667">
        <f>F17</f>
        <v>100</v>
      </c>
      <c r="T17" s="666" t="s">
        <v>14</v>
      </c>
      <c r="U17" s="667">
        <f>H17</f>
        <v>100</v>
      </c>
      <c r="V17" s="666" t="s">
        <v>14</v>
      </c>
      <c r="W17" s="667">
        <f>J17</f>
        <v>100</v>
      </c>
      <c r="X17" s="1263"/>
      <c r="Y17" s="3440"/>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40"/>
      <c r="Q18" s="1261"/>
      <c r="R18" s="666"/>
      <c r="S18" s="667"/>
      <c r="T18" s="666"/>
      <c r="U18" s="667"/>
      <c r="V18" s="666"/>
      <c r="W18" s="667"/>
      <c r="X18" s="1263"/>
      <c r="Y18" s="3440"/>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40"/>
      <c r="Q19" s="1261" t="str">
        <f t="shared" ref="Q19:Q33" si="8">B19</f>
        <v>区域土地利用方向</v>
      </c>
      <c r="R19" s="666" t="s">
        <v>14</v>
      </c>
      <c r="S19" s="667">
        <f>F19</f>
        <v>100</v>
      </c>
      <c r="T19" s="666" t="s">
        <v>14</v>
      </c>
      <c r="U19" s="667">
        <f>H19</f>
        <v>100</v>
      </c>
      <c r="V19" s="666" t="s">
        <v>14</v>
      </c>
      <c r="W19" s="667">
        <f>J19</f>
        <v>100</v>
      </c>
      <c r="X19" s="1263"/>
      <c r="Y19" s="3440"/>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40"/>
      <c r="Q20" s="1261"/>
      <c r="R20" s="666"/>
      <c r="S20" s="667"/>
      <c r="T20" s="666"/>
      <c r="U20" s="667"/>
      <c r="V20" s="666"/>
      <c r="W20" s="667"/>
      <c r="X20" s="1263"/>
      <c r="Y20" s="3440"/>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40"/>
      <c r="Q21" s="1261" t="str">
        <f t="shared" si="8"/>
        <v>环境状况</v>
      </c>
      <c r="R21" s="666" t="s">
        <v>14</v>
      </c>
      <c r="S21" s="667">
        <f>F21</f>
        <v>100</v>
      </c>
      <c r="T21" s="666" t="s">
        <v>14</v>
      </c>
      <c r="U21" s="667">
        <f>H21</f>
        <v>100</v>
      </c>
      <c r="V21" s="666" t="s">
        <v>14</v>
      </c>
      <c r="W21" s="667">
        <f>J21</f>
        <v>100</v>
      </c>
      <c r="X21" s="1263"/>
      <c r="Y21" s="3440"/>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40"/>
      <c r="Q22" s="1261"/>
      <c r="R22" s="666"/>
      <c r="S22" s="667"/>
      <c r="T22" s="666"/>
      <c r="U22" s="667"/>
      <c r="V22" s="666"/>
      <c r="W22" s="667"/>
      <c r="X22" s="1263"/>
      <c r="Y22" s="3440"/>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40"/>
      <c r="Q23" s="529" t="str">
        <f t="shared" si="8"/>
        <v>公共配套设施</v>
      </c>
      <c r="R23" s="663" t="s">
        <v>14</v>
      </c>
      <c r="S23" s="664">
        <f>F23</f>
        <v>100</v>
      </c>
      <c r="T23" s="663" t="s">
        <v>14</v>
      </c>
      <c r="U23" s="664">
        <f>H23</f>
        <v>100</v>
      </c>
      <c r="V23" s="663" t="s">
        <v>14</v>
      </c>
      <c r="W23" s="664">
        <f>J23</f>
        <v>100</v>
      </c>
      <c r="X23" s="665"/>
      <c r="Y23" s="3440"/>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40"/>
      <c r="Q24" s="529"/>
      <c r="R24" s="663"/>
      <c r="S24" s="664"/>
      <c r="T24" s="663"/>
      <c r="U24" s="664"/>
      <c r="V24" s="663"/>
      <c r="W24" s="664"/>
      <c r="X24" s="665"/>
      <c r="Y24" s="3440"/>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40"/>
      <c r="Q25" s="529" t="str">
        <f>B25</f>
        <v>基础设施水平</v>
      </c>
      <c r="R25" s="663" t="s">
        <v>14</v>
      </c>
      <c r="S25" s="664">
        <f>F25</f>
        <v>100</v>
      </c>
      <c r="T25" s="663" t="s">
        <v>14</v>
      </c>
      <c r="U25" s="664">
        <f>H25</f>
        <v>100</v>
      </c>
      <c r="V25" s="663" t="s">
        <v>14</v>
      </c>
      <c r="W25" s="664">
        <f>J25</f>
        <v>100</v>
      </c>
      <c r="X25" s="665"/>
      <c r="Y25" s="3440"/>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40"/>
      <c r="Q26" s="529"/>
      <c r="R26" s="663"/>
      <c r="S26" s="664"/>
      <c r="T26" s="663"/>
      <c r="U26" s="664"/>
      <c r="V26" s="663"/>
      <c r="W26" s="664"/>
      <c r="X26" s="665"/>
      <c r="Y26" s="3440"/>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40"/>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40"/>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40"/>
      <c r="Q28" s="1261" t="str">
        <f t="shared" si="8"/>
        <v>毗邻道路的类型与等级</v>
      </c>
      <c r="R28" s="666" t="s">
        <v>14</v>
      </c>
      <c r="S28" s="667">
        <f t="shared" si="9"/>
        <v>100</v>
      </c>
      <c r="T28" s="666" t="s">
        <v>14</v>
      </c>
      <c r="U28" s="667">
        <f t="shared" si="10"/>
        <v>100</v>
      </c>
      <c r="V28" s="666" t="s">
        <v>14</v>
      </c>
      <c r="W28" s="667">
        <f t="shared" si="11"/>
        <v>100</v>
      </c>
      <c r="X28" s="1263"/>
      <c r="Y28" s="3440"/>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40"/>
      <c r="Q29" s="1261"/>
      <c r="R29" s="666"/>
      <c r="S29" s="667"/>
      <c r="T29" s="666"/>
      <c r="U29" s="667"/>
      <c r="V29" s="666"/>
      <c r="W29" s="667"/>
      <c r="X29" s="1263"/>
      <c r="Y29" s="3440"/>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40"/>
      <c r="Q30" s="1261" t="str">
        <f t="shared" si="8"/>
        <v>土地级别</v>
      </c>
      <c r="R30" s="666" t="s">
        <v>14</v>
      </c>
      <c r="S30" s="667">
        <f t="shared" si="9"/>
        <v>100</v>
      </c>
      <c r="T30" s="666" t="s">
        <v>14</v>
      </c>
      <c r="U30" s="667">
        <f t="shared" si="10"/>
        <v>100</v>
      </c>
      <c r="V30" s="666" t="s">
        <v>14</v>
      </c>
      <c r="W30" s="667">
        <f t="shared" si="11"/>
        <v>100</v>
      </c>
      <c r="X30" s="1263"/>
      <c r="Y30" s="3440"/>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40"/>
      <c r="Q31" s="1261">
        <f t="shared" si="8"/>
        <v>111</v>
      </c>
      <c r="R31" s="666" t="s">
        <v>14</v>
      </c>
      <c r="S31" s="667">
        <f t="shared" si="9"/>
        <v>100</v>
      </c>
      <c r="T31" s="666" t="s">
        <v>14</v>
      </c>
      <c r="U31" s="667">
        <f t="shared" si="10"/>
        <v>100</v>
      </c>
      <c r="V31" s="666" t="s">
        <v>14</v>
      </c>
      <c r="W31" s="667">
        <f t="shared" si="11"/>
        <v>100</v>
      </c>
      <c r="X31" s="1263"/>
      <c r="Y31" s="3440"/>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4" t="s">
        <v>1696</v>
      </c>
      <c r="Q32" s="1261">
        <f t="shared" si="8"/>
        <v>111</v>
      </c>
      <c r="R32" s="666" t="s">
        <v>14</v>
      </c>
      <c r="S32" s="667">
        <f t="shared" si="9"/>
        <v>100</v>
      </c>
      <c r="T32" s="666" t="s">
        <v>14</v>
      </c>
      <c r="U32" s="667">
        <f t="shared" si="10"/>
        <v>100</v>
      </c>
      <c r="V32" s="666" t="s">
        <v>14</v>
      </c>
      <c r="W32" s="667">
        <f t="shared" si="11"/>
        <v>100</v>
      </c>
      <c r="X32" s="1263"/>
      <c r="Y32" s="3444"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44"/>
      <c r="Q33" s="1261">
        <f t="shared" si="8"/>
        <v>111</v>
      </c>
      <c r="R33" s="668" t="s">
        <v>14</v>
      </c>
      <c r="S33" s="669">
        <f t="shared" si="9"/>
        <v>100</v>
      </c>
      <c r="T33" s="668" t="s">
        <v>14</v>
      </c>
      <c r="U33" s="669">
        <f t="shared" si="10"/>
        <v>100</v>
      </c>
      <c r="V33" s="668" t="s">
        <v>14</v>
      </c>
      <c r="W33" s="669">
        <f t="shared" si="11"/>
        <v>100</v>
      </c>
      <c r="X33" s="670"/>
      <c r="Y33" s="3444"/>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44"/>
      <c r="Q34" s="1261" t="str">
        <f>B34</f>
        <v>宗地面积</v>
      </c>
      <c r="R34" s="666" t="s">
        <v>14</v>
      </c>
      <c r="S34" s="667" t="e">
        <f t="shared" si="9"/>
        <v>#N/A</v>
      </c>
      <c r="T34" s="666" t="s">
        <v>14</v>
      </c>
      <c r="U34" s="667" t="e">
        <f t="shared" si="10"/>
        <v>#N/A</v>
      </c>
      <c r="V34" s="666" t="s">
        <v>14</v>
      </c>
      <c r="W34" s="667" t="e">
        <f t="shared" si="11"/>
        <v>#N/A</v>
      </c>
      <c r="X34" s="1263"/>
      <c r="Y34" s="3444"/>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44"/>
      <c r="Q35" s="1261" t="str">
        <f t="shared" ref="Q35:Q40" si="13">B35</f>
        <v>宗地形状</v>
      </c>
      <c r="R35" s="666" t="s">
        <v>14</v>
      </c>
      <c r="S35" s="667">
        <f t="shared" si="9"/>
        <v>100</v>
      </c>
      <c r="T35" s="666" t="s">
        <v>14</v>
      </c>
      <c r="U35" s="667">
        <f t="shared" si="10"/>
        <v>100</v>
      </c>
      <c r="V35" s="666" t="s">
        <v>14</v>
      </c>
      <c r="W35" s="667">
        <f t="shared" si="11"/>
        <v>100</v>
      </c>
      <c r="X35" s="1263"/>
      <c r="Y35" s="3444"/>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44"/>
      <c r="Q36" s="1261" t="str">
        <f t="shared" si="13"/>
        <v>宗地开发程度</v>
      </c>
      <c r="R36" s="663" t="s">
        <v>14</v>
      </c>
      <c r="S36" s="664">
        <f t="shared" si="9"/>
        <v>100</v>
      </c>
      <c r="T36" s="663" t="s">
        <v>14</v>
      </c>
      <c r="U36" s="664">
        <f t="shared" si="10"/>
        <v>100</v>
      </c>
      <c r="V36" s="663" t="s">
        <v>14</v>
      </c>
      <c r="W36" s="664">
        <f t="shared" si="11"/>
        <v>100</v>
      </c>
      <c r="X36" s="665"/>
      <c r="Y36" s="3444"/>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44" t="s">
        <v>1696</v>
      </c>
      <c r="Q37" s="1261" t="str">
        <f t="shared" si="13"/>
        <v>工程地质条件</v>
      </c>
      <c r="R37" s="666" t="s">
        <v>14</v>
      </c>
      <c r="S37" s="667">
        <f t="shared" si="9"/>
        <v>100</v>
      </c>
      <c r="T37" s="666" t="s">
        <v>14</v>
      </c>
      <c r="U37" s="667">
        <f t="shared" si="10"/>
        <v>100</v>
      </c>
      <c r="V37" s="666" t="s">
        <v>14</v>
      </c>
      <c r="W37" s="667">
        <f t="shared" si="11"/>
        <v>100</v>
      </c>
      <c r="X37" s="1263"/>
      <c r="Y37" s="3444"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44"/>
      <c r="Q38" s="1261">
        <f t="shared" si="13"/>
        <v>111</v>
      </c>
      <c r="R38" s="666" t="s">
        <v>14</v>
      </c>
      <c r="S38" s="667">
        <f t="shared" si="9"/>
        <v>100</v>
      </c>
      <c r="T38" s="666" t="s">
        <v>14</v>
      </c>
      <c r="U38" s="667">
        <f t="shared" si="10"/>
        <v>100</v>
      </c>
      <c r="V38" s="666" t="s">
        <v>14</v>
      </c>
      <c r="W38" s="667">
        <f t="shared" si="11"/>
        <v>100</v>
      </c>
      <c r="X38" s="1263"/>
      <c r="Y38" s="3444"/>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44"/>
      <c r="Q39" s="1261">
        <f t="shared" si="13"/>
        <v>111</v>
      </c>
      <c r="R39" s="666" t="s">
        <v>14</v>
      </c>
      <c r="S39" s="667">
        <f t="shared" si="9"/>
        <v>100</v>
      </c>
      <c r="T39" s="666" t="s">
        <v>14</v>
      </c>
      <c r="U39" s="667">
        <f t="shared" si="10"/>
        <v>100</v>
      </c>
      <c r="V39" s="666" t="s">
        <v>14</v>
      </c>
      <c r="W39" s="667">
        <f t="shared" si="11"/>
        <v>100</v>
      </c>
      <c r="X39" s="1263"/>
      <c r="Y39" s="3444"/>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44"/>
      <c r="Q40" s="1261">
        <f t="shared" si="13"/>
        <v>111</v>
      </c>
      <c r="R40" s="668" t="s">
        <v>14</v>
      </c>
      <c r="S40" s="669">
        <f t="shared" si="9"/>
        <v>100</v>
      </c>
      <c r="T40" s="668" t="s">
        <v>14</v>
      </c>
      <c r="U40" s="669">
        <f t="shared" si="10"/>
        <v>100</v>
      </c>
      <c r="V40" s="668" t="s">
        <v>14</v>
      </c>
      <c r="W40" s="669">
        <f t="shared" si="11"/>
        <v>100</v>
      </c>
      <c r="X40" s="670"/>
      <c r="Y40" s="3444"/>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38" t="str">
        <f>A41</f>
        <v>成交单价</v>
      </c>
      <c r="Q41" s="3438"/>
      <c r="R41" s="3433">
        <f>E41</f>
        <v>0</v>
      </c>
      <c r="S41" s="3433"/>
      <c r="T41" s="3433">
        <f>G41</f>
        <v>0</v>
      </c>
      <c r="U41" s="3433"/>
      <c r="V41" s="3433">
        <f>I41</f>
        <v>0</v>
      </c>
      <c r="W41" s="3433"/>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38" t="str">
        <f>A42</f>
        <v>比较价值（元/平方米）</v>
      </c>
      <c r="Q42" s="3438"/>
      <c r="R42" s="3466" t="e">
        <f>ROUND(PRODUCT(R41,AA7:AA40),0)</f>
        <v>#DIV/0!</v>
      </c>
      <c r="S42" s="3466"/>
      <c r="T42" s="3466" t="e">
        <f>ROUND(PRODUCT(T41,AB7:AB40),0)</f>
        <v>#DIV/0!</v>
      </c>
      <c r="U42" s="3466"/>
      <c r="V42" s="3466" t="e">
        <f>ROUND(PRODUCT(V41,AC7:AC40),0)</f>
        <v>#DIV/0!</v>
      </c>
      <c r="W42" s="3466"/>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35" t="str">
        <f>A43</f>
        <v>估价对象XX用房的比较价值（楼面单价，元/平方米）</v>
      </c>
      <c r="Q43" s="3436"/>
      <c r="R43" s="3467" t="e">
        <f>ROUND(IF(D42="简单平均",AVERAGE(R42:W42),R42*F42+T42*H42+V42*J42),0)</f>
        <v>#DIV/0!</v>
      </c>
      <c r="S43" s="3467"/>
      <c r="T43" s="3467"/>
      <c r="U43" s="3467"/>
      <c r="V43" s="3467"/>
      <c r="W43" s="3467"/>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21" t="s">
        <v>1884</v>
      </c>
      <c r="H50" s="3468"/>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49.92</v>
      </c>
      <c r="F51" s="610" t="e">
        <f t="shared" ref="F51:F60" si="14">ROUND(B51*E51/10000,0)</f>
        <v>#DIV/0!</v>
      </c>
      <c r="G51" s="3420"/>
      <c r="H51" s="3438"/>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五级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2024-10-1</v>
      </c>
      <c r="D63" s="655">
        <f>EDATE(C63,-3)</f>
        <v>45474</v>
      </c>
      <c r="E63" s="655">
        <f>EDATE(D63,-3)</f>
        <v>45383</v>
      </c>
      <c r="F63" s="655">
        <f t="shared" ref="F63:O63" si="17">EDATE(E63,-3)</f>
        <v>45292</v>
      </c>
      <c r="G63" s="655">
        <f t="shared" si="17"/>
        <v>45200</v>
      </c>
      <c r="H63" s="655">
        <f t="shared" si="17"/>
        <v>45108</v>
      </c>
      <c r="I63" s="655">
        <f t="shared" si="17"/>
        <v>45017</v>
      </c>
      <c r="J63" s="655">
        <f t="shared" si="17"/>
        <v>44927</v>
      </c>
      <c r="K63" s="655">
        <f t="shared" si="17"/>
        <v>44835</v>
      </c>
      <c r="L63" s="655">
        <f t="shared" si="17"/>
        <v>44743</v>
      </c>
      <c r="M63" s="655">
        <f t="shared" si="17"/>
        <v>44652</v>
      </c>
      <c r="N63" s="655">
        <f t="shared" si="17"/>
        <v>44562</v>
      </c>
      <c r="O63" s="655">
        <f t="shared" si="17"/>
        <v>44470</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6" t="s">
        <v>2081</v>
      </c>
      <c r="D1" s="3477"/>
      <c r="E1" s="3477"/>
      <c r="F1" s="3477"/>
      <c r="G1" s="3477"/>
      <c r="H1" s="3477"/>
      <c r="I1" s="3477"/>
      <c r="J1" s="3477"/>
      <c r="K1" s="3477"/>
      <c r="L1" s="3477"/>
      <c r="M1" s="3477"/>
      <c r="N1" s="3477"/>
      <c r="O1" s="3477"/>
      <c r="P1" s="3477"/>
      <c r="Q1" s="3477"/>
      <c r="R1" s="3477"/>
      <c r="S1" s="3478"/>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3" t="s">
        <v>27</v>
      </c>
      <c r="D22" s="3474"/>
      <c r="E22" s="3474"/>
      <c r="F22" s="3474"/>
      <c r="G22" s="3474"/>
      <c r="H22" s="3474"/>
      <c r="I22" s="3474"/>
      <c r="J22" s="3474"/>
      <c r="K22" s="3474"/>
      <c r="L22" s="3474"/>
      <c r="M22" s="3474"/>
      <c r="N22" s="3474"/>
      <c r="O22" s="3474"/>
      <c r="P22" s="3474"/>
      <c r="Q22" s="3475"/>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49.92</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49.92</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45583</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E115"/>
  <sheetViews>
    <sheetView topLeftCell="A10" workbookViewId="0">
      <selection activeCell="I48" sqref="I48"/>
    </sheetView>
  </sheetViews>
  <sheetFormatPr defaultRowHeight="13.5"/>
  <cols>
    <col min="1" max="1" width="9" style="3142"/>
    <col min="2" max="2" width="34.25" style="3142" customWidth="1"/>
    <col min="3" max="3" width="14.375" style="3142" customWidth="1"/>
    <col min="4" max="5" width="9.5" style="3142" bestFit="1" customWidth="1"/>
    <col min="6" max="6" width="13.625" style="3142" customWidth="1"/>
    <col min="7" max="10" width="9.5" style="3142" bestFit="1" customWidth="1"/>
    <col min="11" max="11" width="11" style="3142" customWidth="1"/>
    <col min="12" max="12" width="11.625" style="3142" bestFit="1" customWidth="1"/>
    <col min="13" max="13" width="6.875" style="3142" customWidth="1"/>
    <col min="14" max="16" width="9" style="3142"/>
    <col min="17" max="17" width="15.5" style="3142" customWidth="1"/>
    <col min="18" max="18" width="9" style="3142"/>
    <col min="19" max="19" width="10.5" style="3142" bestFit="1" customWidth="1"/>
    <col min="20" max="20" width="9.5" style="3142" bestFit="1" customWidth="1"/>
    <col min="21" max="21" width="10.5" style="3142" bestFit="1" customWidth="1"/>
    <col min="22" max="23" width="9" style="3142"/>
    <col min="24" max="24" width="10.125" style="3142" customWidth="1"/>
    <col min="25" max="16384" width="9" style="3142"/>
  </cols>
  <sheetData>
    <row r="1" spans="1:31">
      <c r="B1" s="1446" t="s">
        <v>3376</v>
      </c>
      <c r="C1" s="1446" t="s">
        <v>669</v>
      </c>
      <c r="D1" s="1446" t="s">
        <v>3377</v>
      </c>
      <c r="E1" s="1446" t="s">
        <v>3378</v>
      </c>
      <c r="F1" s="1446" t="s">
        <v>3443</v>
      </c>
      <c r="G1" s="1446" t="s">
        <v>3379</v>
      </c>
      <c r="H1" s="1446" t="s">
        <v>3380</v>
      </c>
      <c r="I1" s="1446" t="s">
        <v>3381</v>
      </c>
      <c r="J1" s="1446" t="s">
        <v>3382</v>
      </c>
      <c r="K1" s="1446" t="s">
        <v>3383</v>
      </c>
      <c r="L1" s="1446" t="s">
        <v>3384</v>
      </c>
      <c r="M1" s="1446" t="s">
        <v>3390</v>
      </c>
      <c r="N1" s="1446" t="s">
        <v>3391</v>
      </c>
      <c r="O1" s="1446" t="s">
        <v>3422</v>
      </c>
    </row>
    <row r="2" spans="1:31" ht="24.75" customHeight="1">
      <c r="A2" s="3147">
        <v>1</v>
      </c>
      <c r="B2" s="1446" t="s">
        <v>3478</v>
      </c>
      <c r="C2" s="1446" t="s">
        <v>3476</v>
      </c>
      <c r="D2" s="1446" t="s">
        <v>3421</v>
      </c>
      <c r="E2" s="3142">
        <v>81.12</v>
      </c>
      <c r="F2" s="3178" t="s">
        <v>3466</v>
      </c>
      <c r="G2" s="1446">
        <v>10</v>
      </c>
      <c r="H2" s="3142">
        <v>9</v>
      </c>
      <c r="I2" s="1446">
        <v>2019</v>
      </c>
      <c r="J2" s="3142">
        <v>76430</v>
      </c>
      <c r="K2" s="3142">
        <v>76449</v>
      </c>
      <c r="L2" s="3152">
        <v>45576</v>
      </c>
      <c r="M2" s="3178" t="s">
        <v>3426</v>
      </c>
      <c r="N2" s="3178" t="s">
        <v>3465</v>
      </c>
      <c r="O2" s="1446" t="s">
        <v>3423</v>
      </c>
      <c r="AE2" s="3189" t="s">
        <v>3477</v>
      </c>
    </row>
    <row r="3" spans="1:31" ht="34.5" customHeight="1">
      <c r="A3" s="3138">
        <v>2</v>
      </c>
      <c r="B3" s="1446" t="s">
        <v>3479</v>
      </c>
      <c r="C3" s="1446" t="s">
        <v>3476</v>
      </c>
      <c r="D3" s="1446" t="s">
        <v>3421</v>
      </c>
      <c r="E3" s="3142">
        <v>49.66</v>
      </c>
      <c r="F3" s="3178" t="s">
        <v>3458</v>
      </c>
      <c r="G3" s="1446">
        <v>10</v>
      </c>
      <c r="H3" s="3142">
        <v>5</v>
      </c>
      <c r="I3" s="1446">
        <v>2019</v>
      </c>
      <c r="J3" s="3142">
        <v>72292</v>
      </c>
      <c r="K3" s="1446">
        <v>72433</v>
      </c>
      <c r="L3" s="3152">
        <v>45499</v>
      </c>
      <c r="M3" s="3178" t="s">
        <v>3426</v>
      </c>
      <c r="N3" s="3178" t="s">
        <v>3465</v>
      </c>
      <c r="O3" s="1446" t="s">
        <v>3423</v>
      </c>
    </row>
    <row r="4" spans="1:31">
      <c r="A4" s="3142">
        <v>3</v>
      </c>
      <c r="B4" s="1446" t="s">
        <v>3480</v>
      </c>
      <c r="C4" s="1446" t="s">
        <v>3476</v>
      </c>
      <c r="D4" s="1446" t="s">
        <v>3421</v>
      </c>
      <c r="E4" s="3142">
        <v>70.5</v>
      </c>
      <c r="F4" s="3178" t="s">
        <v>3466</v>
      </c>
      <c r="G4" s="1446">
        <v>10</v>
      </c>
      <c r="H4" s="3142">
        <v>7</v>
      </c>
      <c r="I4" s="1446">
        <v>2019</v>
      </c>
      <c r="J4" s="3142">
        <v>76028</v>
      </c>
      <c r="K4" s="1446">
        <v>76238</v>
      </c>
      <c r="L4" s="3152">
        <v>45493</v>
      </c>
      <c r="M4" s="3178" t="s">
        <v>3425</v>
      </c>
      <c r="N4" s="3178" t="s">
        <v>3465</v>
      </c>
      <c r="O4" s="1446" t="s">
        <v>3423</v>
      </c>
    </row>
    <row r="6" spans="1:31">
      <c r="A6" s="3147"/>
    </row>
    <row r="7" spans="1:31" ht="43.5" customHeight="1">
      <c r="A7" s="3138"/>
    </row>
    <row r="14" spans="1:31" ht="24.75" customHeight="1"/>
    <row r="15" spans="1:31" ht="24.75" customHeight="1"/>
    <row r="16" spans="1:31" ht="24.75" customHeight="1"/>
    <row r="17" spans="7:9" ht="24.75" customHeight="1"/>
    <row r="18" spans="7:9" ht="24.75" customHeight="1"/>
    <row r="19" spans="7:9" ht="24.75" customHeight="1"/>
    <row r="20" spans="7:9" ht="24.75" customHeight="1"/>
    <row r="21" spans="7:9" ht="24.75" customHeight="1"/>
    <row r="22" spans="7:9" ht="24.75" customHeight="1"/>
    <row r="23" spans="7:9" ht="24.75" customHeight="1"/>
    <row r="24" spans="7:9" ht="24.75" customHeight="1"/>
    <row r="25" spans="7:9" ht="24.75" customHeight="1"/>
    <row r="26" spans="7:9" ht="24.75" customHeight="1"/>
    <row r="27" spans="7:9" ht="24.75" customHeight="1"/>
    <row r="28" spans="7:9" ht="24.75" customHeight="1"/>
    <row r="29" spans="7:9" ht="24.75" customHeight="1"/>
    <row r="30" spans="7:9" ht="24.75" customHeight="1"/>
    <row r="31" spans="7:9" ht="24.75" customHeight="1">
      <c r="G31" s="3142">
        <v>39.04</v>
      </c>
      <c r="H31" s="3142">
        <v>6490</v>
      </c>
      <c r="I31" s="3177">
        <f>ROUND(H31/G31,2)</f>
        <v>166.24</v>
      </c>
    </row>
    <row r="32" spans="7:9" ht="24.75" customHeight="1">
      <c r="G32" s="3142">
        <v>39.04</v>
      </c>
      <c r="H32" s="3142">
        <v>6460</v>
      </c>
      <c r="I32" s="3177">
        <f t="shared" ref="I32:I44" si="0">ROUND(H32/G32,2)</f>
        <v>165.47</v>
      </c>
    </row>
    <row r="33" spans="7:10" ht="24.75" customHeight="1">
      <c r="G33" s="3142">
        <v>50</v>
      </c>
      <c r="H33" s="3142">
        <v>6500</v>
      </c>
      <c r="I33" s="3177">
        <f t="shared" si="0"/>
        <v>130</v>
      </c>
    </row>
    <row r="34" spans="7:10" ht="24.75" customHeight="1">
      <c r="G34" s="3142">
        <v>80</v>
      </c>
      <c r="H34" s="3142">
        <v>8600</v>
      </c>
      <c r="I34" s="3177">
        <f t="shared" si="0"/>
        <v>107.5</v>
      </c>
    </row>
    <row r="35" spans="7:10" ht="24.75" customHeight="1">
      <c r="G35" s="3142">
        <v>72</v>
      </c>
      <c r="H35" s="3142">
        <v>8000</v>
      </c>
      <c r="I35" s="3177">
        <f t="shared" si="0"/>
        <v>111.11</v>
      </c>
    </row>
    <row r="36" spans="7:10" ht="24.75" customHeight="1">
      <c r="G36" s="3142">
        <v>81.33</v>
      </c>
      <c r="H36" s="3142">
        <v>8000</v>
      </c>
      <c r="I36" s="3177">
        <f t="shared" si="0"/>
        <v>98.36</v>
      </c>
    </row>
    <row r="37" spans="7:10" ht="24.75" customHeight="1">
      <c r="G37" s="3142">
        <v>80</v>
      </c>
      <c r="H37" s="3142">
        <v>8000</v>
      </c>
      <c r="I37" s="3177">
        <f t="shared" si="0"/>
        <v>100</v>
      </c>
    </row>
    <row r="38" spans="7:10">
      <c r="G38" s="3142">
        <v>40</v>
      </c>
      <c r="H38" s="3142">
        <v>5500</v>
      </c>
      <c r="I38" s="3177">
        <f t="shared" si="0"/>
        <v>137.5</v>
      </c>
    </row>
    <row r="39" spans="7:10">
      <c r="G39" s="3142">
        <v>81</v>
      </c>
      <c r="H39" s="3142">
        <v>8400</v>
      </c>
      <c r="I39" s="3177">
        <f t="shared" si="0"/>
        <v>103.7</v>
      </c>
    </row>
    <row r="40" spans="7:10">
      <c r="G40" s="3142">
        <v>39.51</v>
      </c>
      <c r="H40" s="3142">
        <v>6000</v>
      </c>
      <c r="I40" s="3177">
        <f t="shared" si="0"/>
        <v>151.86000000000001</v>
      </c>
    </row>
    <row r="41" spans="7:10">
      <c r="G41" s="3142">
        <v>81</v>
      </c>
      <c r="H41" s="3142">
        <v>8200</v>
      </c>
      <c r="I41" s="3142">
        <f t="shared" si="0"/>
        <v>101.23</v>
      </c>
    </row>
    <row r="42" spans="7:10">
      <c r="G42" s="3142">
        <v>55</v>
      </c>
      <c r="H42" s="3142">
        <v>6900</v>
      </c>
      <c r="I42" s="3142">
        <f t="shared" si="0"/>
        <v>125.45</v>
      </c>
    </row>
    <row r="43" spans="7:10">
      <c r="G43" s="3142">
        <v>80.58</v>
      </c>
      <c r="H43" s="3142">
        <v>8600</v>
      </c>
      <c r="I43" s="3142">
        <f t="shared" si="0"/>
        <v>106.73</v>
      </c>
    </row>
    <row r="44" spans="7:10">
      <c r="G44" s="3142">
        <v>81</v>
      </c>
      <c r="H44" s="3142">
        <v>8500</v>
      </c>
      <c r="I44" s="3142">
        <f t="shared" si="0"/>
        <v>104.94</v>
      </c>
    </row>
    <row r="46" spans="7:10">
      <c r="I46" s="3177">
        <f>AVERAGE(I31:I35,I38,I40,I42)</f>
        <v>136.89125000000001</v>
      </c>
      <c r="J46" s="3142">
        <f>I46*'数据-基础表'!I13</f>
        <v>6833.6112000000012</v>
      </c>
    </row>
    <row r="48" spans="7:10">
      <c r="I48" s="1446" t="s">
        <v>3493</v>
      </c>
      <c r="J48" s="3142">
        <f>6800*1.03</f>
        <v>7004</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27.5471</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5518</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7987</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7987</v>
      </c>
      <c r="D8" s="213"/>
      <c r="E8" s="211"/>
      <c r="F8" s="212"/>
      <c r="G8" s="1712" t="s">
        <v>3409</v>
      </c>
    </row>
    <row r="9" spans="1:8" s="205" customFormat="1" ht="13.5" customHeight="1">
      <c r="A9" s="732" t="s">
        <v>355</v>
      </c>
      <c r="B9" s="215" t="s">
        <v>1478</v>
      </c>
      <c r="C9" s="216">
        <f ca="1">ROUND(D9*E9,0)</f>
        <v>7987</v>
      </c>
      <c r="D9" s="794">
        <f ca="1">IF(B1="",'数据-汇总表'!E5,IF(INDIRECT("'数据-取费表'!c"&amp;$G$1)="住宅",INDIRECT("'数据-取费表'!k"&amp;$G$1),0))</f>
        <v>49.92</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49.92</v>
      </c>
      <c r="E19" s="202">
        <f>'数据-取费表'!B31</f>
        <v>200</v>
      </c>
      <c r="F19" s="222"/>
      <c r="G19" s="1712" t="s">
        <v>3410</v>
      </c>
    </row>
    <row r="20" spans="1:7" s="205" customFormat="1" ht="13.5" customHeight="1">
      <c r="A20" s="246" t="s">
        <v>1574</v>
      </c>
      <c r="B20" s="201" t="s">
        <v>1575</v>
      </c>
      <c r="C20" s="223">
        <f ca="1">ROUND((C5+C19)*F20,0)</f>
        <v>160</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785</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777</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8</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1629</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ROUND((C5+C19+C20)*F27,0)</f>
        <v>1629</v>
      </c>
      <c r="D28" s="226"/>
      <c r="E28" s="227"/>
      <c r="F28" s="237"/>
      <c r="G28" s="238"/>
    </row>
    <row r="29" spans="1:7" s="205" customFormat="1" ht="13.5" customHeight="1">
      <c r="A29" s="733" t="s">
        <v>347</v>
      </c>
      <c r="B29" s="239" t="s">
        <v>1517</v>
      </c>
      <c r="C29" s="229">
        <f ca="1">ROUND(C21*F27,4)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11458</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201303</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174720</v>
      </c>
      <c r="D34" s="208"/>
      <c r="E34" s="211"/>
      <c r="F34" s="248"/>
      <c r="G34" s="210"/>
    </row>
    <row r="35" spans="1:7" ht="13.5" customHeight="1">
      <c r="A35" s="733" t="s">
        <v>351</v>
      </c>
      <c r="B35" s="206" t="s">
        <v>1527</v>
      </c>
      <c r="C35" s="211">
        <f ca="1">ROUND(C34*F35,0)</f>
        <v>5242</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8736</v>
      </c>
      <c r="D36" s="211"/>
      <c r="E36" s="211"/>
      <c r="F36" s="250">
        <f>'数据-取费表'!B34</f>
        <v>0.05</v>
      </c>
      <c r="G36" s="251" t="s">
        <v>1530</v>
      </c>
    </row>
    <row r="37" spans="1:7" s="249" customFormat="1" ht="13.5" customHeight="1">
      <c r="A37" s="733" t="s">
        <v>353</v>
      </c>
      <c r="B37" s="206" t="s">
        <v>1531</v>
      </c>
      <c r="C37" s="240">
        <f ca="1">ROUND(E37*D37,0)</f>
        <v>9984</v>
      </c>
      <c r="D37" s="208">
        <f ca="1">D19</f>
        <v>49.92</v>
      </c>
      <c r="E37" s="240">
        <f>'数据-取费表'!B35</f>
        <v>200</v>
      </c>
      <c r="F37" s="250"/>
      <c r="G37" s="252"/>
    </row>
    <row r="38" spans="1:7" ht="13.5" customHeight="1">
      <c r="A38" s="733" t="s">
        <v>354</v>
      </c>
      <c r="B38" s="206" t="s">
        <v>1533</v>
      </c>
      <c r="C38" s="211">
        <f ca="1">ROUND(C34*F38,0)</f>
        <v>2621</v>
      </c>
      <c r="D38" s="211"/>
      <c r="E38" s="211"/>
      <c r="F38" s="250">
        <f>'数据-取费表'!B36</f>
        <v>1.4999999999999999E-2</v>
      </c>
      <c r="G38" s="210" t="s">
        <v>1528</v>
      </c>
    </row>
    <row r="39" spans="1:7" s="205" customFormat="1" ht="13.5" customHeight="1">
      <c r="A39" s="246" t="s">
        <v>1534</v>
      </c>
      <c r="B39" s="201" t="s">
        <v>1535</v>
      </c>
      <c r="C39" s="223">
        <f ca="1">ROUND(C33*F20,0)</f>
        <v>4026</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9753</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9562</v>
      </c>
      <c r="D42" s="229"/>
      <c r="E42" s="229"/>
      <c r="F42" s="230"/>
      <c r="G42" s="3373" t="s">
        <v>1591</v>
      </c>
    </row>
    <row r="43" spans="1:7" ht="13.5" customHeight="1">
      <c r="A43" s="733" t="s">
        <v>347</v>
      </c>
      <c r="B43" s="206" t="s">
        <v>1545</v>
      </c>
      <c r="C43" s="229">
        <f ca="1">ROUND(IF('数据-取费表'!B22&lt;=1,C39*F22*'数据-取费表'!B20/2,C39*(POWER((1+F22),'数据-取费表'!B20/2)-1)),0)</f>
        <v>191</v>
      </c>
      <c r="D43" s="229"/>
      <c r="E43" s="229"/>
      <c r="F43" s="230"/>
      <c r="G43" s="3374"/>
    </row>
    <row r="44" spans="1:7" ht="13.5" customHeight="1">
      <c r="A44" s="733" t="s">
        <v>348</v>
      </c>
      <c r="B44" s="206" t="s">
        <v>1546</v>
      </c>
      <c r="C44" s="229">
        <f ca="1">ROUND(IF('数据-取费表'!B22&lt;=1,C40*F22*'数据-取费表'!B20/2,C40*(POWER((1+F22),'数据-取费表'!B20/2)-1)),4)</f>
        <v>1E-3</v>
      </c>
      <c r="D44" s="229"/>
      <c r="E44" s="229"/>
      <c r="F44" s="230"/>
      <c r="G44" s="3375"/>
    </row>
    <row r="45" spans="1:7" s="205" customFormat="1" ht="13.5" customHeight="1">
      <c r="A45" s="246" t="s">
        <v>1547</v>
      </c>
      <c r="B45" s="235" t="s">
        <v>1513</v>
      </c>
      <c r="C45" s="236">
        <f ca="1">C46</f>
        <v>41066</v>
      </c>
      <c r="D45" s="226">
        <f ca="1">C47</f>
        <v>4.0000000000000001E-3</v>
      </c>
      <c r="E45" s="227" t="s">
        <v>1539</v>
      </c>
      <c r="F45" s="237">
        <f ca="1">F27</f>
        <v>0.2</v>
      </c>
      <c r="G45" s="238" t="s">
        <v>1548</v>
      </c>
    </row>
    <row r="46" spans="1:7" s="205" customFormat="1" ht="13.5" customHeight="1">
      <c r="A46" s="733" t="s">
        <v>346</v>
      </c>
      <c r="B46" s="239" t="s">
        <v>1549</v>
      </c>
      <c r="C46" s="240">
        <f ca="1">ROUND((C33+C39)*F27,0)</f>
        <v>41066</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277908</v>
      </c>
      <c r="D49" s="223"/>
      <c r="E49" s="223"/>
      <c r="F49" s="255"/>
      <c r="G49" s="225" t="s">
        <v>1554</v>
      </c>
    </row>
    <row r="50" spans="1:7" s="249" customFormat="1">
      <c r="A50" s="246" t="s">
        <v>1555</v>
      </c>
      <c r="B50" s="201" t="s">
        <v>1556</v>
      </c>
      <c r="C50" s="223"/>
      <c r="D50" s="223"/>
      <c r="E50" s="223"/>
      <c r="F50" s="255">
        <f>IF('数据-取费表'!B24=0,'数据-取费表'!N16,1)</f>
        <v>0.95</v>
      </c>
      <c r="G50" s="238"/>
    </row>
    <row r="51" spans="1:7" ht="16.5" customHeight="1">
      <c r="A51" s="246" t="s">
        <v>1558</v>
      </c>
      <c r="B51" s="201" t="s">
        <v>1593</v>
      </c>
      <c r="C51" s="223">
        <f ca="1">ROUND(C49*F50,0)</f>
        <v>264013</v>
      </c>
      <c r="D51" s="223"/>
      <c r="E51" s="223"/>
      <c r="F51" s="255"/>
      <c r="G51" s="225" t="s">
        <v>1560</v>
      </c>
    </row>
    <row r="52" spans="1:7" s="199" customFormat="1" ht="16.5" thickBot="1">
      <c r="A52" s="256" t="s">
        <v>1561</v>
      </c>
      <c r="B52" s="257"/>
      <c r="C52" s="258">
        <f ca="1">C31+C51</f>
        <v>275471</v>
      </c>
      <c r="D52" s="257"/>
      <c r="E52" s="257"/>
      <c r="F52" s="257"/>
      <c r="G52" s="259"/>
    </row>
    <row r="55" spans="1:7" ht="15">
      <c r="B55" s="261" t="s">
        <v>1562</v>
      </c>
      <c r="C55" s="262"/>
    </row>
    <row r="56" spans="1:7">
      <c r="B56" s="264" t="s">
        <v>802</v>
      </c>
      <c r="C56" s="266">
        <f ca="1">1-C57</f>
        <v>4.2000000000000037E-2</v>
      </c>
    </row>
    <row r="57" spans="1:7">
      <c r="B57" s="264" t="s">
        <v>803</v>
      </c>
      <c r="C57" s="265">
        <f ca="1">ROUND(C51/C52,3)</f>
        <v>0.95799999999999996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49.92</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五级</v>
      </c>
      <c r="H2" s="161" t="s">
        <v>1935</v>
      </c>
      <c r="I2" s="162" t="str">
        <f>IF(E2="商业",项目基本情况!B38,IF(E2="办公",项目基本情况!C38,IF(E2="住宅",项目基本情况!D38,IF(E2="工业",项目基本情况!E38,项目基本情况!F38))))</f>
        <v>Ⅴ-04</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6"/>
      <c r="B4" s="3487"/>
      <c r="C4" s="3487"/>
      <c r="D4" s="3488"/>
      <c r="E4" s="3488"/>
      <c r="F4" s="3488"/>
      <c r="G4" s="3488"/>
      <c r="H4" s="3488"/>
      <c r="I4" s="3488"/>
      <c r="J4" s="3489"/>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19499</v>
      </c>
      <c r="D5" s="1250">
        <f>ROUND(C6*C17+C20,0)</f>
        <v>18570</v>
      </c>
      <c r="E5" s="1250"/>
      <c r="F5" s="1846"/>
      <c r="G5" s="1847"/>
      <c r="H5" s="1847"/>
      <c r="I5" s="1847"/>
      <c r="J5" s="1848"/>
      <c r="K5" s="1849"/>
      <c r="L5" s="1842" t="s">
        <v>1945</v>
      </c>
      <c r="M5" s="810">
        <f>SUMPRODUCT((区片价!B87:B126=I2)*(区片价!C3:G3=E2)*(区片价!C87:G126))</f>
        <v>18570</v>
      </c>
      <c r="N5" s="812">
        <f>SUMPRODUCT((因素修正幅度!B87:B126=I2)*(因素修正幅度!C3:G3=E2)*(因素修正幅度!C87:G126))</f>
        <v>0.1</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18570</v>
      </c>
      <c r="D6" s="1856"/>
      <c r="E6" s="1857"/>
      <c r="F6" s="1857"/>
      <c r="G6" s="1858"/>
      <c r="H6" s="1858"/>
      <c r="I6" s="1858"/>
      <c r="J6" s="1859"/>
      <c r="K6" s="1290"/>
      <c r="L6" s="1842" t="s">
        <v>1948</v>
      </c>
      <c r="M6" s="810">
        <f>SUMPRODUCT((区片价!B127:B189=I2)*(区片价!C3:G3=E2)*(区片价!C127:G189))</f>
        <v>0</v>
      </c>
      <c r="N6" s="812">
        <f>SUMPRODUCT((因素修正幅度!B127:B189=I2)*(因素修正幅度!C3:G3=E2)*(因素修正幅度!C127:G189))</f>
        <v>0</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五级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3" t="s">
        <v>1957</v>
      </c>
      <c r="X8" s="3484"/>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5"/>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5"/>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0" t="s">
        <v>3254</v>
      </c>
      <c r="B20" s="158" t="s">
        <v>1991</v>
      </c>
      <c r="C20" s="3025">
        <f>ROUND(IF(F21="与级别开发程度一致",0,(G21-E21)/C21),0)</f>
        <v>0</v>
      </c>
      <c r="D20" s="3040" t="s">
        <v>1995</v>
      </c>
      <c r="E20" s="3041"/>
      <c r="F20" s="3496" t="s">
        <v>1992</v>
      </c>
      <c r="G20" s="3497"/>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1"/>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45583</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1</v>
      </c>
      <c r="D24" s="1897" t="s">
        <v>2004</v>
      </c>
      <c r="E24" s="1246">
        <f>存贷款利率!E22/100</f>
        <v>4.3499999999999997E-2</v>
      </c>
      <c r="F24" s="1897" t="s">
        <v>1996</v>
      </c>
      <c r="G24" s="723">
        <f>SUMIF(M30:Q30,E2,M33:Q33)</f>
        <v>0.05</v>
      </c>
      <c r="H24" s="1897" t="s">
        <v>2005</v>
      </c>
      <c r="I24" s="724">
        <f>SUMIF('数据-取费表'!C6:C15,E2,'数据-取费表'!F6:F15)/COUNTIF('数据-取费表'!C6:C15,E2)</f>
        <v>70</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49.92</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4"/>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5"/>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5"/>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51" hidden="1">
      <c r="A51" s="1965" t="s">
        <v>2050</v>
      </c>
      <c r="B51" s="1260" t="str">
        <f>估价对象房地状况!C18</f>
        <v>周边有333路、908路、909路等多条公交线路及地铁16号线西北旺站，综合评价交通便捷度较好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78.5" hidden="1">
      <c r="A56" s="1971" t="s">
        <v>2056</v>
      </c>
      <c r="B56"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39" hidden="1" thickBot="1">
      <c r="A58" s="1972" t="s">
        <v>2058</v>
      </c>
      <c r="B58" s="1973" t="str">
        <f>估价对象房地状况!C20</f>
        <v>自然环境：百望山森林公园、中关村公园等自然景观；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51" hidden="1">
      <c r="A62" s="1965" t="s">
        <v>2050</v>
      </c>
      <c r="B62" s="1260" t="str">
        <f>估价对象房地状况!C18</f>
        <v>周边有333路、908路、909路等多条公交线路及地铁16号线西北旺站，综合评价交通便捷度较好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78.5" hidden="1">
      <c r="A67" s="1965" t="s">
        <v>2056</v>
      </c>
      <c r="B67"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39" hidden="1" thickBot="1">
      <c r="A69" s="1972" t="s">
        <v>2058</v>
      </c>
      <c r="B69" s="1974" t="str">
        <f>估价对象房地状况!C20</f>
        <v>自然环境：百望山森林公园、中关村公园等自然景观；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周边有如园、景和园、冬晴园、百旺茉莉园等住宅小区，居住社区成熟度较好。</v>
      </c>
      <c r="C72" s="1882" t="s">
        <v>3406</v>
      </c>
      <c r="D72" s="1001">
        <f t="shared" ref="D72:D80" si="16">SUMIF($J$71:$N$71,C72,J72:N72)</f>
        <v>9.7999999999999997E-3</v>
      </c>
      <c r="E72" s="701">
        <f>ROUND(SUM(D72:D80),4)</f>
        <v>4.4900000000000002E-2</v>
      </c>
      <c r="F72" s="1673">
        <f>IF(E2="住宅",SUMIF(L1:L12,G2,N1:N12),"——")</f>
        <v>0.1</v>
      </c>
      <c r="G72" s="999">
        <v>9.7999999999999997E-3</v>
      </c>
      <c r="H72" s="1002">
        <f t="shared" ref="H72:H80" si="17">IFERROR(ROUNDDOWN($F$72*I72/2,4),"——")</f>
        <v>0.01</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51">
      <c r="A73" s="1965" t="s">
        <v>2050</v>
      </c>
      <c r="B73" s="1260" t="str">
        <f>估价对象房地状况!C18</f>
        <v>周边有333路、908路、909路等多条公交线路及地铁16号线西北旺站，综合评价交通便捷度较好</v>
      </c>
      <c r="C73" s="1882" t="s">
        <v>3406</v>
      </c>
      <c r="D73" s="1001">
        <f t="shared" si="16"/>
        <v>1.2699999999999999E-2</v>
      </c>
      <c r="E73" s="704"/>
      <c r="F73" s="1673"/>
      <c r="G73" s="999">
        <v>1.2699999999999999E-2</v>
      </c>
      <c r="H73" s="1002">
        <f t="shared" si="17"/>
        <v>1.2999999999999999E-2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5.0000000000000001E-3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2.5000000000000001E-3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78.5">
      <c r="A76" s="1965" t="s">
        <v>2056</v>
      </c>
      <c r="B76"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76" s="1882" t="s">
        <v>3406</v>
      </c>
      <c r="D76" s="1001">
        <f t="shared" si="16"/>
        <v>3.8999999999999998E-3</v>
      </c>
      <c r="E76" s="704"/>
      <c r="F76" s="1673"/>
      <c r="G76" s="999">
        <v>3.8999999999999998E-3</v>
      </c>
      <c r="H76" s="1002">
        <f t="shared" si="17"/>
        <v>4.0000000000000001E-3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4.4999999999999997E-3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2.5000000000000001E-3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38.25">
      <c r="A79" s="1965" t="s">
        <v>2058</v>
      </c>
      <c r="B79" s="1968" t="str">
        <f>估价对象房地状况!C20</f>
        <v>自然环境：百望山森林公园、中关村公园等自然景观；
综合评价环境状况较好。</v>
      </c>
      <c r="C79" s="1882" t="s">
        <v>3407</v>
      </c>
      <c r="D79" s="1001">
        <f t="shared" si="16"/>
        <v>0</v>
      </c>
      <c r="E79" s="704"/>
      <c r="F79" s="1673"/>
      <c r="G79" s="999">
        <v>5.7999999999999996E-3</v>
      </c>
      <c r="H79" s="1002">
        <f t="shared" si="17"/>
        <v>6.0000000000000001E-3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2.5000000000000001E-3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51">
      <c r="A94" s="3074" t="s">
        <v>3273</v>
      </c>
      <c r="B94" s="3065" t="str">
        <f>估价对象房地状况!C18</f>
        <v>周边有333路、908路、909路等多条公交线路及地铁16号线西北旺站，综合评价交通便捷度较好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78.5">
      <c r="A99" s="3074" t="s">
        <v>3277</v>
      </c>
      <c r="B99" s="3065"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39" thickBot="1">
      <c r="A101" s="3075" t="s">
        <v>3279</v>
      </c>
      <c r="B101" s="3082" t="str">
        <f>估价对象房地状况!C20</f>
        <v>自然环境：百望山森林公园、中关村公园等自然景观；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2" t="s">
        <v>3294</v>
      </c>
      <c r="B103" s="3492"/>
      <c r="C103" s="3492"/>
      <c r="D103" s="3492"/>
      <c r="E103" s="3492"/>
      <c r="F103" s="3492"/>
      <c r="G103" s="3492"/>
      <c r="H103" s="3492"/>
      <c r="I103" s="3492"/>
      <c r="J103" s="3492"/>
      <c r="K103" s="1665"/>
      <c r="L103" s="1665"/>
      <c r="M103" s="1665"/>
      <c r="N103" s="1665"/>
    </row>
    <row r="104" spans="1:14">
      <c r="A104" s="3493" t="s">
        <v>3295</v>
      </c>
      <c r="B104" s="3493" t="s">
        <v>3296</v>
      </c>
      <c r="C104" s="3084" t="s">
        <v>3297</v>
      </c>
      <c r="D104" s="3085"/>
      <c r="E104" s="3085"/>
      <c r="F104" s="3085"/>
      <c r="G104" s="3085"/>
      <c r="H104" s="3085"/>
      <c r="I104" s="3085"/>
      <c r="J104" s="3086"/>
      <c r="K104" s="3087"/>
      <c r="L104" s="3087"/>
      <c r="M104" s="3087"/>
      <c r="N104" s="3087"/>
    </row>
    <row r="105" spans="1:14">
      <c r="A105" s="3493"/>
      <c r="B105" s="3493"/>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79"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0"/>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0"/>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0"/>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0"/>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0"/>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1"/>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2" t="s">
        <v>3311</v>
      </c>
      <c r="B113" s="3482"/>
      <c r="C113" s="3482"/>
      <c r="D113" s="3482"/>
      <c r="E113" s="3482"/>
      <c r="F113" s="3482"/>
      <c r="G113" s="3482"/>
      <c r="H113" s="3482"/>
      <c r="I113" s="3482"/>
      <c r="J113" s="3482"/>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五级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5" t="s">
        <v>2605</v>
      </c>
      <c r="B20" s="3498" t="s">
        <v>2626</v>
      </c>
      <c r="C20" s="2836" t="s">
        <v>2437</v>
      </c>
      <c r="D20" s="2837"/>
      <c r="E20" s="2838">
        <v>1</v>
      </c>
      <c r="F20" s="2839" t="s">
        <v>2438</v>
      </c>
      <c r="G20" s="2839"/>
    </row>
    <row r="21" spans="1:13" ht="19.5" customHeight="1">
      <c r="A21" s="3506"/>
      <c r="B21" s="3499"/>
      <c r="C21" s="2840" t="s">
        <v>2439</v>
      </c>
      <c r="D21" s="2841"/>
      <c r="E21" s="2842">
        <v>1</v>
      </c>
      <c r="F21" s="2839" t="s">
        <v>2440</v>
      </c>
      <c r="G21" s="2839"/>
    </row>
    <row r="22" spans="1:13" ht="19.5" customHeight="1">
      <c r="A22" s="3506"/>
      <c r="B22" s="3499"/>
      <c r="C22" s="2840" t="s">
        <v>2441</v>
      </c>
      <c r="D22" s="2841"/>
      <c r="E22" s="2842">
        <v>0.9</v>
      </c>
      <c r="F22" s="2839" t="s">
        <v>2442</v>
      </c>
      <c r="G22" s="2839"/>
    </row>
    <row r="23" spans="1:13" ht="19.5" customHeight="1">
      <c r="A23" s="3506"/>
      <c r="B23" s="3499"/>
      <c r="C23" s="2840" t="s">
        <v>2443</v>
      </c>
      <c r="D23" s="2841"/>
      <c r="E23" s="2842">
        <v>0.9</v>
      </c>
      <c r="F23" s="2839" t="s">
        <v>2444</v>
      </c>
      <c r="G23" s="2839"/>
    </row>
    <row r="24" spans="1:13" ht="19.5" customHeight="1">
      <c r="A24" s="3506"/>
      <c r="B24" s="3499"/>
      <c r="C24" s="2840" t="s">
        <v>2445</v>
      </c>
      <c r="D24" s="2841"/>
      <c r="E24" s="2842">
        <v>0.8</v>
      </c>
      <c r="F24" s="2839" t="s">
        <v>2446</v>
      </c>
      <c r="G24" s="2839"/>
    </row>
    <row r="25" spans="1:13" ht="19.5" customHeight="1" thickBot="1">
      <c r="A25" s="3507"/>
      <c r="B25" s="3500"/>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1" t="s">
        <v>2629</v>
      </c>
      <c r="B27" s="3498" t="s">
        <v>2610</v>
      </c>
      <c r="C27" s="2836" t="s">
        <v>2450</v>
      </c>
      <c r="D27" s="2837"/>
      <c r="E27" s="2838">
        <v>1</v>
      </c>
      <c r="F27" s="2839" t="s">
        <v>2451</v>
      </c>
      <c r="G27" s="2839"/>
    </row>
    <row r="28" spans="1:13" ht="19.5" customHeight="1">
      <c r="A28" s="3502"/>
      <c r="B28" s="3499"/>
      <c r="C28" s="2840" t="s">
        <v>2452</v>
      </c>
      <c r="D28" s="2841"/>
      <c r="E28" s="2842">
        <v>1</v>
      </c>
      <c r="F28" s="2839" t="s">
        <v>2453</v>
      </c>
      <c r="G28" s="2839"/>
    </row>
    <row r="29" spans="1:13" ht="19.5" customHeight="1">
      <c r="A29" s="3502"/>
      <c r="B29" s="3499"/>
      <c r="C29" s="2840" t="s">
        <v>2454</v>
      </c>
      <c r="D29" s="2841"/>
      <c r="E29" s="2842">
        <v>0.8</v>
      </c>
      <c r="F29" s="2839" t="s">
        <v>2455</v>
      </c>
      <c r="G29" s="2839"/>
    </row>
    <row r="30" spans="1:13" ht="19.5" customHeight="1">
      <c r="A30" s="3502"/>
      <c r="B30" s="3499"/>
      <c r="C30" s="2840" t="s">
        <v>2456</v>
      </c>
      <c r="D30" s="2841"/>
      <c r="E30" s="2842">
        <v>0.8</v>
      </c>
      <c r="F30" s="2839" t="s">
        <v>2457</v>
      </c>
      <c r="G30" s="2839"/>
    </row>
    <row r="31" spans="1:13" ht="19.5" customHeight="1">
      <c r="A31" s="3502"/>
      <c r="B31" s="3499"/>
      <c r="C31" s="2840" t="s">
        <v>2458</v>
      </c>
      <c r="D31" s="2841"/>
      <c r="E31" s="2842">
        <v>0.8</v>
      </c>
      <c r="F31" s="2839" t="s">
        <v>2459</v>
      </c>
      <c r="G31" s="2839"/>
    </row>
    <row r="32" spans="1:13" ht="19.5" customHeight="1">
      <c r="A32" s="3502"/>
      <c r="B32" s="3499"/>
      <c r="C32" s="2840" t="s">
        <v>2460</v>
      </c>
      <c r="D32" s="2841"/>
      <c r="E32" s="2842">
        <v>0.7</v>
      </c>
      <c r="F32" s="2839" t="s">
        <v>2461</v>
      </c>
      <c r="G32" s="2839"/>
    </row>
    <row r="33" spans="1:7" ht="19.5" customHeight="1">
      <c r="A33" s="3502"/>
      <c r="B33" s="3499"/>
      <c r="C33" s="2840" t="s">
        <v>2462</v>
      </c>
      <c r="D33" s="2841"/>
      <c r="E33" s="2842">
        <v>0.8</v>
      </c>
      <c r="F33" s="2839" t="s">
        <v>2463</v>
      </c>
      <c r="G33" s="2839"/>
    </row>
    <row r="34" spans="1:7" ht="19.5" customHeight="1">
      <c r="A34" s="3502"/>
      <c r="B34" s="3499"/>
      <c r="C34" s="2840" t="s">
        <v>2464</v>
      </c>
      <c r="D34" s="2841"/>
      <c r="E34" s="2842">
        <v>0.6</v>
      </c>
      <c r="F34" s="2839" t="s">
        <v>2465</v>
      </c>
      <c r="G34" s="2839"/>
    </row>
    <row r="35" spans="1:7" ht="19.5" customHeight="1">
      <c r="A35" s="3502"/>
      <c r="B35" s="3499"/>
      <c r="C35" s="2840" t="s">
        <v>2466</v>
      </c>
      <c r="D35" s="2841"/>
      <c r="E35" s="2842">
        <v>0.2</v>
      </c>
      <c r="F35" s="2839" t="s">
        <v>2467</v>
      </c>
      <c r="G35" s="2839"/>
    </row>
    <row r="36" spans="1:7" ht="19.5" customHeight="1">
      <c r="A36" s="3502"/>
      <c r="B36" s="3499"/>
      <c r="C36" s="2840" t="s">
        <v>2468</v>
      </c>
      <c r="D36" s="2841"/>
      <c r="E36" s="2842">
        <v>0.2</v>
      </c>
      <c r="F36" s="2839" t="s">
        <v>2469</v>
      </c>
      <c r="G36" s="2839"/>
    </row>
    <row r="37" spans="1:7" ht="19.5" customHeight="1">
      <c r="A37" s="3502"/>
      <c r="B37" s="3504" t="s">
        <v>2630</v>
      </c>
      <c r="C37" s="2840" t="s">
        <v>2470</v>
      </c>
      <c r="D37" s="2841"/>
      <c r="E37" s="2842">
        <v>0.6</v>
      </c>
      <c r="F37" s="2839" t="s">
        <v>2471</v>
      </c>
      <c r="G37" s="2839"/>
    </row>
    <row r="38" spans="1:7" ht="19.5" customHeight="1">
      <c r="A38" s="3502"/>
      <c r="B38" s="3499"/>
      <c r="C38" s="2840" t="s">
        <v>2472</v>
      </c>
      <c r="D38" s="2841"/>
      <c r="E38" s="2842">
        <v>0.6</v>
      </c>
      <c r="F38" s="2839" t="s">
        <v>2473</v>
      </c>
      <c r="G38" s="2839"/>
    </row>
    <row r="39" spans="1:7" ht="19.5" customHeight="1" thickBot="1">
      <c r="A39" s="3503"/>
      <c r="B39" s="3500"/>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5" t="s">
        <v>2608</v>
      </c>
      <c r="B41" s="3498" t="s">
        <v>2632</v>
      </c>
      <c r="C41" s="2836" t="s">
        <v>2477</v>
      </c>
      <c r="D41" s="2837"/>
      <c r="E41" s="2838">
        <v>1</v>
      </c>
      <c r="F41" s="2839" t="s">
        <v>2478</v>
      </c>
      <c r="G41" s="2839"/>
    </row>
    <row r="42" spans="1:7" ht="19.5" customHeight="1">
      <c r="A42" s="3506"/>
      <c r="B42" s="3499"/>
      <c r="C42" s="2840" t="s">
        <v>2479</v>
      </c>
      <c r="D42" s="2841"/>
      <c r="E42" s="2842">
        <v>1</v>
      </c>
      <c r="F42" s="2839" t="s">
        <v>2480</v>
      </c>
      <c r="G42" s="2839"/>
    </row>
    <row r="43" spans="1:7" ht="19.5" customHeight="1">
      <c r="A43" s="3506"/>
      <c r="B43" s="3508"/>
      <c r="C43" s="2840" t="s">
        <v>2481</v>
      </c>
      <c r="D43" s="2841"/>
      <c r="E43" s="2842">
        <v>1.5</v>
      </c>
      <c r="F43" s="2839" t="s">
        <v>2482</v>
      </c>
      <c r="G43" s="2839"/>
    </row>
    <row r="44" spans="1:7" ht="19.5" customHeight="1">
      <c r="A44" s="3506"/>
      <c r="B44" s="2851" t="s">
        <v>2633</v>
      </c>
      <c r="C44" s="2840" t="s">
        <v>2634</v>
      </c>
      <c r="D44" s="2841"/>
      <c r="E44" s="2842">
        <v>2</v>
      </c>
      <c r="F44" s="2839" t="s">
        <v>2483</v>
      </c>
      <c r="G44" s="2839"/>
    </row>
    <row r="45" spans="1:7" ht="19.5" customHeight="1">
      <c r="A45" s="3506"/>
      <c r="B45" s="3504" t="s">
        <v>2635</v>
      </c>
      <c r="C45" s="2840" t="s">
        <v>2484</v>
      </c>
      <c r="D45" s="2841"/>
      <c r="E45" s="2842">
        <v>1</v>
      </c>
      <c r="F45" s="2839" t="s">
        <v>2485</v>
      </c>
      <c r="G45" s="2839"/>
    </row>
    <row r="46" spans="1:7" ht="19.5" customHeight="1">
      <c r="A46" s="3506"/>
      <c r="B46" s="3499"/>
      <c r="C46" s="2840" t="s">
        <v>2486</v>
      </c>
      <c r="D46" s="2841"/>
      <c r="E46" s="2842">
        <v>1</v>
      </c>
      <c r="F46" s="2839" t="s">
        <v>2487</v>
      </c>
      <c r="G46" s="2839"/>
    </row>
    <row r="47" spans="1:7" ht="19.5" customHeight="1">
      <c r="A47" s="3506"/>
      <c r="B47" s="3499"/>
      <c r="C47" s="2840" t="s">
        <v>2488</v>
      </c>
      <c r="D47" s="2841"/>
      <c r="E47" s="2842">
        <v>1</v>
      </c>
      <c r="F47" s="2839" t="s">
        <v>2489</v>
      </c>
      <c r="G47" s="2839"/>
    </row>
    <row r="48" spans="1:7" ht="19.5" customHeight="1">
      <c r="A48" s="3506"/>
      <c r="B48" s="3499"/>
      <c r="C48" s="2840" t="s">
        <v>2490</v>
      </c>
      <c r="D48" s="2841"/>
      <c r="E48" s="2842">
        <v>1</v>
      </c>
      <c r="F48" s="2839" t="s">
        <v>2491</v>
      </c>
      <c r="G48" s="2839"/>
    </row>
    <row r="49" spans="1:7" ht="19.5" customHeight="1">
      <c r="A49" s="3506"/>
      <c r="B49" s="3499"/>
      <c r="C49" s="2840" t="s">
        <v>2492</v>
      </c>
      <c r="D49" s="2841"/>
      <c r="E49" s="2842">
        <v>1</v>
      </c>
      <c r="F49" s="2839" t="s">
        <v>2493</v>
      </c>
      <c r="G49" s="2839"/>
    </row>
    <row r="50" spans="1:7" ht="19.5" customHeight="1">
      <c r="A50" s="3506"/>
      <c r="B50" s="3499"/>
      <c r="C50" s="2840" t="s">
        <v>2494</v>
      </c>
      <c r="D50" s="2841"/>
      <c r="E50" s="2842">
        <v>1</v>
      </c>
      <c r="F50" s="2839" t="s">
        <v>2495</v>
      </c>
      <c r="G50" s="2839"/>
    </row>
    <row r="51" spans="1:7" ht="19.5" customHeight="1" thickBot="1">
      <c r="A51" s="3507"/>
      <c r="B51" s="3500"/>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504" t="s">
        <v>2649</v>
      </c>
      <c r="C73" s="2825" t="s">
        <v>2650</v>
      </c>
      <c r="D73" s="2825" t="s">
        <v>2651</v>
      </c>
      <c r="E73" s="2851">
        <v>0.2</v>
      </c>
      <c r="F73" s="2851">
        <v>25</v>
      </c>
    </row>
    <row r="74" spans="1:7" ht="24">
      <c r="A74" s="2851">
        <v>2</v>
      </c>
      <c r="B74" s="3499"/>
      <c r="C74" s="2825" t="s">
        <v>2652</v>
      </c>
      <c r="D74" s="2825" t="s">
        <v>2653</v>
      </c>
      <c r="E74" s="2851">
        <v>0.2</v>
      </c>
      <c r="F74" s="2851">
        <v>25</v>
      </c>
    </row>
    <row r="75" spans="1:7" ht="24">
      <c r="A75" s="2851">
        <v>3</v>
      </c>
      <c r="B75" s="3499"/>
      <c r="C75" s="2825" t="s">
        <v>2654</v>
      </c>
      <c r="D75" s="2825" t="s">
        <v>2655</v>
      </c>
      <c r="E75" s="2851">
        <v>0.2</v>
      </c>
      <c r="F75" s="2851">
        <v>25</v>
      </c>
    </row>
    <row r="76" spans="1:7" ht="13.5">
      <c r="A76" s="2851">
        <v>4</v>
      </c>
      <c r="B76" s="3499"/>
      <c r="C76" s="2825" t="s">
        <v>2656</v>
      </c>
      <c r="D76" s="2825" t="s">
        <v>2657</v>
      </c>
      <c r="E76" s="2851">
        <v>0.15</v>
      </c>
      <c r="F76" s="2851">
        <v>20</v>
      </c>
    </row>
    <row r="77" spans="1:7" ht="24">
      <c r="A77" s="2851">
        <v>5</v>
      </c>
      <c r="B77" s="3499"/>
      <c r="C77" s="2825" t="s">
        <v>2658</v>
      </c>
      <c r="D77" s="2825" t="s">
        <v>2659</v>
      </c>
      <c r="E77" s="2851">
        <v>0.15</v>
      </c>
      <c r="F77" s="2851">
        <v>20</v>
      </c>
    </row>
    <row r="78" spans="1:7" ht="24">
      <c r="A78" s="2851">
        <v>6</v>
      </c>
      <c r="B78" s="3499"/>
      <c r="C78" s="2825" t="s">
        <v>2660</v>
      </c>
      <c r="D78" s="2825" t="s">
        <v>2661</v>
      </c>
      <c r="E78" s="2851">
        <v>0.15</v>
      </c>
      <c r="F78" s="2851">
        <v>20</v>
      </c>
    </row>
    <row r="79" spans="1:7" ht="24">
      <c r="A79" s="2851">
        <v>7</v>
      </c>
      <c r="B79" s="3499"/>
      <c r="C79" s="2825" t="s">
        <v>2662</v>
      </c>
      <c r="D79" s="2825" t="s">
        <v>2663</v>
      </c>
      <c r="E79" s="2851">
        <v>0.15</v>
      </c>
      <c r="F79" s="2851">
        <v>20</v>
      </c>
    </row>
    <row r="80" spans="1:7" ht="24">
      <c r="A80" s="2851">
        <v>8</v>
      </c>
      <c r="B80" s="3499"/>
      <c r="C80" s="2825" t="s">
        <v>2664</v>
      </c>
      <c r="D80" s="2825" t="s">
        <v>2665</v>
      </c>
      <c r="E80" s="2851">
        <v>0.1</v>
      </c>
      <c r="F80" s="2851">
        <v>15</v>
      </c>
    </row>
    <row r="81" spans="1:6" ht="24">
      <c r="A81" s="2851">
        <v>9</v>
      </c>
      <c r="B81" s="3499"/>
      <c r="C81" s="2825" t="s">
        <v>2666</v>
      </c>
      <c r="D81" s="2825" t="s">
        <v>2667</v>
      </c>
      <c r="E81" s="2851">
        <v>0.1</v>
      </c>
      <c r="F81" s="2851">
        <v>15</v>
      </c>
    </row>
    <row r="82" spans="1:6" ht="24">
      <c r="A82" s="2851">
        <v>10</v>
      </c>
      <c r="B82" s="3499"/>
      <c r="C82" s="2825" t="s">
        <v>2668</v>
      </c>
      <c r="D82" s="2825" t="s">
        <v>2669</v>
      </c>
      <c r="E82" s="2851">
        <v>0.1</v>
      </c>
      <c r="F82" s="2851">
        <v>15</v>
      </c>
    </row>
    <row r="83" spans="1:6" ht="24">
      <c r="A83" s="2851">
        <v>11</v>
      </c>
      <c r="B83" s="3499"/>
      <c r="C83" s="2825" t="s">
        <v>2670</v>
      </c>
      <c r="D83" s="2825" t="s">
        <v>2671</v>
      </c>
      <c r="E83" s="2851">
        <v>0.1</v>
      </c>
      <c r="F83" s="2851">
        <v>15</v>
      </c>
    </row>
    <row r="84" spans="1:6" ht="24">
      <c r="A84" s="2851">
        <v>12</v>
      </c>
      <c r="B84" s="3499"/>
      <c r="C84" s="2825" t="s">
        <v>2672</v>
      </c>
      <c r="D84" s="2825" t="s">
        <v>2673</v>
      </c>
      <c r="E84" s="2851">
        <v>0.1</v>
      </c>
      <c r="F84" s="2851">
        <v>15</v>
      </c>
    </row>
    <row r="85" spans="1:6" ht="13.5">
      <c r="A85" s="2851">
        <v>13</v>
      </c>
      <c r="B85" s="3499"/>
      <c r="C85" s="2825" t="s">
        <v>2674</v>
      </c>
      <c r="D85" s="2825" t="s">
        <v>2675</v>
      </c>
      <c r="E85" s="2851">
        <v>0.1</v>
      </c>
      <c r="F85" s="2851">
        <v>15</v>
      </c>
    </row>
    <row r="86" spans="1:6" ht="13.5">
      <c r="A86" s="2851">
        <v>14</v>
      </c>
      <c r="B86" s="3499"/>
      <c r="C86" s="2825" t="s">
        <v>2676</v>
      </c>
      <c r="D86" s="2825" t="s">
        <v>2677</v>
      </c>
      <c r="E86" s="2851">
        <v>0.1</v>
      </c>
      <c r="F86" s="2851">
        <v>15</v>
      </c>
    </row>
    <row r="87" spans="1:6" ht="13.5">
      <c r="A87" s="2851">
        <v>15</v>
      </c>
      <c r="B87" s="3499"/>
      <c r="C87" s="2825" t="s">
        <v>2678</v>
      </c>
      <c r="D87" s="2825" t="s">
        <v>2679</v>
      </c>
      <c r="E87" s="2851">
        <v>0.1</v>
      </c>
      <c r="F87" s="2851">
        <v>15</v>
      </c>
    </row>
    <row r="88" spans="1:6" ht="24">
      <c r="A88" s="2851">
        <v>16</v>
      </c>
      <c r="B88" s="3499"/>
      <c r="C88" s="2825" t="s">
        <v>2680</v>
      </c>
      <c r="D88" s="2825" t="s">
        <v>2681</v>
      </c>
      <c r="E88" s="2851">
        <v>0.1</v>
      </c>
      <c r="F88" s="2851">
        <v>15</v>
      </c>
    </row>
    <row r="89" spans="1:6" ht="24">
      <c r="A89" s="2851">
        <v>17</v>
      </c>
      <c r="B89" s="3508"/>
      <c r="C89" s="2825" t="s">
        <v>2682</v>
      </c>
      <c r="D89" s="2825" t="s">
        <v>2683</v>
      </c>
      <c r="E89" s="2851">
        <v>0.1</v>
      </c>
      <c r="F89" s="2851">
        <v>15</v>
      </c>
    </row>
    <row r="90" spans="1:6" ht="13.5">
      <c r="A90" s="2851">
        <v>18</v>
      </c>
      <c r="B90" s="3504" t="s">
        <v>2684</v>
      </c>
      <c r="C90" s="2825" t="s">
        <v>2685</v>
      </c>
      <c r="D90" s="2825" t="s">
        <v>2686</v>
      </c>
      <c r="E90" s="2851">
        <v>0.2</v>
      </c>
      <c r="F90" s="2851">
        <v>25</v>
      </c>
    </row>
    <row r="91" spans="1:6" ht="24">
      <c r="A91" s="2851">
        <v>19</v>
      </c>
      <c r="B91" s="3499"/>
      <c r="C91" s="2825" t="s">
        <v>2687</v>
      </c>
      <c r="D91" s="2825" t="s">
        <v>2688</v>
      </c>
      <c r="E91" s="2851">
        <v>0.2</v>
      </c>
      <c r="F91" s="2851">
        <v>25</v>
      </c>
    </row>
    <row r="92" spans="1:6" ht="13.5">
      <c r="A92" s="2851">
        <v>20</v>
      </c>
      <c r="B92" s="3499"/>
      <c r="C92" s="2825" t="s">
        <v>2689</v>
      </c>
      <c r="D92" s="2825" t="s">
        <v>2690</v>
      </c>
      <c r="E92" s="2851">
        <v>0.15</v>
      </c>
      <c r="F92" s="2851">
        <v>20</v>
      </c>
    </row>
    <row r="93" spans="1:6" ht="13.5">
      <c r="A93" s="2851">
        <v>21</v>
      </c>
      <c r="B93" s="3499"/>
      <c r="C93" s="2825" t="s">
        <v>2691</v>
      </c>
      <c r="D93" s="2825" t="s">
        <v>2692</v>
      </c>
      <c r="E93" s="2851">
        <v>0.15</v>
      </c>
      <c r="F93" s="2851">
        <v>20</v>
      </c>
    </row>
    <row r="94" spans="1:6" ht="13.5">
      <c r="A94" s="2851">
        <v>22</v>
      </c>
      <c r="B94" s="3499"/>
      <c r="C94" s="2825" t="s">
        <v>2693</v>
      </c>
      <c r="D94" s="2825" t="s">
        <v>2694</v>
      </c>
      <c r="E94" s="2851">
        <v>0.15</v>
      </c>
      <c r="F94" s="2851">
        <v>20</v>
      </c>
    </row>
    <row r="95" spans="1:6" ht="36">
      <c r="A95" s="2851">
        <v>23</v>
      </c>
      <c r="B95" s="3499"/>
      <c r="C95" s="2825" t="s">
        <v>2695</v>
      </c>
      <c r="D95" s="2825" t="s">
        <v>2696</v>
      </c>
      <c r="E95" s="2851">
        <v>0.15</v>
      </c>
      <c r="F95" s="2851">
        <v>20</v>
      </c>
    </row>
    <row r="96" spans="1:6" ht="13.5">
      <c r="A96" s="2851">
        <v>24</v>
      </c>
      <c r="B96" s="3499"/>
      <c r="C96" s="2825" t="s">
        <v>2697</v>
      </c>
      <c r="D96" s="2825" t="s">
        <v>2698</v>
      </c>
      <c r="E96" s="2851">
        <v>0.1</v>
      </c>
      <c r="F96" s="2851">
        <v>15</v>
      </c>
    </row>
    <row r="97" spans="1:6" ht="13.5">
      <c r="A97" s="2851">
        <v>25</v>
      </c>
      <c r="B97" s="3499"/>
      <c r="C97" s="2825" t="s">
        <v>2699</v>
      </c>
      <c r="D97" s="2825" t="s">
        <v>2700</v>
      </c>
      <c r="E97" s="2851">
        <v>0.1</v>
      </c>
      <c r="F97" s="2851">
        <v>15</v>
      </c>
    </row>
    <row r="98" spans="1:6" ht="24">
      <c r="A98" s="2851">
        <v>26</v>
      </c>
      <c r="B98" s="3499"/>
      <c r="C98" s="2825" t="s">
        <v>2701</v>
      </c>
      <c r="D98" s="2825" t="s">
        <v>2702</v>
      </c>
      <c r="E98" s="2851">
        <v>0.1</v>
      </c>
      <c r="F98" s="2851">
        <v>15</v>
      </c>
    </row>
    <row r="99" spans="1:6" ht="24">
      <c r="A99" s="2851">
        <v>27</v>
      </c>
      <c r="B99" s="3499"/>
      <c r="C99" s="2825" t="s">
        <v>2703</v>
      </c>
      <c r="D99" s="2825" t="s">
        <v>2704</v>
      </c>
      <c r="E99" s="2851">
        <v>0.1</v>
      </c>
      <c r="F99" s="2851">
        <v>15</v>
      </c>
    </row>
    <row r="100" spans="1:6" ht="13.5">
      <c r="A100" s="2851">
        <v>28</v>
      </c>
      <c r="B100" s="3499"/>
      <c r="C100" s="2825" t="s">
        <v>2705</v>
      </c>
      <c r="D100" s="2825" t="s">
        <v>2706</v>
      </c>
      <c r="E100" s="2851">
        <v>0.1</v>
      </c>
      <c r="F100" s="2851">
        <v>15</v>
      </c>
    </row>
    <row r="101" spans="1:6" ht="13.5">
      <c r="A101" s="2851">
        <v>29</v>
      </c>
      <c r="B101" s="3499"/>
      <c r="C101" s="2825" t="s">
        <v>2707</v>
      </c>
      <c r="D101" s="2825" t="s">
        <v>2708</v>
      </c>
      <c r="E101" s="2851">
        <v>0.1</v>
      </c>
      <c r="F101" s="2851">
        <v>15</v>
      </c>
    </row>
    <row r="102" spans="1:6" ht="13.5">
      <c r="A102" s="2851">
        <v>30</v>
      </c>
      <c r="B102" s="3499"/>
      <c r="C102" s="2825" t="s">
        <v>2709</v>
      </c>
      <c r="D102" s="2825" t="s">
        <v>2710</v>
      </c>
      <c r="E102" s="2851">
        <v>0.1</v>
      </c>
      <c r="F102" s="2851">
        <v>15</v>
      </c>
    </row>
    <row r="103" spans="1:6" ht="24">
      <c r="A103" s="2851">
        <v>31</v>
      </c>
      <c r="B103" s="3499"/>
      <c r="C103" s="2825" t="s">
        <v>2711</v>
      </c>
      <c r="D103" s="2825" t="s">
        <v>2712</v>
      </c>
      <c r="E103" s="2851">
        <v>0.1</v>
      </c>
      <c r="F103" s="2851">
        <v>15</v>
      </c>
    </row>
    <row r="104" spans="1:6" ht="24">
      <c r="A104" s="2851">
        <v>32</v>
      </c>
      <c r="B104" s="3499"/>
      <c r="C104" s="2825" t="s">
        <v>2713</v>
      </c>
      <c r="D104" s="2825" t="s">
        <v>2714</v>
      </c>
      <c r="E104" s="2851">
        <v>0.1</v>
      </c>
      <c r="F104" s="2851">
        <v>15</v>
      </c>
    </row>
    <row r="105" spans="1:6" ht="24">
      <c r="A105" s="2851">
        <v>33</v>
      </c>
      <c r="B105" s="3499"/>
      <c r="C105" s="2825" t="s">
        <v>2715</v>
      </c>
      <c r="D105" s="2825" t="s">
        <v>2716</v>
      </c>
      <c r="E105" s="2851">
        <v>0.1</v>
      </c>
      <c r="F105" s="2851">
        <v>15</v>
      </c>
    </row>
    <row r="106" spans="1:6" ht="24">
      <c r="A106" s="2851">
        <v>34</v>
      </c>
      <c r="B106" s="3508"/>
      <c r="C106" s="2825" t="s">
        <v>2717</v>
      </c>
      <c r="D106" s="2825" t="s">
        <v>2718</v>
      </c>
      <c r="E106" s="2851">
        <v>0.1</v>
      </c>
      <c r="F106" s="2851">
        <v>15</v>
      </c>
    </row>
    <row r="107" spans="1:6" ht="24">
      <c r="A107" s="2851">
        <v>35</v>
      </c>
      <c r="B107" s="3504" t="s">
        <v>2719</v>
      </c>
      <c r="C107" s="2851" t="s">
        <v>2720</v>
      </c>
      <c r="D107" s="2825" t="s">
        <v>2721</v>
      </c>
      <c r="E107" s="2851">
        <v>0.15</v>
      </c>
      <c r="F107" s="2851">
        <v>20</v>
      </c>
    </row>
    <row r="108" spans="1:6" ht="13.5">
      <c r="A108" s="2851">
        <v>36</v>
      </c>
      <c r="B108" s="3499"/>
      <c r="C108" s="2851" t="s">
        <v>2722</v>
      </c>
      <c r="D108" s="2825" t="s">
        <v>2723</v>
      </c>
      <c r="E108" s="2851">
        <v>0.15</v>
      </c>
      <c r="F108" s="2851">
        <v>20</v>
      </c>
    </row>
    <row r="109" spans="1:6" ht="13.5">
      <c r="A109" s="2851">
        <v>37</v>
      </c>
      <c r="B109" s="3499"/>
      <c r="C109" s="2851" t="s">
        <v>2724</v>
      </c>
      <c r="D109" s="2825" t="s">
        <v>2725</v>
      </c>
      <c r="E109" s="2851">
        <v>0.15</v>
      </c>
      <c r="F109" s="2851">
        <v>20</v>
      </c>
    </row>
    <row r="110" spans="1:6" ht="13.5">
      <c r="A110" s="2851">
        <v>38</v>
      </c>
      <c r="B110" s="3499"/>
      <c r="C110" s="2851" t="s">
        <v>2726</v>
      </c>
      <c r="D110" s="2825" t="s">
        <v>2727</v>
      </c>
      <c r="E110" s="2851">
        <v>0.1</v>
      </c>
      <c r="F110" s="2851">
        <v>15</v>
      </c>
    </row>
    <row r="111" spans="1:6" ht="24">
      <c r="A111" s="2851">
        <v>39</v>
      </c>
      <c r="B111" s="3499"/>
      <c r="C111" s="2851" t="s">
        <v>2728</v>
      </c>
      <c r="D111" s="2825" t="s">
        <v>2729</v>
      </c>
      <c r="E111" s="2851">
        <v>0.1</v>
      </c>
      <c r="F111" s="2851">
        <v>15</v>
      </c>
    </row>
    <row r="112" spans="1:6" ht="24">
      <c r="A112" s="2851">
        <v>40</v>
      </c>
      <c r="B112" s="3508"/>
      <c r="C112" s="2851" t="s">
        <v>2730</v>
      </c>
      <c r="D112" s="2825" t="s">
        <v>2731</v>
      </c>
      <c r="E112" s="2851">
        <v>0.1</v>
      </c>
      <c r="F112" s="2851">
        <v>15</v>
      </c>
    </row>
    <row r="113" spans="1:6" ht="13.5">
      <c r="A113" s="2851">
        <v>41</v>
      </c>
      <c r="B113" s="3509" t="s">
        <v>2732</v>
      </c>
      <c r="C113" s="2851" t="s">
        <v>2733</v>
      </c>
      <c r="D113" s="2825" t="s">
        <v>2734</v>
      </c>
      <c r="E113" s="2851">
        <v>0.1</v>
      </c>
      <c r="F113" s="2851">
        <v>15</v>
      </c>
    </row>
    <row r="114" spans="1:6" ht="13.5">
      <c r="A114" s="2851">
        <v>42</v>
      </c>
      <c r="B114" s="3509"/>
      <c r="C114" s="2851" t="s">
        <v>2735</v>
      </c>
      <c r="D114" s="2825" t="s">
        <v>2736</v>
      </c>
      <c r="E114" s="2851">
        <v>0.1</v>
      </c>
      <c r="F114" s="2851">
        <v>15</v>
      </c>
    </row>
    <row r="115" spans="1:6" ht="24">
      <c r="A115" s="2851">
        <v>43</v>
      </c>
      <c r="B115" s="3509"/>
      <c r="C115" s="2851" t="s">
        <v>2737</v>
      </c>
      <c r="D115" s="2825" t="s">
        <v>2738</v>
      </c>
      <c r="E115" s="2851">
        <v>0.1</v>
      </c>
      <c r="F115" s="2851">
        <v>15</v>
      </c>
    </row>
    <row r="116" spans="1:6" ht="13.5">
      <c r="A116" s="2851">
        <v>44</v>
      </c>
      <c r="B116" s="3504" t="s">
        <v>2739</v>
      </c>
      <c r="C116" s="2851" t="s">
        <v>2740</v>
      </c>
      <c r="D116" s="2825" t="s">
        <v>2741</v>
      </c>
      <c r="E116" s="2851">
        <v>0.1</v>
      </c>
      <c r="F116" s="2851">
        <v>15</v>
      </c>
    </row>
    <row r="117" spans="1:6" ht="24">
      <c r="A117" s="2851">
        <v>45</v>
      </c>
      <c r="B117" s="3508"/>
      <c r="C117" s="2825" t="s">
        <v>2742</v>
      </c>
      <c r="D117" s="2825" t="s">
        <v>2743</v>
      </c>
      <c r="E117" s="2851">
        <v>0.1</v>
      </c>
      <c r="F117" s="2851">
        <v>15</v>
      </c>
    </row>
    <row r="118" spans="1:6" ht="24">
      <c r="A118" s="2851">
        <v>46</v>
      </c>
      <c r="B118" s="3504" t="s">
        <v>2744</v>
      </c>
      <c r="C118" s="2851" t="s">
        <v>2745</v>
      </c>
      <c r="D118" s="2825" t="s">
        <v>2746</v>
      </c>
      <c r="E118" s="2851">
        <v>0.1</v>
      </c>
      <c r="F118" s="2851">
        <v>15</v>
      </c>
    </row>
    <row r="119" spans="1:6" ht="24">
      <c r="A119" s="2851">
        <v>47</v>
      </c>
      <c r="B119" s="3508"/>
      <c r="C119" s="2851" t="s">
        <v>2747</v>
      </c>
      <c r="D119" s="2825" t="s">
        <v>2748</v>
      </c>
      <c r="E119" s="2851">
        <v>0.1</v>
      </c>
      <c r="F119" s="2851">
        <v>15</v>
      </c>
    </row>
    <row r="120" spans="1:6" ht="13.5">
      <c r="A120" s="2851">
        <v>48</v>
      </c>
      <c r="B120" s="3504" t="s">
        <v>2749</v>
      </c>
      <c r="C120" s="2851" t="s">
        <v>2750</v>
      </c>
      <c r="D120" s="2825" t="s">
        <v>2751</v>
      </c>
      <c r="E120" s="2851">
        <v>0.1</v>
      </c>
      <c r="F120" s="2851">
        <v>15</v>
      </c>
    </row>
    <row r="121" spans="1:6" ht="13.5">
      <c r="A121" s="2851">
        <v>49</v>
      </c>
      <c r="B121" s="3508"/>
      <c r="C121" s="2851" t="s">
        <v>2752</v>
      </c>
      <c r="D121" s="2825" t="s">
        <v>2753</v>
      </c>
      <c r="E121" s="2851">
        <v>0.1</v>
      </c>
      <c r="F121" s="2851">
        <v>15</v>
      </c>
    </row>
    <row r="122" spans="1:6" ht="24">
      <c r="A122" s="2851">
        <v>50</v>
      </c>
      <c r="B122" s="3509" t="s">
        <v>2754</v>
      </c>
      <c r="C122" s="2851" t="s">
        <v>2755</v>
      </c>
      <c r="D122" s="2825" t="s">
        <v>2756</v>
      </c>
      <c r="E122" s="2851">
        <v>0.1</v>
      </c>
      <c r="F122" s="2851">
        <v>15</v>
      </c>
    </row>
    <row r="123" spans="1:6" ht="24">
      <c r="A123" s="2851">
        <v>51</v>
      </c>
      <c r="B123" s="3509"/>
      <c r="C123" s="2851" t="s">
        <v>2757</v>
      </c>
      <c r="D123" s="2825" t="s">
        <v>2758</v>
      </c>
      <c r="E123" s="2851">
        <v>0.1</v>
      </c>
      <c r="F123" s="2851">
        <v>15</v>
      </c>
    </row>
    <row r="124" spans="1:6" ht="24">
      <c r="A124" s="2851">
        <v>52</v>
      </c>
      <c r="B124" s="3509" t="s">
        <v>2759</v>
      </c>
      <c r="C124" s="2851" t="s">
        <v>2760</v>
      </c>
      <c r="D124" s="2825" t="s">
        <v>2761</v>
      </c>
      <c r="E124" s="2851">
        <v>0.1</v>
      </c>
      <c r="F124" s="2851">
        <v>15</v>
      </c>
    </row>
    <row r="125" spans="1:6" ht="24">
      <c r="A125" s="2851">
        <v>53</v>
      </c>
      <c r="B125" s="3509"/>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509" t="s">
        <v>2767</v>
      </c>
      <c r="C127" s="2851" t="s">
        <v>2768</v>
      </c>
      <c r="D127" s="2825" t="s">
        <v>2769</v>
      </c>
      <c r="E127" s="2851">
        <v>0.1</v>
      </c>
      <c r="F127" s="2851">
        <v>15</v>
      </c>
    </row>
    <row r="128" spans="1:6" ht="13.5">
      <c r="A128" s="2851">
        <v>56</v>
      </c>
      <c r="B128" s="3509"/>
      <c r="C128" s="2851" t="s">
        <v>2770</v>
      </c>
      <c r="D128" s="2825" t="s">
        <v>2771</v>
      </c>
      <c r="E128" s="2851">
        <v>0.1</v>
      </c>
      <c r="F128" s="2851">
        <v>15</v>
      </c>
    </row>
    <row r="129" spans="1:6" ht="24">
      <c r="A129" s="2851">
        <v>57</v>
      </c>
      <c r="B129" s="3509"/>
      <c r="C129" s="2851" t="s">
        <v>2772</v>
      </c>
      <c r="D129" s="2825" t="s">
        <v>2773</v>
      </c>
      <c r="E129" s="2851">
        <v>0.1</v>
      </c>
      <c r="F129" s="2851">
        <v>15</v>
      </c>
    </row>
    <row r="130" spans="1:6" ht="24">
      <c r="A130" s="2851">
        <v>58</v>
      </c>
      <c r="B130" s="3509" t="s">
        <v>2774</v>
      </c>
      <c r="C130" s="2851" t="s">
        <v>2775</v>
      </c>
      <c r="D130" s="2825" t="s">
        <v>2776</v>
      </c>
      <c r="E130" s="2851">
        <v>0.1</v>
      </c>
      <c r="F130" s="2851">
        <v>15</v>
      </c>
    </row>
    <row r="131" spans="1:6" ht="13.5">
      <c r="A131" s="2851">
        <v>59</v>
      </c>
      <c r="B131" s="3509"/>
      <c r="C131" s="2851" t="s">
        <v>2777</v>
      </c>
      <c r="D131" s="2825" t="s">
        <v>2778</v>
      </c>
      <c r="E131" s="2851">
        <v>0.1</v>
      </c>
      <c r="F131" s="2851">
        <v>15</v>
      </c>
    </row>
    <row r="132" spans="1:6" ht="13.5">
      <c r="A132" s="2851">
        <v>60</v>
      </c>
      <c r="B132" s="3504" t="s">
        <v>2779</v>
      </c>
      <c r="C132" s="2851" t="s">
        <v>2780</v>
      </c>
      <c r="D132" s="2825" t="s">
        <v>2781</v>
      </c>
      <c r="E132" s="2851">
        <v>0.1</v>
      </c>
      <c r="F132" s="2851">
        <v>15</v>
      </c>
    </row>
    <row r="133" spans="1:6" ht="13.5">
      <c r="A133" s="2851">
        <v>61</v>
      </c>
      <c r="B133" s="3508"/>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509" t="s">
        <v>2787</v>
      </c>
      <c r="C135" s="2851" t="s">
        <v>2788</v>
      </c>
      <c r="D135" s="2825" t="s">
        <v>2789</v>
      </c>
      <c r="E135" s="2851">
        <v>0.1</v>
      </c>
      <c r="F135" s="2851">
        <v>15</v>
      </c>
    </row>
    <row r="136" spans="1:6" ht="13.5">
      <c r="A136" s="2851">
        <v>64</v>
      </c>
      <c r="B136" s="3509"/>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29594</v>
      </c>
      <c r="C2" s="2" t="s">
        <v>106</v>
      </c>
      <c r="D2" s="190"/>
      <c r="E2" s="190"/>
      <c r="F2" s="190"/>
      <c r="G2" s="190"/>
    </row>
    <row r="3" spans="1:7" s="191" customFormat="1" ht="18" customHeight="1" thickBot="1">
      <c r="A3" s="194" t="s">
        <v>58</v>
      </c>
      <c r="B3" s="195">
        <f ca="1">ROUND(B2*10000/'数据-汇总表'!E3,0)</f>
        <v>5928285</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1</v>
      </c>
      <c r="D9" s="794">
        <f>'数据-汇总表'!E5</f>
        <v>49.92</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1</v>
      </c>
      <c r="D19" s="203">
        <f>'数据-汇总表'!E3</f>
        <v>49.92</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4205</v>
      </c>
      <c r="D27" s="226">
        <f>C29</f>
        <v>4.0000000000000001E-3</v>
      </c>
      <c r="E27" s="227" t="s">
        <v>99</v>
      </c>
      <c r="F27" s="237">
        <f>'数据-取费表'!Q16</f>
        <v>0.2</v>
      </c>
      <c r="G27" s="238" t="s">
        <v>431</v>
      </c>
    </row>
    <row r="28" spans="1:7" s="205" customFormat="1" ht="13.5" customHeight="1">
      <c r="A28" s="733" t="s">
        <v>349</v>
      </c>
      <c r="B28" s="239" t="s">
        <v>424</v>
      </c>
      <c r="C28" s="240">
        <f>ROUND((C5+C19+C20)*F27*'数据-取费表'!B21/'数据-取费表'!B20,0)</f>
        <v>4205</v>
      </c>
      <c r="D28" s="226"/>
      <c r="E28" s="227"/>
      <c r="F28" s="237"/>
      <c r="G28" s="238"/>
    </row>
    <row r="29" spans="1:7" s="205" customFormat="1" ht="13.5" customHeight="1">
      <c r="A29" s="733" t="s">
        <v>347</v>
      </c>
      <c r="B29" s="239" t="s">
        <v>425</v>
      </c>
      <c r="C29" s="229">
        <f>ROUND(C21*F27*'数据-取费表'!B21/'数据-取费表'!B20,4)</f>
        <v>4.0000000000000001E-3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29568</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20</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17</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1</v>
      </c>
      <c r="D36" s="211"/>
      <c r="E36" s="211"/>
      <c r="F36" s="250">
        <f>'数据-取费表'!B34</f>
        <v>0.05</v>
      </c>
      <c r="G36" s="251" t="s">
        <v>35</v>
      </c>
    </row>
    <row r="37" spans="1:7" s="249" customFormat="1" ht="13.5" customHeight="1">
      <c r="A37" s="733" t="s">
        <v>353</v>
      </c>
      <c r="B37" s="206" t="s">
        <v>91</v>
      </c>
      <c r="C37" s="240">
        <f>ROUND(E37*D37*F34/10000,0)</f>
        <v>1</v>
      </c>
      <c r="D37" s="208">
        <f>'数据-汇总表'!E3</f>
        <v>49.92</v>
      </c>
      <c r="E37" s="240">
        <f>'数据-取费表'!B35</f>
        <v>200</v>
      </c>
      <c r="F37" s="250"/>
      <c r="G37" s="252" t="s">
        <v>92</v>
      </c>
    </row>
    <row r="38" spans="1:7" ht="13.5" customHeight="1">
      <c r="A38" s="733" t="s">
        <v>354</v>
      </c>
      <c r="B38" s="206" t="s">
        <v>36</v>
      </c>
      <c r="C38" s="211">
        <f>ROUND(C34*F38,0)</f>
        <v>0</v>
      </c>
      <c r="D38" s="211"/>
      <c r="E38" s="211"/>
      <c r="F38" s="250">
        <f>'数据-取费表'!B36</f>
        <v>1.4999999999999999E-2</v>
      </c>
      <c r="G38" s="210" t="s">
        <v>90</v>
      </c>
    </row>
    <row r="39" spans="1:7" s="205" customFormat="1" ht="13.5" customHeight="1">
      <c r="A39" s="730" t="s">
        <v>338</v>
      </c>
      <c r="B39" s="201" t="s">
        <v>77</v>
      </c>
      <c r="C39" s="223">
        <f>ROUND(C33*F20,0)</f>
        <v>0</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1</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v>
      </c>
      <c r="D42" s="229"/>
      <c r="E42" s="229"/>
      <c r="F42" s="230"/>
      <c r="G42" s="3373" t="s">
        <v>94</v>
      </c>
    </row>
    <row r="43" spans="1:7" ht="13.5" customHeight="1">
      <c r="A43" s="733" t="s">
        <v>347</v>
      </c>
      <c r="B43" s="206" t="s">
        <v>426</v>
      </c>
      <c r="C43" s="229">
        <f ca="1">ROUND(IF('数据-取费表'!B22&lt;=1,C39*F22*'数据-取费表'!B21/2,C39*(POWER((1+F22),'数据-取费表'!B21/2)-1)),0)</f>
        <v>0</v>
      </c>
      <c r="D43" s="229"/>
      <c r="E43" s="229"/>
      <c r="F43" s="230"/>
      <c r="G43" s="3374"/>
    </row>
    <row r="44" spans="1:7" ht="13.5" customHeight="1">
      <c r="A44" s="733" t="s">
        <v>348</v>
      </c>
      <c r="B44" s="206" t="s">
        <v>428</v>
      </c>
      <c r="C44" s="229">
        <f ca="1">ROUND(IF('数据-取费表'!B22&lt;=1,C40*F22*'数据-取费表'!B21/2,C40*(POWER((1+F22),'数据-取费表'!B21/2)-1)),4)</f>
        <v>1E-3</v>
      </c>
      <c r="D44" s="229"/>
      <c r="E44" s="229"/>
      <c r="F44" s="230"/>
      <c r="G44" s="3375"/>
    </row>
    <row r="45" spans="1:7" s="205" customFormat="1" ht="13.5" customHeight="1">
      <c r="A45" s="730" t="s">
        <v>341</v>
      </c>
      <c r="B45" s="235" t="s">
        <v>85</v>
      </c>
      <c r="C45" s="236">
        <f>C46</f>
        <v>4</v>
      </c>
      <c r="D45" s="226">
        <f>C47</f>
        <v>4.0000000000000001E-3</v>
      </c>
      <c r="E45" s="227" t="s">
        <v>102</v>
      </c>
      <c r="F45" s="237"/>
      <c r="G45" s="238" t="s">
        <v>434</v>
      </c>
    </row>
    <row r="46" spans="1:7" s="205" customFormat="1" ht="13.5" customHeight="1">
      <c r="A46" s="733" t="s">
        <v>349</v>
      </c>
      <c r="B46" s="239" t="s">
        <v>427</v>
      </c>
      <c r="C46" s="240">
        <f>ROUND((C33+C39)*F27,0)</f>
        <v>4</v>
      </c>
      <c r="D46" s="254"/>
      <c r="E46" s="227"/>
      <c r="F46" s="237"/>
      <c r="G46" s="238"/>
    </row>
    <row r="47" spans="1:7" s="205" customFormat="1" ht="13.5" customHeight="1">
      <c r="A47" s="733" t="s">
        <v>347</v>
      </c>
      <c r="B47" s="239" t="s">
        <v>429</v>
      </c>
      <c r="C47" s="229">
        <f>ROUND(C40*F27,4)</f>
        <v>4.0000000000000001E-3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27</v>
      </c>
      <c r="D49" s="223"/>
      <c r="E49" s="223"/>
      <c r="F49" s="255"/>
      <c r="G49" s="225" t="s">
        <v>435</v>
      </c>
    </row>
    <row r="50" spans="1:7" s="249" customFormat="1" ht="24">
      <c r="A50" s="730" t="s">
        <v>344</v>
      </c>
      <c r="B50" s="201" t="s">
        <v>97</v>
      </c>
      <c r="C50" s="223"/>
      <c r="D50" s="223"/>
      <c r="E50" s="223"/>
      <c r="F50" s="255">
        <f>IF('数据-取费表'!B24=0,'数据-取费表'!N16,1)</f>
        <v>0.95</v>
      </c>
      <c r="G50" s="238" t="s">
        <v>98</v>
      </c>
    </row>
    <row r="51" spans="1:7" ht="16.5" customHeight="1">
      <c r="A51" s="730" t="s">
        <v>345</v>
      </c>
      <c r="B51" s="201" t="s">
        <v>105</v>
      </c>
      <c r="C51" s="223">
        <f ca="1">ROUND(C49*F50,0)</f>
        <v>26</v>
      </c>
      <c r="D51" s="223"/>
      <c r="E51" s="223"/>
      <c r="F51" s="255"/>
      <c r="G51" s="225" t="s">
        <v>37</v>
      </c>
    </row>
    <row r="52" spans="1:7" s="199" customFormat="1" ht="16.5" thickBot="1">
      <c r="A52" s="256" t="s">
        <v>38</v>
      </c>
      <c r="B52" s="257"/>
      <c r="C52" s="258">
        <f ca="1">C31+C51</f>
        <v>29594</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2" t="s">
        <v>2839</v>
      </c>
      <c r="B1" s="3512"/>
      <c r="C1" s="3512"/>
      <c r="D1" s="3512"/>
      <c r="E1" s="3512"/>
      <c r="F1" s="3512"/>
      <c r="G1" s="3513"/>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0"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1"/>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4" t="s">
        <v>3181</v>
      </c>
      <c r="B1" s="3514"/>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15" t="s">
        <v>3232</v>
      </c>
      <c r="B1" s="3515"/>
      <c r="C1" s="3515"/>
      <c r="D1" s="3515"/>
      <c r="E1" s="3515"/>
      <c r="F1" s="3516"/>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45583</v>
      </c>
      <c r="B1" s="2923" t="s">
        <v>2838</v>
      </c>
      <c r="C1" s="2924"/>
      <c r="D1" s="2924"/>
      <c r="E1" s="2924"/>
      <c r="F1" s="2924"/>
      <c r="G1" s="2924"/>
      <c r="H1" s="2924"/>
      <c r="I1" s="2924"/>
      <c r="J1" s="2890"/>
      <c r="K1" s="2924" t="s">
        <v>454</v>
      </c>
      <c r="L1" s="2924"/>
      <c r="M1" s="2924"/>
      <c r="N1" s="2924"/>
      <c r="O1" s="2924"/>
      <c r="P1" s="2924"/>
      <c r="Q1" s="2890"/>
      <c r="R1" s="3517" t="s">
        <v>456</v>
      </c>
      <c r="S1" s="3518"/>
      <c r="T1" s="3518"/>
      <c r="U1" s="3518"/>
      <c r="V1" s="3518"/>
      <c r="W1" s="3518"/>
      <c r="X1" s="2890"/>
      <c r="Y1" s="3517" t="s">
        <v>457</v>
      </c>
      <c r="Z1" s="3518"/>
      <c r="AA1" s="3518"/>
      <c r="AB1" s="3518"/>
      <c r="AC1" s="3518"/>
      <c r="AD1" s="3518"/>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17" t="s">
        <v>2826</v>
      </c>
      <c r="S21" s="3518"/>
      <c r="T21" s="3518"/>
      <c r="U21" s="3518"/>
      <c r="V21" s="3518"/>
      <c r="W21" s="3518"/>
      <c r="X21" s="2890"/>
      <c r="Y21" s="3517" t="s">
        <v>2827</v>
      </c>
      <c r="Z21" s="3518"/>
      <c r="AA21" s="3518"/>
      <c r="AB21" s="3518"/>
      <c r="AC21" s="3518"/>
      <c r="AD21" s="3518"/>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2" t="s">
        <v>452</v>
      </c>
      <c r="C1" s="3522"/>
      <c r="D1" s="3522"/>
      <c r="E1" s="3522"/>
      <c r="F1" s="3522"/>
      <c r="G1" s="3518" t="s">
        <v>453</v>
      </c>
      <c r="H1" s="3518"/>
      <c r="I1" s="3518"/>
      <c r="J1" s="3518"/>
      <c r="K1" s="3518"/>
      <c r="L1" s="3518"/>
      <c r="N1" s="3518" t="s">
        <v>454</v>
      </c>
      <c r="O1" s="3518"/>
      <c r="P1" s="3518"/>
      <c r="Q1" s="3518"/>
      <c r="S1" s="3518" t="s">
        <v>455</v>
      </c>
      <c r="T1" s="3518"/>
      <c r="U1" s="3518"/>
      <c r="V1" s="3518"/>
      <c r="X1" s="3517" t="s">
        <v>456</v>
      </c>
      <c r="Y1" s="3518"/>
      <c r="Z1" s="3518"/>
      <c r="AA1" s="3518"/>
      <c r="AB1" s="3518"/>
      <c r="AD1" s="3517" t="s">
        <v>457</v>
      </c>
      <c r="AE1" s="3518"/>
      <c r="AF1" s="3518"/>
      <c r="AG1" s="3518"/>
      <c r="AH1" s="3518"/>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0">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0"/>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0"/>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7"/>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3">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0"/>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0"/>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7"/>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3">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0"/>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0"/>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1"/>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9">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0"/>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0"/>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1"/>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9">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0"/>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0"/>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1"/>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4">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5"/>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5"/>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6"/>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9">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0"/>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0"/>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1"/>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9">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0">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0">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1">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9">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0">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0">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1">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9">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0">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0">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1">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9">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0">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0">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1">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9">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0">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0">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1">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9">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0">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0">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1">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9">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0">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0">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1">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9">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0">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0">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1">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9">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0">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0">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1">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9">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0">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0">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1">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2024-10-28T10:19:40Z</dcterms:modified>
</cp:coreProperties>
</file>