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7" i="9" l="1"/>
  <c r="I4" i="80"/>
  <c r="K42" i="33"/>
  <c r="D123" i="33"/>
  <c r="E123" i="33"/>
  <c r="F123" i="33"/>
  <c r="F42" i="33"/>
  <c r="AA42" i="33"/>
  <c r="R48" i="33"/>
  <c r="H42" i="33"/>
  <c r="AB42" i="33"/>
  <c r="T48" i="33"/>
  <c r="J42" i="33"/>
  <c r="AC42" i="33"/>
  <c r="V48" i="33"/>
  <c r="R49" i="33"/>
  <c r="C49" i="33"/>
  <c r="I2" i="80"/>
  <c r="I3" i="80"/>
  <c r="I5" i="80"/>
  <c r="U7" i="1"/>
  <c r="F43" i="34"/>
  <c r="AA43" i="34"/>
  <c r="R49" i="34"/>
  <c r="D124" i="34"/>
  <c r="H43" i="34"/>
  <c r="AB43" i="34"/>
  <c r="T49" i="34"/>
  <c r="J43" i="34"/>
  <c r="AC43" i="34"/>
  <c r="V49" i="34"/>
  <c r="R50" i="34"/>
  <c r="C50" i="34"/>
  <c r="U6" i="1"/>
  <c r="I37" i="34"/>
  <c r="G37" i="34"/>
  <c r="E37" i="34"/>
  <c r="E5" i="39"/>
  <c r="D5" i="73"/>
  <c r="G1" i="73"/>
  <c r="B40" i="1"/>
  <c r="F22" i="68"/>
  <c r="F32" i="39"/>
  <c r="AA32" i="39"/>
  <c r="F29" i="39"/>
  <c r="AA29" i="39"/>
  <c r="R47" i="39"/>
  <c r="H29" i="39"/>
  <c r="AB29" i="39"/>
  <c r="T47" i="39"/>
  <c r="J29" i="39"/>
  <c r="AC29"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F20" i="68"/>
  <c r="C20" i="68"/>
  <c r="C25" i="68"/>
  <c r="C22" i="68"/>
  <c r="Q16" i="1"/>
  <c r="F27" i="68"/>
  <c r="C28" i="68"/>
  <c r="C27" i="68"/>
  <c r="C26" i="68"/>
  <c r="D22" i="68"/>
  <c r="C29" i="68"/>
  <c r="D27" i="68"/>
  <c r="C31" i="68"/>
  <c r="F34" i="68"/>
  <c r="C34" i="68"/>
  <c r="F35"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F15" i="15"/>
  <c r="C15" i="15"/>
  <c r="F16" i="15"/>
  <c r="C16" i="15"/>
  <c r="F43" i="15"/>
  <c r="C17" i="15"/>
  <c r="C18" i="15"/>
  <c r="C19" i="15"/>
  <c r="F20"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F15" i="78"/>
  <c r="C15" i="78"/>
  <c r="F16" i="78"/>
  <c r="C16" i="78"/>
  <c r="F43" i="78"/>
  <c r="C17" i="78"/>
  <c r="C18" i="78"/>
  <c r="C19" i="78"/>
  <c r="F20" i="78"/>
  <c r="C20" i="78"/>
  <c r="F24" i="78"/>
  <c r="C23" i="78"/>
  <c r="F26" i="78"/>
  <c r="C26" i="78"/>
  <c r="C24" i="78"/>
  <c r="C27" i="78"/>
  <c r="C29" i="78"/>
  <c r="AK7" i="1"/>
  <c r="F36" i="78"/>
  <c r="C36" i="78"/>
  <c r="F13" i="78"/>
  <c r="C13" i="78"/>
  <c r="AL7" i="1"/>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F6" i="79"/>
  <c r="F8" i="79"/>
  <c r="F7" i="79"/>
  <c r="F9" i="79"/>
  <c r="C6" i="79"/>
  <c r="F11" i="79"/>
  <c r="C10" i="79"/>
  <c r="C5" i="79"/>
  <c r="C32" i="79"/>
  <c r="C33" i="79"/>
  <c r="R8" i="1"/>
  <c r="F35" i="79"/>
  <c r="C34" i="79"/>
  <c r="C31" i="79"/>
  <c r="C14" i="79"/>
  <c r="F15" i="79"/>
  <c r="C15" i="79"/>
  <c r="F16" i="79"/>
  <c r="C16" i="79"/>
  <c r="F43" i="79"/>
  <c r="C17" i="79"/>
  <c r="C18" i="79"/>
  <c r="C19" i="79"/>
  <c r="F20" i="79"/>
  <c r="C20" i="79"/>
  <c r="F24" i="79"/>
  <c r="C23" i="79"/>
  <c r="F26" i="79"/>
  <c r="C26" i="79"/>
  <c r="C24" i="79"/>
  <c r="C27" i="79"/>
  <c r="C29" i="79"/>
  <c r="AK8" i="1"/>
  <c r="F36" i="79"/>
  <c r="C36" i="79"/>
  <c r="F13" i="79"/>
  <c r="C13" i="79"/>
  <c r="AL8" i="1"/>
  <c r="F37" i="79"/>
  <c r="C37" i="79"/>
  <c r="F38" i="79"/>
  <c r="C38" i="79"/>
  <c r="C30" i="79"/>
  <c r="C39" i="79"/>
  <c r="F42" i="79"/>
  <c r="F40" i="79"/>
  <c r="L48" i="79"/>
  <c r="J53" i="79"/>
  <c r="F1" i="79"/>
  <c r="AE8" i="1"/>
  <c r="F41" i="79"/>
  <c r="C40" i="79"/>
  <c r="M6" i="79"/>
  <c r="M8" i="79"/>
  <c r="M7" i="79"/>
  <c r="M9" i="79"/>
  <c r="J6" i="79"/>
  <c r="M11" i="79"/>
  <c r="J10" i="79"/>
  <c r="J5" i="79"/>
  <c r="J26" i="79"/>
  <c r="J29" i="79"/>
  <c r="J57" i="79"/>
  <c r="J55" i="79"/>
  <c r="J58" i="79"/>
  <c r="J59" i="79"/>
  <c r="J60" i="79"/>
  <c r="L46" i="79"/>
  <c r="B2" i="79"/>
  <c r="AO8" i="1"/>
  <c r="B8" i="70"/>
  <c r="B2" i="70"/>
  <c r="D19" i="9"/>
  <c r="D22" i="9"/>
  <c r="F21" i="68"/>
  <c r="C21" i="68"/>
  <c r="C40" i="68"/>
  <c r="F21" i="15"/>
  <c r="F21" i="78"/>
  <c r="F21" i="79"/>
  <c r="AB40" i="1"/>
  <c r="E71" i="39"/>
  <c r="F71" i="39"/>
  <c r="G71" i="39"/>
  <c r="H71" i="39"/>
  <c r="I71" i="39"/>
  <c r="J71" i="39"/>
  <c r="K71" i="39"/>
  <c r="L71" i="39"/>
  <c r="M71" i="39"/>
  <c r="N71" i="39"/>
  <c r="O71" i="39"/>
  <c r="D71" i="39"/>
  <c r="O17" i="3"/>
  <c r="AN17" i="3"/>
  <c r="K25" i="34"/>
  <c r="AM8" i="1"/>
  <c r="AM7" i="1"/>
  <c r="N6" i="1"/>
  <c r="C38" i="39"/>
  <c r="D68" i="33"/>
  <c r="E68" i="33"/>
  <c r="F68" i="33"/>
  <c r="G68" i="33"/>
  <c r="H68" i="33"/>
  <c r="C68" i="33"/>
  <c r="I36" i="33"/>
  <c r="J103" i="33"/>
  <c r="K103" i="33"/>
  <c r="K104" i="33"/>
  <c r="D107" i="33"/>
  <c r="E107" i="33"/>
  <c r="F107" i="33"/>
  <c r="G107" i="33"/>
  <c r="D112" i="33"/>
  <c r="E112" i="33"/>
  <c r="F112" i="33"/>
  <c r="G112" i="33"/>
  <c r="D119" i="33"/>
  <c r="E119" i="33"/>
  <c r="F119" i="33"/>
  <c r="G119" i="33"/>
  <c r="H119" i="33"/>
  <c r="C116" i="33"/>
  <c r="C112" i="33"/>
  <c r="C107" i="33"/>
  <c r="C105" i="33"/>
  <c r="K10" i="33"/>
  <c r="K11" i="33"/>
  <c r="K32" i="33"/>
  <c r="K34" i="33"/>
  <c r="K35" i="33"/>
  <c r="K36" i="33"/>
  <c r="K39" i="33"/>
  <c r="K43" i="33"/>
  <c r="D122" i="33"/>
  <c r="E122" i="33"/>
  <c r="F122" i="33"/>
  <c r="G122" i="33"/>
  <c r="C122" i="33"/>
  <c r="G11" i="33"/>
  <c r="E11" i="33"/>
  <c r="C11" i="33"/>
  <c r="E5" i="33"/>
  <c r="K40" i="34"/>
  <c r="K37" i="33"/>
  <c r="D104" i="34"/>
  <c r="D103" i="33"/>
  <c r="E104" i="34"/>
  <c r="E103" i="33"/>
  <c r="F104" i="34"/>
  <c r="F103" i="33"/>
  <c r="G104" i="34"/>
  <c r="G103" i="33"/>
  <c r="H104" i="34"/>
  <c r="H103" i="33"/>
  <c r="I104" i="34"/>
  <c r="I103" i="33"/>
  <c r="C104" i="34"/>
  <c r="C103" i="33"/>
  <c r="C105" i="34"/>
  <c r="C104" i="33"/>
  <c r="E36" i="33"/>
  <c r="G36" i="33"/>
  <c r="K15" i="34"/>
  <c r="K15" i="33"/>
  <c r="K17" i="34"/>
  <c r="K17" i="33"/>
  <c r="K19" i="34"/>
  <c r="K19" i="33"/>
  <c r="K21" i="34"/>
  <c r="K21" i="33"/>
  <c r="K23" i="34"/>
  <c r="K23" i="33"/>
  <c r="C25" i="34"/>
  <c r="G3" i="80"/>
  <c r="A16" i="80"/>
  <c r="A12" i="80"/>
  <c r="A8" i="80"/>
  <c r="A4" i="80"/>
  <c r="A15" i="80"/>
  <c r="A11" i="80"/>
  <c r="A7" i="80"/>
  <c r="A3" i="80"/>
  <c r="Q72" i="79"/>
  <c r="Q59" i="79"/>
  <c r="K59" i="79"/>
  <c r="P61" i="79"/>
  <c r="F59" i="79"/>
  <c r="Q58" i="79"/>
  <c r="J52" i="79"/>
  <c r="Q51" i="79"/>
  <c r="J50" i="79"/>
  <c r="M47" i="79"/>
  <c r="D46" i="79"/>
  <c r="F33" i="79"/>
  <c r="F61" i="79"/>
  <c r="F31" i="79"/>
  <c r="F23" i="79"/>
  <c r="M19" i="79"/>
  <c r="F18" i="79"/>
  <c r="M17" i="79"/>
  <c r="F17" i="79"/>
  <c r="Q72" i="78"/>
  <c r="Q59" i="78"/>
  <c r="K59" i="78"/>
  <c r="P61" i="78"/>
  <c r="F59" i="78"/>
  <c r="Q58" i="78"/>
  <c r="J52" i="78"/>
  <c r="Q51" i="78"/>
  <c r="J50" i="78"/>
  <c r="M47" i="78"/>
  <c r="D46" i="78"/>
  <c r="F33" i="78"/>
  <c r="F61" i="78"/>
  <c r="F31" i="78"/>
  <c r="F23" i="78"/>
  <c r="M19" i="78"/>
  <c r="F18" i="78"/>
  <c r="M17" i="78"/>
  <c r="F17" i="78"/>
  <c r="J52" i="15"/>
  <c r="I46" i="39"/>
  <c r="G46" i="39"/>
  <c r="E46" i="39"/>
  <c r="D118" i="39"/>
  <c r="D105" i="34"/>
  <c r="D104" i="33"/>
  <c r="I38" i="39"/>
  <c r="G38" i="39"/>
  <c r="E38" i="39"/>
  <c r="E11" i="39"/>
  <c r="I11" i="39"/>
  <c r="G11" i="39"/>
  <c r="C10" i="39"/>
  <c r="I7" i="39"/>
  <c r="G7" i="39"/>
  <c r="E7" i="39"/>
  <c r="I5" i="39"/>
  <c r="G5" i="39"/>
  <c r="P74" i="79"/>
  <c r="E118" i="39"/>
  <c r="P74" i="78"/>
  <c r="D23" i="79"/>
  <c r="D22" i="79"/>
  <c r="D24" i="79"/>
  <c r="D23" i="78"/>
  <c r="D22" i="78"/>
  <c r="D24" i="78"/>
  <c r="F118" i="39"/>
  <c r="E105" i="34"/>
  <c r="E104" i="33"/>
  <c r="G118" i="39"/>
  <c r="F105" i="34"/>
  <c r="F104" i="33"/>
  <c r="H118" i="39"/>
  <c r="G105" i="34"/>
  <c r="G104" i="33"/>
  <c r="I118" i="39"/>
  <c r="I105" i="34"/>
  <c r="H105" i="34"/>
  <c r="H104" i="33"/>
  <c r="N14" i="1"/>
  <c r="L14" i="1"/>
  <c r="J8" i="1"/>
  <c r="J7" i="1"/>
  <c r="J105" i="34"/>
  <c r="J104" i="33"/>
  <c r="I104" i="33"/>
  <c r="C11" i="4"/>
  <c r="W8" i="1"/>
  <c r="W7" i="1"/>
  <c r="Y6" i="1"/>
  <c r="C37" i="34"/>
  <c r="C36" i="33"/>
  <c r="N8" i="1"/>
  <c r="Y8" i="1"/>
  <c r="N7" i="1"/>
  <c r="Y7" i="1"/>
  <c r="B7" i="4"/>
  <c r="D3" i="4"/>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2" i="76"/>
  <c r="B13" i="76"/>
  <c r="B10" i="76"/>
  <c r="E9" i="76"/>
  <c r="B9" i="76"/>
  <c r="E7" i="76"/>
  <c r="E8" i="76"/>
  <c r="E10" i="76"/>
  <c r="E13" i="76"/>
  <c r="B12" i="76"/>
  <c r="B8" i="76"/>
  <c r="E11" i="76"/>
  <c r="B11"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3" i="73"/>
  <c r="F6" i="73"/>
  <c r="F5" i="73"/>
  <c r="D4" i="73"/>
  <c r="D3" i="73"/>
  <c r="D6"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5" i="71"/>
  <c r="Z5" i="71"/>
  <c r="Y6" i="71"/>
  <c r="Z6" i="71"/>
  <c r="X6" i="71"/>
  <c r="X21" i="71"/>
  <c r="X5"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A6" i="71"/>
  <c r="AA5" i="71"/>
  <c r="AB5" i="71"/>
  <c r="AB6" i="71"/>
  <c r="S6" i="71"/>
  <c r="B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3" i="1"/>
  <c r="AO11" i="1"/>
  <c r="AO12" i="1"/>
  <c r="AO10"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F8" i="1"/>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7" i="15"/>
  <c r="F18"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c r="J42" i="34"/>
  <c r="W42" i="34"/>
  <c r="F42" i="34"/>
  <c r="S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B61" i="35"/>
  <c r="B59" i="35"/>
  <c r="J12" i="35"/>
  <c r="W12"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F10" i="34"/>
  <c r="AA10" i="34"/>
  <c r="D126" i="34"/>
  <c r="E126" i="34"/>
  <c r="F126" i="34"/>
  <c r="G126"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c r="N5" i="3"/>
  <c r="O5" i="3"/>
  <c r="G21" i="6"/>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U30" i="37"/>
  <c r="W31" i="37"/>
  <c r="E103" i="37"/>
  <c r="F103" i="37"/>
  <c r="G103" i="37"/>
  <c r="H103" i="37"/>
  <c r="I103" i="37"/>
  <c r="J103" i="37"/>
  <c r="K103" i="37"/>
  <c r="L103" i="37"/>
  <c r="M103" i="37"/>
  <c r="F29" i="36"/>
  <c r="AA29" i="36"/>
  <c r="W8" i="36"/>
  <c r="F16" i="36"/>
  <c r="AA16" i="36"/>
  <c r="U9" i="36"/>
  <c r="S30" i="36"/>
  <c r="AC31" i="36"/>
  <c r="U31" i="36"/>
  <c r="J33" i="36"/>
  <c r="W33" i="36"/>
  <c r="H22" i="35"/>
  <c r="AB22" i="35"/>
  <c r="AC27" i="35"/>
  <c r="U31" i="35"/>
  <c r="W34" i="35"/>
  <c r="S31" i="35"/>
  <c r="F36" i="34"/>
  <c r="J35" i="34"/>
  <c r="H39" i="33"/>
  <c r="AB39" i="33"/>
  <c r="U33" i="33"/>
  <c r="S40" i="33"/>
  <c r="S27" i="35"/>
  <c r="F11" i="40"/>
  <c r="AA11" i="40"/>
  <c r="H11" i="40"/>
  <c r="AB11" i="40"/>
  <c r="W8" i="40"/>
  <c r="AA9" i="40"/>
  <c r="AC9" i="40"/>
  <c r="U9" i="40"/>
  <c r="S34"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E101" i="39"/>
  <c r="F101" i="39"/>
  <c r="G101" i="39"/>
  <c r="H19" i="39"/>
  <c r="AB19" i="39"/>
  <c r="F19" i="39"/>
  <c r="AA19" i="39"/>
  <c r="F17" i="39"/>
  <c r="AA17" i="39"/>
  <c r="J23" i="40"/>
  <c r="AC23" i="40"/>
  <c r="F21" i="40"/>
  <c r="AA21" i="40"/>
  <c r="J21" i="40"/>
  <c r="W21" i="40"/>
  <c r="H42" i="39"/>
  <c r="AB42" i="39"/>
  <c r="J34" i="39"/>
  <c r="AC34" i="39"/>
  <c r="J31" i="39"/>
  <c r="H27" i="39"/>
  <c r="U27" i="39"/>
  <c r="J19" i="39"/>
  <c r="AC19" i="39"/>
  <c r="J27" i="39"/>
  <c r="AC27" i="39"/>
  <c r="F11" i="21"/>
  <c r="S11" i="21"/>
  <c r="S40" i="21"/>
  <c r="U34" i="21"/>
  <c r="C25" i="39"/>
  <c r="H11"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AA15" i="34"/>
  <c r="J15" i="34"/>
  <c r="AC15" i="34"/>
  <c r="H15" i="34"/>
  <c r="AB15" i="34"/>
  <c r="S9" i="34"/>
  <c r="J28" i="34"/>
  <c r="W28" i="34"/>
  <c r="F41" i="33"/>
  <c r="AA41" i="33"/>
  <c r="E113" i="33"/>
  <c r="F32" i="33"/>
  <c r="AA32" i="33"/>
  <c r="J19" i="33"/>
  <c r="AC19" i="33"/>
  <c r="J15" i="33"/>
  <c r="AC15" i="33"/>
  <c r="F11" i="33"/>
  <c r="AA11" i="33"/>
  <c r="F37" i="40"/>
  <c r="AA37" i="40"/>
  <c r="F36" i="40"/>
  <c r="AA36" i="40"/>
  <c r="H28" i="40"/>
  <c r="U28" i="40"/>
  <c r="F23" i="40"/>
  <c r="AA23" i="40"/>
  <c r="F17" i="40"/>
  <c r="AA17" i="40"/>
  <c r="J17" i="40"/>
  <c r="W17" i="40"/>
  <c r="F15" i="40"/>
  <c r="S15" i="40"/>
  <c r="H15" i="40"/>
  <c r="AB15" i="40"/>
  <c r="S12" i="36"/>
  <c r="AA12" i="36"/>
  <c r="AB30" i="36"/>
  <c r="AC34" i="36"/>
  <c r="F29" i="35"/>
  <c r="H29" i="35"/>
  <c r="AB29" i="35"/>
  <c r="H33" i="37"/>
  <c r="AB33" i="37"/>
  <c r="F33" i="37"/>
  <c r="AA33" i="37"/>
  <c r="U34" i="37"/>
  <c r="S34" i="37"/>
  <c r="AA34" i="37"/>
  <c r="J40"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42" i="34"/>
  <c r="AC38" i="34"/>
  <c r="AA38" i="34"/>
  <c r="J37" i="34"/>
  <c r="AC37" i="34"/>
  <c r="J11" i="33"/>
  <c r="W11" i="33"/>
  <c r="S28" i="34"/>
  <c r="G123" i="21"/>
  <c r="H123" i="21"/>
  <c r="I123" i="21"/>
  <c r="J123" i="21"/>
  <c r="K123" i="21"/>
  <c r="L123" i="21"/>
  <c r="M123" i="21"/>
  <c r="J42" i="21"/>
  <c r="AC42" i="21"/>
  <c r="H42" i="21"/>
  <c r="U42" i="21"/>
  <c r="J44" i="34"/>
  <c r="W44" i="34"/>
  <c r="F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W32" i="36"/>
  <c r="J11" i="36"/>
  <c r="AC11" i="36"/>
  <c r="H11" i="36"/>
  <c r="F11" i="36"/>
  <c r="AA11" i="36"/>
  <c r="H13" i="36"/>
  <c r="AB13" i="36"/>
  <c r="J13" i="36"/>
  <c r="W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J36" i="37"/>
  <c r="AC36" i="37"/>
  <c r="G105" i="37"/>
  <c r="J10" i="36"/>
  <c r="AC10" i="36"/>
  <c r="AB30" i="21"/>
  <c r="AC13" i="36"/>
  <c r="S11" i="36"/>
  <c r="AC30" i="34"/>
  <c r="AC28" i="21"/>
  <c r="BA586" i="3"/>
  <c r="BA585" i="3"/>
  <c r="F17" i="21"/>
  <c r="AA17" i="21"/>
  <c r="H17" i="21"/>
  <c r="AB17" i="21"/>
  <c r="F15" i="21"/>
  <c r="S15" i="21"/>
  <c r="J41" i="39"/>
  <c r="W41" i="39"/>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BA552" i="3"/>
  <c r="BA548" i="3"/>
  <c r="BA546" i="3"/>
  <c r="BA544" i="3"/>
  <c r="BA542" i="3"/>
  <c r="AZ542" i="3"/>
  <c r="BA540" i="3"/>
  <c r="AZ540" i="3"/>
  <c r="BA538" i="3"/>
  <c r="BA536" i="3"/>
  <c r="BA534" i="3"/>
  <c r="AZ534" i="3"/>
  <c r="BA532" i="3"/>
  <c r="BA530" i="3"/>
  <c r="BA528" i="3"/>
  <c r="BA526" i="3"/>
  <c r="AZ526" i="3"/>
  <c r="BA524" i="3"/>
  <c r="BA522" i="3"/>
  <c r="BA520" i="3"/>
  <c r="BA518" i="3"/>
  <c r="BA516" i="3"/>
  <c r="BA514" i="3"/>
  <c r="AZ514" i="3"/>
  <c r="BA512" i="3"/>
  <c r="AZ512" i="3"/>
  <c r="BA510" i="3"/>
  <c r="BA508" i="3"/>
  <c r="AZ508" i="3"/>
  <c r="BA506" i="3"/>
  <c r="AZ506" i="3"/>
  <c r="BA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BQ575" i="3"/>
  <c r="BL575" i="3"/>
  <c r="AZ575" i="3"/>
  <c r="BQ573" i="3"/>
  <c r="BL573" i="3"/>
  <c r="AZ573" i="3"/>
  <c r="BQ571" i="3"/>
  <c r="BL571" i="3"/>
  <c r="AZ571" i="3"/>
  <c r="BQ569" i="3"/>
  <c r="BL569" i="3"/>
  <c r="AZ569" i="3"/>
  <c r="BQ567" i="3"/>
  <c r="BL567" i="3"/>
  <c r="BQ565" i="3"/>
  <c r="BL565" i="3"/>
  <c r="BQ563" i="3"/>
  <c r="BL563" i="3"/>
  <c r="BQ561" i="3"/>
  <c r="BL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BL520" i="3"/>
  <c r="AZ520" i="3"/>
  <c r="G519" i="3"/>
  <c r="G517" i="3"/>
  <c r="G515" i="3"/>
  <c r="G513" i="3"/>
  <c r="G511" i="3"/>
  <c r="BQ519" i="3"/>
  <c r="BL519" i="3"/>
  <c r="AZ519" i="3"/>
  <c r="BQ517" i="3"/>
  <c r="BL517" i="3"/>
  <c r="BQ515" i="3"/>
  <c r="BL515" i="3"/>
  <c r="BQ513" i="3"/>
  <c r="BL513" i="3"/>
  <c r="AZ513" i="3"/>
  <c r="BQ511" i="3"/>
  <c r="BL511" i="3"/>
  <c r="AZ511" i="3"/>
  <c r="BA509" i="3"/>
  <c r="AC509" i="3"/>
  <c r="BQ509" i="3"/>
  <c r="BL509" i="3"/>
  <c r="AZ509" i="3"/>
  <c r="BL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BL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J43" i="33"/>
  <c r="AC43" i="33"/>
  <c r="S28" i="31"/>
  <c r="S27" i="31"/>
  <c r="S26" i="31"/>
  <c r="U14" i="40"/>
  <c r="AC33" i="36"/>
  <c r="W23" i="35"/>
  <c r="W14" i="37"/>
  <c r="AB28" i="37"/>
  <c r="AC8" i="37"/>
  <c r="U26" i="37"/>
  <c r="W47" i="34"/>
  <c r="AB37" i="34"/>
  <c r="AA13"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c r="H25" i="39"/>
  <c r="AB25" i="39"/>
  <c r="J25" i="39"/>
  <c r="F25" i="39"/>
  <c r="AA25" i="39"/>
  <c r="F15" i="39"/>
  <c r="AA15" i="39"/>
  <c r="H15" i="39"/>
  <c r="U15" i="39"/>
  <c r="J15" i="39"/>
  <c r="W15" i="39"/>
  <c r="H41" i="39"/>
  <c r="AB34" i="39"/>
  <c r="AA41" i="39"/>
  <c r="W9" i="39"/>
  <c r="W8" i="39"/>
  <c r="J19" i="40"/>
  <c r="AC19" i="40"/>
  <c r="J50" i="40"/>
  <c r="B54" i="72"/>
  <c r="B16" i="53"/>
  <c r="B33" i="72"/>
  <c r="C7" i="37"/>
  <c r="C7" i="34"/>
  <c r="C7" i="36"/>
  <c r="A118" i="9"/>
  <c r="A4" i="52"/>
  <c r="B41" i="72"/>
  <c r="J11" i="39"/>
  <c r="W11" i="39"/>
  <c r="F11" i="39"/>
  <c r="AA11" i="39"/>
  <c r="A12" i="52"/>
  <c r="B56" i="72"/>
  <c r="G4" i="4"/>
  <c r="I4" i="4"/>
  <c r="K5" i="4"/>
  <c r="B47" i="48"/>
  <c r="A2" i="9"/>
  <c r="BL549" i="3"/>
  <c r="AZ549" i="3"/>
  <c r="AZ502" i="3"/>
  <c r="AZ522"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c r="G117" i="3"/>
  <c r="BA119" i="3"/>
  <c r="BL120" i="3"/>
  <c r="AZ120" i="3"/>
  <c r="G121" i="3"/>
  <c r="BA123" i="3"/>
  <c r="BL124" i="3"/>
  <c r="G125" i="3"/>
  <c r="BA127" i="3"/>
  <c r="BL128" i="3"/>
  <c r="G129" i="3"/>
  <c r="BA131" i="3"/>
  <c r="BL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G189" i="3"/>
  <c r="BA191" i="3"/>
  <c r="AZ191" i="3"/>
  <c r="BL192" i="3"/>
  <c r="G193" i="3"/>
  <c r="BA195" i="3"/>
  <c r="AZ195" i="3"/>
  <c r="BL196" i="3"/>
  <c r="AZ196" i="3"/>
  <c r="G197" i="3"/>
  <c r="BA199" i="3"/>
  <c r="BL200" i="3"/>
  <c r="AZ200" i="3"/>
  <c r="G201" i="3"/>
  <c r="BA203" i="3"/>
  <c r="BL204" i="3"/>
  <c r="AZ43" i="3"/>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c r="BA336" i="3"/>
  <c r="BA337" i="3"/>
  <c r="BL337" i="3"/>
  <c r="G338" i="3"/>
  <c r="G341" i="3"/>
  <c r="BA342" i="3"/>
  <c r="BL342" i="3"/>
  <c r="BA344" i="3"/>
  <c r="BL344" i="3"/>
  <c r="BA346" i="3"/>
  <c r="BA347" i="3"/>
  <c r="BL347" i="3"/>
  <c r="G350" i="3"/>
  <c r="BA351" i="3"/>
  <c r="AZ351" i="3"/>
  <c r="BL351" i="3"/>
  <c r="G352" i="3"/>
  <c r="G354" i="3"/>
  <c r="BA355" i="3"/>
  <c r="AZ355" i="3"/>
  <c r="BA356" i="3"/>
  <c r="BL356" i="3"/>
  <c r="AZ356" i="3"/>
  <c r="G357" i="3"/>
  <c r="G360" i="3"/>
  <c r="BL361" i="3"/>
  <c r="BA363" i="3"/>
  <c r="BA364" i="3"/>
  <c r="BL364" i="3"/>
  <c r="AZ364" i="3"/>
  <c r="G365" i="3"/>
  <c r="G368" i="3"/>
  <c r="BL369" i="3"/>
  <c r="BA371" i="3"/>
  <c r="BA372" i="3"/>
  <c r="BL372" i="3"/>
  <c r="G373" i="3"/>
  <c r="G376" i="3"/>
  <c r="BL377" i="3"/>
  <c r="BL379" i="3"/>
  <c r="BA381" i="3"/>
  <c r="BA382" i="3"/>
  <c r="BL382" i="3"/>
  <c r="G383" i="3"/>
  <c r="G386" i="3"/>
  <c r="BL387" i="3"/>
  <c r="BA389" i="3"/>
  <c r="BA390" i="3"/>
  <c r="AZ390" i="3"/>
  <c r="BL390" i="3"/>
  <c r="G391" i="3"/>
  <c r="G394" i="3"/>
  <c r="AZ194" i="3"/>
  <c r="AZ500" i="3"/>
  <c r="BA16" i="3"/>
  <c r="BL303" i="3"/>
  <c r="AZ303" i="3"/>
  <c r="G304" i="3"/>
  <c r="BA306" i="3"/>
  <c r="AZ306" i="3"/>
  <c r="BL307" i="3"/>
  <c r="AZ307" i="3"/>
  <c r="G308" i="3"/>
  <c r="BA310" i="3"/>
  <c r="BL311" i="3"/>
  <c r="G312" i="3"/>
  <c r="BA314" i="3"/>
  <c r="BL315" i="3"/>
  <c r="G316" i="3"/>
  <c r="BA318" i="3"/>
  <c r="BL319" i="3"/>
  <c r="AZ319" i="3"/>
  <c r="G320" i="3"/>
  <c r="BA322" i="3"/>
  <c r="AZ322" i="3"/>
  <c r="BL323" i="3"/>
  <c r="G324" i="3"/>
  <c r="BA326" i="3"/>
  <c r="BL327" i="3"/>
  <c r="AZ327" i="3"/>
  <c r="G328" i="3"/>
  <c r="BA330" i="3"/>
  <c r="BL331" i="3"/>
  <c r="G332" i="3"/>
  <c r="BA334" i="3"/>
  <c r="BL335" i="3"/>
  <c r="G336" i="3"/>
  <c r="BA338" i="3"/>
  <c r="AZ338" i="3"/>
  <c r="BL339" i="3"/>
  <c r="G340" i="3"/>
  <c r="BL343" i="3"/>
  <c r="G344" i="3"/>
  <c r="G348" i="3"/>
  <c r="G355" i="3"/>
  <c r="G342" i="3"/>
  <c r="BL345" i="3"/>
  <c r="G346" i="3"/>
  <c r="BL349" i="3"/>
  <c r="BL352" i="3"/>
  <c r="G353" i="3"/>
  <c r="BA357" i="3"/>
  <c r="AZ357" i="3"/>
  <c r="BL358" i="3"/>
  <c r="G359" i="3"/>
  <c r="BA361" i="3"/>
  <c r="AZ361" i="3"/>
  <c r="BL362" i="3"/>
  <c r="G363" i="3"/>
  <c r="BA365" i="3"/>
  <c r="BL366" i="3"/>
  <c r="G367" i="3"/>
  <c r="BA369" i="3"/>
  <c r="BL370" i="3"/>
  <c r="G371" i="3"/>
  <c r="BA373" i="3"/>
  <c r="AZ373" i="3"/>
  <c r="BL374" i="3"/>
  <c r="G375" i="3"/>
  <c r="BA377" i="3"/>
  <c r="AZ269" i="3"/>
  <c r="AZ273" i="3"/>
  <c r="BA379" i="3"/>
  <c r="BL380" i="3"/>
  <c r="G381" i="3"/>
  <c r="BA383" i="3"/>
  <c r="BL384" i="3"/>
  <c r="G385" i="3"/>
  <c r="BA387" i="3"/>
  <c r="AZ387" i="3"/>
  <c r="BL388" i="3"/>
  <c r="G389" i="3"/>
  <c r="BA391" i="3"/>
  <c r="AZ391" i="3"/>
  <c r="BL392" i="3"/>
  <c r="G393" i="3"/>
  <c r="AZ275" i="3"/>
  <c r="AZ291" i="3"/>
  <c r="BO5" i="3"/>
  <c r="BM5" i="3"/>
  <c r="BJ5" i="3"/>
  <c r="BH5" i="3"/>
  <c r="BF5" i="3"/>
  <c r="BD5" i="3"/>
  <c r="BQ5" i="3"/>
  <c r="AZ496" i="3"/>
  <c r="G548" i="3"/>
  <c r="G538" i="3"/>
  <c r="G520" i="3"/>
  <c r="G502" i="3"/>
  <c r="BS5" i="3"/>
  <c r="BP5" i="3"/>
  <c r="BN5" i="3"/>
  <c r="AZ343" i="3"/>
  <c r="BK5" i="3"/>
  <c r="BI5" i="3"/>
  <c r="BG5" i="3"/>
  <c r="BE5" i="3"/>
  <c r="BC5" i="3"/>
  <c r="G17" i="3"/>
  <c r="BA17" i="3"/>
  <c r="BT5" i="3"/>
  <c r="BA15" i="3"/>
  <c r="BB5" i="3"/>
  <c r="BR5" i="3"/>
  <c r="G509" i="3"/>
  <c r="AZ491" i="3"/>
  <c r="U36" i="40"/>
  <c r="N4" i="43"/>
  <c r="F81" i="43"/>
  <c r="H83" i="43"/>
  <c r="F48" i="43"/>
  <c r="H52" i="43"/>
  <c r="F70" i="43"/>
  <c r="H73" i="43"/>
  <c r="M11" i="43"/>
  <c r="F39" i="43"/>
  <c r="F35" i="43"/>
  <c r="F6" i="1"/>
  <c r="S14" i="35"/>
  <c r="U43" i="21"/>
  <c r="U35" i="21"/>
  <c r="AC35" i="21"/>
  <c r="U10" i="21"/>
  <c r="G8" i="1"/>
  <c r="G9" i="1"/>
  <c r="G10" i="1"/>
  <c r="F48" i="9"/>
  <c r="O52" i="9"/>
  <c r="AC11" i="39"/>
  <c r="AZ563" i="3"/>
  <c r="W37" i="37"/>
  <c r="AC44" i="34"/>
  <c r="S15" i="37"/>
  <c r="U13" i="37"/>
  <c r="U12" i="40"/>
  <c r="AA12" i="40"/>
  <c r="J37" i="33"/>
  <c r="W37"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C40" i="11"/>
  <c r="AZ268" i="3"/>
  <c r="AZ271" i="3"/>
  <c r="AZ288" i="3"/>
  <c r="AZ45" i="3"/>
  <c r="H75" i="43"/>
  <c r="H50" i="43"/>
  <c r="H48" i="43"/>
  <c r="I20" i="43"/>
  <c r="F23" i="39"/>
  <c r="AA23" i="39"/>
  <c r="H27" i="36"/>
  <c r="U27" i="36"/>
  <c r="F27" i="36"/>
  <c r="AA27" i="36"/>
  <c r="H33" i="34"/>
  <c r="U33" i="34"/>
  <c r="F32" i="37"/>
  <c r="AA32" i="37"/>
  <c r="F20" i="36"/>
  <c r="AA20" i="36"/>
  <c r="J33" i="34"/>
  <c r="AC33" i="34"/>
  <c r="H23" i="39"/>
  <c r="U23" i="39"/>
  <c r="D48" i="9"/>
  <c r="M52" i="9"/>
  <c r="K9" i="1"/>
  <c r="M9" i="1"/>
  <c r="O9" i="1"/>
  <c r="P9" i="1"/>
  <c r="AE9" i="1"/>
  <c r="AB44" i="39"/>
  <c r="U44" i="39"/>
  <c r="AC37" i="39"/>
  <c r="W37" i="39"/>
  <c r="AC43" i="39"/>
  <c r="W43" i="39"/>
  <c r="U45" i="39"/>
  <c r="AB45" i="39"/>
  <c r="AZ163" i="3"/>
  <c r="F29" i="6"/>
  <c r="AZ389" i="3"/>
  <c r="AZ493" i="3"/>
  <c r="AZ497" i="3"/>
  <c r="AZ501" i="3"/>
  <c r="AC5" i="3"/>
  <c r="AZ494" i="3"/>
  <c r="AZ530" i="3"/>
  <c r="AZ568" i="3"/>
  <c r="AZ576" i="3"/>
  <c r="AB11" i="35"/>
  <c r="J23" i="36"/>
  <c r="AC23" i="36"/>
  <c r="F26" i="37"/>
  <c r="AA26" i="37"/>
  <c r="F44" i="39"/>
  <c r="G578" i="3"/>
  <c r="G562" i="3"/>
  <c r="G556" i="3"/>
  <c r="G552" i="3"/>
  <c r="G551" i="3"/>
  <c r="F7" i="1"/>
  <c r="G7" i="1"/>
  <c r="BA398" i="3"/>
  <c r="AZ398" i="3"/>
  <c r="BL400" i="3"/>
  <c r="G401" i="3"/>
  <c r="BA402" i="3"/>
  <c r="G403" i="3"/>
  <c r="BL404" i="3"/>
  <c r="G407" i="3"/>
  <c r="BA408" i="3"/>
  <c r="G409" i="3"/>
  <c r="BL410" i="3"/>
  <c r="G411" i="3"/>
  <c r="BA412" i="3"/>
  <c r="BL412" i="3"/>
  <c r="BA413" i="3"/>
  <c r="AZ413" i="3"/>
  <c r="BA414" i="3"/>
  <c r="AZ414" i="3"/>
  <c r="BL416" i="3"/>
  <c r="G417" i="3"/>
  <c r="BA418" i="3"/>
  <c r="G419" i="3"/>
  <c r="BL420" i="3"/>
  <c r="G423" i="3"/>
  <c r="BL424" i="3"/>
  <c r="G429" i="3"/>
  <c r="BL430" i="3"/>
  <c r="BA434" i="3"/>
  <c r="BL436" i="3"/>
  <c r="G439" i="3"/>
  <c r="BL440" i="3"/>
  <c r="G443" i="3"/>
  <c r="BL328" i="3"/>
  <c r="AZ328" i="3"/>
  <c r="BL330" i="3"/>
  <c r="AZ330" i="3"/>
  <c r="G331" i="3"/>
  <c r="BA333" i="3"/>
  <c r="AZ333" i="3"/>
  <c r="G339" i="3"/>
  <c r="BL340" i="3"/>
  <c r="AZ340" i="3"/>
  <c r="G343" i="3"/>
  <c r="BL363" i="3"/>
  <c r="AZ363" i="3"/>
  <c r="BA367" i="3"/>
  <c r="G380" i="3"/>
  <c r="G384" i="3"/>
  <c r="BL385" i="3"/>
  <c r="G396" i="3"/>
  <c r="BA209" i="3"/>
  <c r="G212" i="3"/>
  <c r="BA213" i="3"/>
  <c r="G214" i="3"/>
  <c r="BA215" i="3"/>
  <c r="G216" i="3"/>
  <c r="BA217" i="3"/>
  <c r="BL217" i="3"/>
  <c r="BL219" i="3"/>
  <c r="G220" i="3"/>
  <c r="BL221" i="3"/>
  <c r="BL223" i="3"/>
  <c r="BA227" i="3"/>
  <c r="BL231" i="3"/>
  <c r="BL233" i="3"/>
  <c r="G236" i="3"/>
  <c r="BL237" i="3"/>
  <c r="G134" i="3"/>
  <c r="G136" i="3"/>
  <c r="BL137" i="3"/>
  <c r="G140" i="3"/>
  <c r="BL141" i="3"/>
  <c r="G144" i="3"/>
  <c r="BL145" i="3"/>
  <c r="BL147" i="3"/>
  <c r="AZ147" i="3"/>
  <c r="G150" i="3"/>
  <c r="BA153" i="3"/>
  <c r="G154" i="3"/>
  <c r="BL155" i="3"/>
  <c r="AZ155" i="3"/>
  <c r="BA157" i="3"/>
  <c r="BL157" i="3"/>
  <c r="BL159" i="3"/>
  <c r="AZ159" i="3"/>
  <c r="G160" i="3"/>
  <c r="BA162" i="3"/>
  <c r="AZ162" i="3"/>
  <c r="BL162" i="3"/>
  <c r="BA164" i="3"/>
  <c r="AZ164" i="3"/>
  <c r="BA166" i="3"/>
  <c r="G167" i="3"/>
  <c r="G171" i="3"/>
  <c r="BA174" i="3"/>
  <c r="G179" i="3"/>
  <c r="G27" i="3"/>
  <c r="BL28" i="3"/>
  <c r="BA30" i="3"/>
  <c r="BA32" i="3"/>
  <c r="BA47" i="3"/>
  <c r="AZ47" i="3"/>
  <c r="BL47" i="3"/>
  <c r="BA48" i="3"/>
  <c r="AZ48" i="3"/>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c r="BA79" i="3"/>
  <c r="AZ79" i="3"/>
  <c r="BA81" i="3"/>
  <c r="AZ81" i="3"/>
  <c r="BA82" i="3"/>
  <c r="AZ82" i="3"/>
  <c r="BA83" i="3"/>
  <c r="AZ83" i="3"/>
  <c r="BA85" i="3"/>
  <c r="AZ85" i="3"/>
  <c r="BL85" i="3"/>
  <c r="BA87" i="3"/>
  <c r="AZ87" i="3"/>
  <c r="BA89" i="3"/>
  <c r="BL89" i="3"/>
  <c r="BA90" i="3"/>
  <c r="AZ90" i="3"/>
  <c r="BL92" i="3"/>
  <c r="G93" i="3"/>
  <c r="BL94" i="3"/>
  <c r="G95" i="3"/>
  <c r="BL96" i="3"/>
  <c r="BA98" i="3"/>
  <c r="G99" i="3"/>
  <c r="BA100" i="3"/>
  <c r="BL100" i="3"/>
  <c r="BA102" i="3"/>
  <c r="BL102" i="3"/>
  <c r="BA103" i="3"/>
  <c r="AZ103" i="3"/>
  <c r="BA105" i="3"/>
  <c r="AZ105" i="3"/>
  <c r="BL105" i="3"/>
  <c r="BL106" i="3"/>
  <c r="G107" i="3"/>
  <c r="U42" i="34"/>
  <c r="G20" i="3"/>
  <c r="BL16" i="3"/>
  <c r="E8" i="6"/>
  <c r="E56" i="39"/>
  <c r="G123" i="33"/>
  <c r="H123" i="33"/>
  <c r="I123" i="33"/>
  <c r="J123" i="33"/>
  <c r="K123" i="33"/>
  <c r="L123" i="33"/>
  <c r="M123" i="33"/>
  <c r="AC12" i="40"/>
  <c r="W12" i="40"/>
  <c r="AZ379" i="3"/>
  <c r="AC35" i="40"/>
  <c r="W35" i="40"/>
  <c r="AZ318" i="3"/>
  <c r="AZ310" i="3"/>
  <c r="AZ16" i="3"/>
  <c r="AZ382" i="3"/>
  <c r="AZ336" i="3"/>
  <c r="AZ304" i="3"/>
  <c r="AZ394" i="3"/>
  <c r="AZ380" i="3"/>
  <c r="AZ376" i="3"/>
  <c r="AZ360" i="3"/>
  <c r="AZ341" i="3"/>
  <c r="AZ325" i="3"/>
  <c r="AZ309" i="3"/>
  <c r="W14" i="39"/>
  <c r="AC45" i="33"/>
  <c r="AC36" i="34"/>
  <c r="AB13" i="34"/>
  <c r="U33" i="37"/>
  <c r="AC32" i="36"/>
  <c r="AZ495" i="3"/>
  <c r="AZ499" i="3"/>
  <c r="AZ504" i="3"/>
  <c r="AZ516" i="3"/>
  <c r="AZ524" i="3"/>
  <c r="AZ528" i="3"/>
  <c r="AZ532" i="3"/>
  <c r="AZ536" i="3"/>
  <c r="AZ544" i="3"/>
  <c r="AZ554" i="3"/>
  <c r="AZ582" i="3"/>
  <c r="AZ560" i="3"/>
  <c r="AZ584" i="3"/>
  <c r="AB11" i="21"/>
  <c r="W11" i="36"/>
  <c r="W31" i="34"/>
  <c r="AA44" i="33"/>
  <c r="W33" i="37"/>
  <c r="U30" i="35"/>
  <c r="S34" i="21"/>
  <c r="F27" i="39"/>
  <c r="F26" i="33"/>
  <c r="AA26" i="33"/>
  <c r="U34" i="34"/>
  <c r="S34" i="35"/>
  <c r="W28" i="35"/>
  <c r="F9" i="33"/>
  <c r="AA9" i="33"/>
  <c r="F12" i="35"/>
  <c r="J36" i="35"/>
  <c r="J38" i="40"/>
  <c r="AC38" i="40"/>
  <c r="G582" i="3"/>
  <c r="G402" i="3"/>
  <c r="G404" i="3"/>
  <c r="BA405" i="3"/>
  <c r="G406" i="3"/>
  <c r="BL407" i="3"/>
  <c r="G418"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BL442" i="3"/>
  <c r="BL444" i="3"/>
  <c r="G445" i="3"/>
  <c r="BA446" i="3"/>
  <c r="G447" i="3"/>
  <c r="BL448" i="3"/>
  <c r="G449" i="3"/>
  <c r="BA450" i="3"/>
  <c r="G451" i="3"/>
  <c r="BL452" i="3"/>
  <c r="G455" i="3"/>
  <c r="BL456" i="3"/>
  <c r="G459" i="3"/>
  <c r="BA468" i="3"/>
  <c r="G469" i="3"/>
  <c r="BL470" i="3"/>
  <c r="BL472" i="3"/>
  <c r="G477" i="3"/>
  <c r="G481" i="3"/>
  <c r="BL314" i="3"/>
  <c r="AZ314" i="3"/>
  <c r="BA316" i="3"/>
  <c r="AZ316" i="3"/>
  <c r="BL316" i="3"/>
  <c r="BA323" i="3"/>
  <c r="AZ323" i="3"/>
  <c r="BL348" i="3"/>
  <c r="BL350" i="3"/>
  <c r="G351" i="3"/>
  <c r="BA352" i="3"/>
  <c r="AZ352" i="3"/>
  <c r="BL354" i="3"/>
  <c r="BA358" i="3"/>
  <c r="AZ358" i="3"/>
  <c r="BL365" i="3"/>
  <c r="AZ365" i="3"/>
  <c r="G366" i="3"/>
  <c r="BA368" i="3"/>
  <c r="AZ368" i="3"/>
  <c r="G374" i="3"/>
  <c r="BL375" i="3"/>
  <c r="AZ375" i="3"/>
  <c r="G378" i="3"/>
  <c r="BA384" i="3"/>
  <c r="AZ384" i="3"/>
  <c r="BA386" i="3"/>
  <c r="G387" i="3"/>
  <c r="BA388" i="3"/>
  <c r="AZ388" i="3"/>
  <c r="BA392" i="3"/>
  <c r="AZ392" i="3"/>
  <c r="G395" i="3"/>
  <c r="BA396" i="3"/>
  <c r="G397" i="3"/>
  <c r="BA208" i="3"/>
  <c r="BL208" i="3"/>
  <c r="BL210" i="3"/>
  <c r="G211" i="3"/>
  <c r="BL212" i="3"/>
  <c r="G215" i="3"/>
  <c r="G221" i="3"/>
  <c r="BL222" i="3"/>
  <c r="BA224" i="3"/>
  <c r="G225" i="3"/>
  <c r="BA226" i="3"/>
  <c r="BL226" i="3"/>
  <c r="BL228" i="3"/>
  <c r="G229" i="3"/>
  <c r="BA230" i="3"/>
  <c r="BL230" i="3"/>
  <c r="BA231" i="3"/>
  <c r="AZ231" i="3"/>
  <c r="BA232" i="3"/>
  <c r="AZ232" i="3"/>
  <c r="BA233" i="3"/>
  <c r="AZ233" i="3"/>
  <c r="BA235" i="3"/>
  <c r="BL235" i="3"/>
  <c r="BA236" i="3"/>
  <c r="AZ236" i="3"/>
  <c r="BA237" i="3"/>
  <c r="AZ237" i="3"/>
  <c r="BL239" i="3"/>
  <c r="G240" i="3"/>
  <c r="BL241" i="3"/>
  <c r="G242" i="3"/>
  <c r="BA243" i="3"/>
  <c r="G244" i="3"/>
  <c r="BL245" i="3"/>
  <c r="G246" i="3"/>
  <c r="BL247" i="3"/>
  <c r="BL249" i="3"/>
  <c r="G252" i="3"/>
  <c r="BL253" i="3"/>
  <c r="G282" i="3"/>
  <c r="BL283" i="3"/>
  <c r="G298" i="3"/>
  <c r="BL299" i="3"/>
  <c r="G118" i="3"/>
  <c r="G120" i="3"/>
  <c r="BL121" i="3"/>
  <c r="BA125" i="3"/>
  <c r="G126" i="3"/>
  <c r="G128" i="3"/>
  <c r="BL129" i="3"/>
  <c r="G130" i="3"/>
  <c r="G132" i="3"/>
  <c r="BA133" i="3"/>
  <c r="BL133" i="3"/>
  <c r="BA134" i="3"/>
  <c r="AZ134" i="3"/>
  <c r="BL135" i="3"/>
  <c r="AZ135" i="3"/>
  <c r="BA137" i="3"/>
  <c r="AZ137" i="3"/>
  <c r="BA138" i="3"/>
  <c r="AZ138" i="3"/>
  <c r="BL139" i="3"/>
  <c r="AZ139" i="3"/>
  <c r="BA141" i="3"/>
  <c r="AZ141" i="3"/>
  <c r="BA142" i="3"/>
  <c r="AZ142" i="3"/>
  <c r="BL143" i="3"/>
  <c r="AZ143" i="3"/>
  <c r="BA145" i="3"/>
  <c r="AZ145" i="3"/>
  <c r="BA146" i="3"/>
  <c r="AZ146" i="3"/>
  <c r="BA148" i="3"/>
  <c r="AZ148" i="3"/>
  <c r="BA150" i="3"/>
  <c r="G151" i="3"/>
  <c r="G155" i="3"/>
  <c r="G166" i="3"/>
  <c r="BA169" i="3"/>
  <c r="G170" i="3"/>
  <c r="BL171" i="3"/>
  <c r="AZ171" i="3"/>
  <c r="BA173" i="3"/>
  <c r="BL173" i="3"/>
  <c r="BL175" i="3"/>
  <c r="AZ175" i="3"/>
  <c r="G176" i="3"/>
  <c r="BA178" i="3"/>
  <c r="BL178" i="3"/>
  <c r="BA180" i="3"/>
  <c r="AZ180" i="3"/>
  <c r="BA182" i="3"/>
  <c r="G183" i="3"/>
  <c r="G187" i="3"/>
  <c r="G198" i="3"/>
  <c r="G202" i="3"/>
  <c r="G18" i="3"/>
  <c r="BL18" i="3"/>
  <c r="G21" i="3"/>
  <c r="BA26" i="3"/>
  <c r="BL26" i="3"/>
  <c r="BA27" i="3"/>
  <c r="AZ27" i="3"/>
  <c r="BA28" i="3"/>
  <c r="AZ28" i="3"/>
  <c r="BA29" i="3"/>
  <c r="AZ29" i="3"/>
  <c r="BA31" i="3"/>
  <c r="BL31" i="3"/>
  <c r="BA33" i="3"/>
  <c r="BL33" i="3"/>
  <c r="BL34" i="3"/>
  <c r="G35" i="3"/>
  <c r="G39" i="3"/>
  <c r="G58" i="3"/>
  <c r="G60" i="3"/>
  <c r="BL61" i="3"/>
  <c r="G66" i="3"/>
  <c r="G68" i="3"/>
  <c r="BL69" i="3"/>
  <c r="G72" i="3"/>
  <c r="G96" i="3"/>
  <c r="BL97" i="3"/>
  <c r="G108" i="3"/>
  <c r="BL109" i="3"/>
  <c r="G110" i="3"/>
  <c r="BA111" i="3"/>
  <c r="BL111" i="3"/>
  <c r="BL112" i="3"/>
  <c r="K100" i="43"/>
  <c r="E59" i="43"/>
  <c r="B57" i="43"/>
  <c r="C24" i="43"/>
  <c r="U32" i="33"/>
  <c r="W37" i="34"/>
  <c r="C21" i="39"/>
  <c r="S12" i="21"/>
  <c r="AA12" i="21"/>
  <c r="W12" i="36"/>
  <c r="AC12" i="36"/>
  <c r="AC24" i="36"/>
  <c r="W24" i="36"/>
  <c r="AZ558" i="3"/>
  <c r="D17" i="80"/>
  <c r="E57" i="39"/>
  <c r="M20" i="15"/>
  <c r="F34" i="79"/>
  <c r="F62" i="79"/>
  <c r="M20" i="78"/>
  <c r="M20" i="79"/>
  <c r="F34" i="78"/>
  <c r="F62" i="78"/>
  <c r="E21" i="6"/>
  <c r="K8" i="1"/>
  <c r="E19" i="6"/>
  <c r="G400" i="3"/>
  <c r="BA401" i="3"/>
  <c r="BL401" i="3"/>
  <c r="AZ401" i="3"/>
  <c r="BA403" i="3"/>
  <c r="BL403" i="3"/>
  <c r="BA404" i="3"/>
  <c r="AZ404" i="3"/>
  <c r="BA406" i="3"/>
  <c r="AZ406" i="3"/>
  <c r="BL406" i="3"/>
  <c r="BA407" i="3"/>
  <c r="AZ407" i="3"/>
  <c r="BL409" i="3"/>
  <c r="G410" i="3"/>
  <c r="BL411" i="3"/>
  <c r="G412" i="3"/>
  <c r="G416" i="3"/>
  <c r="BA417" i="3"/>
  <c r="AZ417" i="3"/>
  <c r="BL417" i="3"/>
  <c r="BA419" i="3"/>
  <c r="BL419" i="3"/>
  <c r="BA420" i="3"/>
  <c r="AZ420" i="3"/>
  <c r="BA422" i="3"/>
  <c r="BL422" i="3"/>
  <c r="AZ422" i="3"/>
  <c r="BA423" i="3"/>
  <c r="BA424" i="3"/>
  <c r="AZ424" i="3"/>
  <c r="BL426" i="3"/>
  <c r="G427" i="3"/>
  <c r="BA428" i="3"/>
  <c r="BL428" i="3"/>
  <c r="BA429" i="3"/>
  <c r="AZ429" i="3"/>
  <c r="BA430" i="3"/>
  <c r="AZ430" i="3"/>
  <c r="BL432" i="3"/>
  <c r="G433" i="3"/>
  <c r="G435" i="3"/>
  <c r="G438" i="3"/>
  <c r="G442" i="3"/>
  <c r="G444" i="3"/>
  <c r="BA445" i="3"/>
  <c r="BL445" i="3"/>
  <c r="BL447" i="3"/>
  <c r="G448" i="3"/>
  <c r="BA449" i="3"/>
  <c r="BL449" i="3"/>
  <c r="BA451" i="3"/>
  <c r="BL451" i="3"/>
  <c r="AZ451" i="3"/>
  <c r="BA452" i="3"/>
  <c r="AZ452" i="3"/>
  <c r="BA454" i="3"/>
  <c r="BL454" i="3"/>
  <c r="BA455" i="3"/>
  <c r="AZ455" i="3"/>
  <c r="BA456" i="3"/>
  <c r="AZ456" i="3"/>
  <c r="BA458" i="3"/>
  <c r="AZ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c r="G27" i="6"/>
  <c r="I4" i="6"/>
  <c r="G3" i="43"/>
  <c r="F22" i="43"/>
  <c r="F20" i="6"/>
  <c r="E20" i="6"/>
  <c r="K7" i="1"/>
  <c r="J27" i="34"/>
  <c r="AC27" i="34"/>
  <c r="F9" i="36"/>
  <c r="AA9" i="36"/>
  <c r="H24" i="36"/>
  <c r="AB24" i="36"/>
  <c r="F25" i="37"/>
  <c r="AA25" i="37"/>
  <c r="J26" i="37"/>
  <c r="F40" i="39"/>
  <c r="AA40" i="39"/>
  <c r="H39" i="40"/>
  <c r="G570" i="3"/>
  <c r="G566" i="3"/>
  <c r="G542" i="3"/>
  <c r="G526" i="3"/>
  <c r="BA469" i="3"/>
  <c r="BL469" i="3"/>
  <c r="BA470" i="3"/>
  <c r="AZ470" i="3"/>
  <c r="BA471" i="3"/>
  <c r="AZ471" i="3"/>
  <c r="BA472" i="3"/>
  <c r="AZ472" i="3"/>
  <c r="BL474" i="3"/>
  <c r="G475" i="3"/>
  <c r="BA476" i="3"/>
  <c r="BL476" i="3"/>
  <c r="BL478" i="3"/>
  <c r="G479" i="3"/>
  <c r="BA480" i="3"/>
  <c r="BL480" i="3"/>
  <c r="BL482" i="3"/>
  <c r="G483" i="3"/>
  <c r="G487" i="3"/>
  <c r="G491" i="3"/>
  <c r="BL312" i="3"/>
  <c r="AZ312" i="3"/>
  <c r="G313" i="3"/>
  <c r="BA315" i="3"/>
  <c r="AZ315" i="3"/>
  <c r="BL317" i="3"/>
  <c r="G318" i="3"/>
  <c r="G323" i="3"/>
  <c r="BL324" i="3"/>
  <c r="AZ324" i="3"/>
  <c r="G327" i="3"/>
  <c r="BA335" i="3"/>
  <c r="AZ335" i="3"/>
  <c r="BA339" i="3"/>
  <c r="AZ339" i="3"/>
  <c r="G347" i="3"/>
  <c r="BA348" i="3"/>
  <c r="AZ348" i="3"/>
  <c r="BA349" i="3"/>
  <c r="AZ349" i="3"/>
  <c r="BA353" i="3"/>
  <c r="AZ353" i="3"/>
  <c r="BL353" i="3"/>
  <c r="G358" i="3"/>
  <c r="BL359" i="3"/>
  <c r="AZ359" i="3"/>
  <c r="G362" i="3"/>
  <c r="BA370" i="3"/>
  <c r="AZ370" i="3"/>
  <c r="BA374" i="3"/>
  <c r="AZ374" i="3"/>
  <c r="G382" i="3"/>
  <c r="BL383" i="3"/>
  <c r="AZ383" i="3"/>
  <c r="BA385" i="3"/>
  <c r="AZ385" i="3"/>
  <c r="BA395" i="3"/>
  <c r="AZ395" i="3"/>
  <c r="BL395" i="3"/>
  <c r="BL397" i="3"/>
  <c r="G208" i="3"/>
  <c r="G210" i="3"/>
  <c r="BA211" i="3"/>
  <c r="BL211" i="3"/>
  <c r="BA212" i="3"/>
  <c r="AZ212" i="3"/>
  <c r="BA214" i="3"/>
  <c r="AZ214" i="3"/>
  <c r="BL214" i="3"/>
  <c r="BL216" i="3"/>
  <c r="G217" i="3"/>
  <c r="G219" i="3"/>
  <c r="BA220" i="3"/>
  <c r="BL220" i="3"/>
  <c r="BA221" i="3"/>
  <c r="AZ221" i="3"/>
  <c r="BA222" i="3"/>
  <c r="AZ222" i="3"/>
  <c r="BA223" i="3"/>
  <c r="AZ223" i="3"/>
  <c r="BL225" i="3"/>
  <c r="G226" i="3"/>
  <c r="G228" i="3"/>
  <c r="BL229" i="3"/>
  <c r="G230" i="3"/>
  <c r="G235" i="3"/>
  <c r="G239" i="3"/>
  <c r="BL240" i="3"/>
  <c r="G241" i="3"/>
  <c r="BA242" i="3"/>
  <c r="BL242" i="3"/>
  <c r="BL244" i="3"/>
  <c r="G245" i="3"/>
  <c r="BA246" i="3"/>
  <c r="BL246" i="3"/>
  <c r="BA247" i="3"/>
  <c r="AZ247" i="3"/>
  <c r="BA248" i="3"/>
  <c r="AZ248" i="3"/>
  <c r="BA249" i="3"/>
  <c r="AZ249" i="3"/>
  <c r="BA251" i="3"/>
  <c r="AZ251" i="3"/>
  <c r="BL251" i="3"/>
  <c r="BA252" i="3"/>
  <c r="AZ252" i="3"/>
  <c r="BA253" i="3"/>
  <c r="AZ253" i="3"/>
  <c r="BL255" i="3"/>
  <c r="G256" i="3"/>
  <c r="BL257" i="3"/>
  <c r="G258" i="3"/>
  <c r="G260" i="3"/>
  <c r="BL261" i="3"/>
  <c r="G262" i="3"/>
  <c r="G264" i="3"/>
  <c r="BL265" i="3"/>
  <c r="G266" i="3"/>
  <c r="G271" i="3"/>
  <c r="G275" i="3"/>
  <c r="G278" i="3"/>
  <c r="BL279" i="3"/>
  <c r="G280" i="3"/>
  <c r="BA281" i="3"/>
  <c r="BL281" i="3"/>
  <c r="BA282" i="3"/>
  <c r="AZ282" i="3"/>
  <c r="BA283" i="3"/>
  <c r="AZ283" i="3"/>
  <c r="BL285" i="3"/>
  <c r="G286" i="3"/>
  <c r="G288" i="3"/>
  <c r="G291" i="3"/>
  <c r="G294" i="3"/>
  <c r="BL295" i="3"/>
  <c r="G296" i="3"/>
  <c r="BA297" i="3"/>
  <c r="BL297"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49" i="3"/>
  <c r="AZ149" i="3"/>
  <c r="BL149" i="3"/>
  <c r="BL151" i="3"/>
  <c r="AZ151" i="3"/>
  <c r="G152" i="3"/>
  <c r="BA154" i="3"/>
  <c r="AZ154" i="3"/>
  <c r="BL154" i="3"/>
  <c r="BA156" i="3"/>
  <c r="AZ156" i="3"/>
  <c r="G159" i="3"/>
  <c r="G162" i="3"/>
  <c r="BA165" i="3"/>
  <c r="BL165" i="3"/>
  <c r="AZ165" i="3"/>
  <c r="BL167" i="3"/>
  <c r="AZ167" i="3"/>
  <c r="G168" i="3"/>
  <c r="BA170" i="3"/>
  <c r="BL170" i="3"/>
  <c r="BA172" i="3"/>
  <c r="AZ172" i="3"/>
  <c r="G175" i="3"/>
  <c r="G178" i="3"/>
  <c r="BA181" i="3"/>
  <c r="AZ181" i="3"/>
  <c r="BL181" i="3"/>
  <c r="BL183" i="3"/>
  <c r="AZ183" i="3"/>
  <c r="G184" i="3"/>
  <c r="BA186" i="3"/>
  <c r="AZ186" i="3"/>
  <c r="BL186" i="3"/>
  <c r="BA188" i="3"/>
  <c r="AZ188" i="3"/>
  <c r="G191" i="3"/>
  <c r="G194" i="3"/>
  <c r="BA197" i="3"/>
  <c r="BL197" i="3"/>
  <c r="AZ197" i="3"/>
  <c r="BL199" i="3"/>
  <c r="AZ199" i="3"/>
  <c r="BA201" i="3"/>
  <c r="AZ201" i="3"/>
  <c r="BL201" i="3"/>
  <c r="BL203" i="3"/>
  <c r="AZ203" i="3"/>
  <c r="G204" i="3"/>
  <c r="BL205" i="3"/>
  <c r="G206" i="3"/>
  <c r="BA207" i="3"/>
  <c r="AZ207" i="3"/>
  <c r="BL207" i="3"/>
  <c r="BA18" i="3"/>
  <c r="AZ18" i="3"/>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c r="BL57" i="3"/>
  <c r="BA59" i="3"/>
  <c r="AZ59" i="3"/>
  <c r="BL59" i="3"/>
  <c r="BA60" i="3"/>
  <c r="AZ60" i="3"/>
  <c r="BA61" i="3"/>
  <c r="AZ61" i="3"/>
  <c r="BA63" i="3"/>
  <c r="AZ63" i="3"/>
  <c r="BL63" i="3"/>
  <c r="G64" i="3"/>
  <c r="BA65" i="3"/>
  <c r="BL65" i="3"/>
  <c r="BA67" i="3"/>
  <c r="BL67" i="3"/>
  <c r="BA68" i="3"/>
  <c r="AZ68" i="3"/>
  <c r="BA69" i="3"/>
  <c r="AZ69" i="3"/>
  <c r="BA71" i="3"/>
  <c r="BL71" i="3"/>
  <c r="BL73" i="3"/>
  <c r="G74" i="3"/>
  <c r="BL75" i="3"/>
  <c r="G76" i="3"/>
  <c r="G78" i="3"/>
  <c r="G81" i="3"/>
  <c r="G85" i="3"/>
  <c r="G87" i="3"/>
  <c r="G89" i="3"/>
  <c r="G92" i="3"/>
  <c r="BL93" i="3"/>
  <c r="G94" i="3"/>
  <c r="BA95" i="3"/>
  <c r="BL95" i="3"/>
  <c r="BA96" i="3"/>
  <c r="AZ96" i="3"/>
  <c r="BA97" i="3"/>
  <c r="AZ97" i="3"/>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c r="H62" i="43"/>
  <c r="W40" i="33"/>
  <c r="AC31" i="33"/>
  <c r="S26" i="33"/>
  <c r="S38" i="33"/>
  <c r="S41" i="33"/>
  <c r="AC41" i="33"/>
  <c r="U40" i="33"/>
  <c r="W39" i="33"/>
  <c r="U43" i="33"/>
  <c r="AB26" i="33"/>
  <c r="S9" i="33"/>
  <c r="U8" i="33"/>
  <c r="S8" i="33"/>
  <c r="S34" i="34"/>
  <c r="AA41" i="34"/>
  <c r="AB23" i="34"/>
  <c r="AC17" i="34"/>
  <c r="AB17" i="34"/>
  <c r="W8" i="34"/>
  <c r="W9" i="34"/>
  <c r="W27" i="39"/>
  <c r="J17" i="39"/>
  <c r="W17" i="39"/>
  <c r="H17" i="39"/>
  <c r="W44" i="39"/>
  <c r="S42" i="39"/>
  <c r="S11" i="39"/>
  <c r="U40" i="39"/>
  <c r="S40" i="39"/>
  <c r="U9" i="39"/>
  <c r="G14" i="3"/>
  <c r="A15" i="62"/>
  <c r="B61" i="72"/>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c r="BL15" i="3"/>
  <c r="AZ15" i="3"/>
  <c r="AZ403" i="3"/>
  <c r="AZ419" i="3"/>
  <c r="AZ435" i="3"/>
  <c r="AZ438" i="3"/>
  <c r="AZ442" i="3"/>
  <c r="AZ454" i="3"/>
  <c r="AZ469" i="3"/>
  <c r="AZ487" i="3"/>
  <c r="G329" i="3"/>
  <c r="BA331" i="3"/>
  <c r="AZ331" i="3"/>
  <c r="BL332" i="3"/>
  <c r="G334" i="3"/>
  <c r="BL346" i="3"/>
  <c r="AZ346" i="3"/>
  <c r="G349" i="3"/>
  <c r="BA350" i="3"/>
  <c r="AZ350" i="3"/>
  <c r="AZ521" i="3"/>
  <c r="AZ553" i="3"/>
  <c r="AZ583" i="3"/>
  <c r="AZ581" i="3"/>
  <c r="AZ518" i="3"/>
  <c r="AZ538" i="3"/>
  <c r="AZ552" i="3"/>
  <c r="U23" i="40"/>
  <c r="AA12" i="34"/>
  <c r="C27" i="39"/>
  <c r="H39" i="37"/>
  <c r="U35" i="33"/>
  <c r="U34" i="35"/>
  <c r="W22" i="35"/>
  <c r="AA31" i="36"/>
  <c r="W28" i="36"/>
  <c r="F39" i="37"/>
  <c r="BL586" i="3"/>
  <c r="AZ586" i="3"/>
  <c r="BL585" i="3"/>
  <c r="AZ585" i="3"/>
  <c r="H12" i="33"/>
  <c r="J25" i="37"/>
  <c r="H38" i="40"/>
  <c r="F40" i="40"/>
  <c r="G574" i="3"/>
  <c r="G558" i="3"/>
  <c r="G398" i="3"/>
  <c r="G399" i="3"/>
  <c r="BL399" i="3"/>
  <c r="AZ399" i="3"/>
  <c r="BA400" i="3"/>
  <c r="AZ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AZ437" i="3"/>
  <c r="G440" i="3"/>
  <c r="G441" i="3"/>
  <c r="BL441" i="3"/>
  <c r="BL443" i="3"/>
  <c r="AZ443" i="3"/>
  <c r="BA444" i="3"/>
  <c r="AZ444" i="3"/>
  <c r="BL446" i="3"/>
  <c r="AZ446" i="3"/>
  <c r="BA447" i="3"/>
  <c r="AZ447" i="3"/>
  <c r="BA448" i="3"/>
  <c r="AZ448" i="3"/>
  <c r="BL450" i="3"/>
  <c r="AZ450" i="3"/>
  <c r="G453" i="3"/>
  <c r="BL453" i="3"/>
  <c r="AZ453" i="3"/>
  <c r="G456" i="3"/>
  <c r="G457" i="3"/>
  <c r="BL457" i="3"/>
  <c r="AZ457" i="3"/>
  <c r="BL459" i="3"/>
  <c r="AZ459" i="3"/>
  <c r="BA460" i="3"/>
  <c r="AZ460" i="3"/>
  <c r="BL462" i="3"/>
  <c r="AZ462" i="3"/>
  <c r="BA463" i="3"/>
  <c r="AZ463" i="3"/>
  <c r="BA464" i="3"/>
  <c r="AZ464" i="3"/>
  <c r="G467" i="3"/>
  <c r="G468" i="3"/>
  <c r="BL468" i="3"/>
  <c r="AZ468" i="3"/>
  <c r="G471" i="3"/>
  <c r="G472" i="3"/>
  <c r="G473" i="3"/>
  <c r="BL473" i="3"/>
  <c r="AZ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AZ490" i="3"/>
  <c r="G311" i="3"/>
  <c r="G315" i="3"/>
  <c r="BA317" i="3"/>
  <c r="AZ332" i="3"/>
  <c r="BA354" i="3"/>
  <c r="AZ354" i="3"/>
  <c r="G364" i="3"/>
  <c r="BA366" i="3"/>
  <c r="AZ366" i="3"/>
  <c r="BL367" i="3"/>
  <c r="AZ367" i="3"/>
  <c r="G369" i="3"/>
  <c r="BL381" i="3"/>
  <c r="AZ381" i="3"/>
  <c r="BL386" i="3"/>
  <c r="AZ386" i="3"/>
  <c r="G392" i="3"/>
  <c r="BL393" i="3"/>
  <c r="AZ393" i="3"/>
  <c r="BL396" i="3"/>
  <c r="AZ396" i="3"/>
  <c r="BA397" i="3"/>
  <c r="BL209" i="3"/>
  <c r="AZ209" i="3"/>
  <c r="BA210" i="3"/>
  <c r="AZ210" i="3"/>
  <c r="G213" i="3"/>
  <c r="BL213" i="3"/>
  <c r="BL215" i="3"/>
  <c r="AZ215" i="3"/>
  <c r="BA216" i="3"/>
  <c r="BL218" i="3"/>
  <c r="AZ218" i="3"/>
  <c r="BA219" i="3"/>
  <c r="AZ219" i="3"/>
  <c r="G222" i="3"/>
  <c r="G223" i="3"/>
  <c r="G224" i="3"/>
  <c r="BL224" i="3"/>
  <c r="BA225" i="3"/>
  <c r="AZ225" i="3"/>
  <c r="BL227" i="3"/>
  <c r="AZ227" i="3"/>
  <c r="BA228" i="3"/>
  <c r="AZ228" i="3"/>
  <c r="BA229" i="3"/>
  <c r="AZ229" i="3"/>
  <c r="G232" i="3"/>
  <c r="G233" i="3"/>
  <c r="G234" i="3"/>
  <c r="BL234" i="3"/>
  <c r="G237" i="3"/>
  <c r="G238" i="3"/>
  <c r="BL238" i="3"/>
  <c r="AZ238" i="3"/>
  <c r="BA239" i="3"/>
  <c r="AZ239" i="3"/>
  <c r="BA240" i="3"/>
  <c r="AZ240" i="3"/>
  <c r="BA241" i="3"/>
  <c r="AZ241" i="3"/>
  <c r="BL243" i="3"/>
  <c r="AZ243" i="3"/>
  <c r="BA244" i="3"/>
  <c r="AZ244" i="3"/>
  <c r="BA245" i="3"/>
  <c r="AZ245" i="3"/>
  <c r="G248" i="3"/>
  <c r="G249" i="3"/>
  <c r="G250" i="3"/>
  <c r="BL250" i="3"/>
  <c r="G253" i="3"/>
  <c r="G254" i="3"/>
  <c r="BL254" i="3"/>
  <c r="AZ270" i="3"/>
  <c r="BA255" i="3"/>
  <c r="BA256" i="3"/>
  <c r="AZ256" i="3"/>
  <c r="BA257" i="3"/>
  <c r="BL259" i="3"/>
  <c r="AZ259" i="3"/>
  <c r="BA260" i="3"/>
  <c r="AZ260" i="3"/>
  <c r="BA261" i="3"/>
  <c r="AZ261" i="3"/>
  <c r="BL263" i="3"/>
  <c r="AZ263" i="3"/>
  <c r="BA264" i="3"/>
  <c r="AZ264" i="3"/>
  <c r="BA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BA302" i="3"/>
  <c r="AZ302" i="3"/>
  <c r="BA113" i="3"/>
  <c r="BA114" i="3"/>
  <c r="AZ114" i="3"/>
  <c r="BL115" i="3"/>
  <c r="AZ115" i="3"/>
  <c r="G119" i="3"/>
  <c r="G122" i="3"/>
  <c r="BL122" i="3"/>
  <c r="AZ122" i="3"/>
  <c r="BA124" i="3"/>
  <c r="AZ124" i="3"/>
  <c r="BL125" i="3"/>
  <c r="AZ125" i="3"/>
  <c r="BA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62" i="39"/>
  <c r="E15" i="6"/>
  <c r="E60" i="40"/>
  <c r="K6" i="1"/>
  <c r="E13" i="6"/>
  <c r="E58" i="40"/>
  <c r="G29" i="6"/>
  <c r="E29" i="6"/>
  <c r="AC26" i="33"/>
  <c r="W26" i="33"/>
  <c r="AB34" i="36"/>
  <c r="U34" i="36"/>
  <c r="AB33" i="36"/>
  <c r="U33" i="36"/>
  <c r="AC12" i="39"/>
  <c r="W12" i="39"/>
  <c r="AC39" i="40"/>
  <c r="W39" i="40"/>
  <c r="AZ412" i="3"/>
  <c r="AZ428" i="3"/>
  <c r="AZ433" i="3"/>
  <c r="AZ465" i="3"/>
  <c r="F101" i="43"/>
  <c r="F104" i="43"/>
  <c r="C101" i="43"/>
  <c r="C104" i="43"/>
  <c r="W12" i="33"/>
  <c r="AC12" i="33"/>
  <c r="AA32" i="36"/>
  <c r="S32" i="36"/>
  <c r="AZ551" i="3"/>
  <c r="AZ550" i="3"/>
  <c r="AZ441" i="3"/>
  <c r="AA39" i="34"/>
  <c r="F28" i="6"/>
  <c r="BL14" i="3"/>
  <c r="AZ266" i="3"/>
  <c r="U30" i="33"/>
  <c r="AC13" i="34"/>
  <c r="AA47" i="34"/>
  <c r="W28" i="37"/>
  <c r="S19" i="39"/>
  <c r="F12" i="33"/>
  <c r="H12" i="39"/>
  <c r="AB12" i="39"/>
  <c r="F39" i="40"/>
  <c r="BA14" i="3"/>
  <c r="AZ14" i="3"/>
  <c r="AZ213" i="3"/>
  <c r="AZ224" i="3"/>
  <c r="AZ234" i="3"/>
  <c r="AZ250" i="3"/>
  <c r="AZ254" i="3"/>
  <c r="AZ281" i="3"/>
  <c r="AZ286" i="3"/>
  <c r="AZ297" i="3"/>
  <c r="AZ157" i="3"/>
  <c r="AZ173" i="3"/>
  <c r="AZ189" i="3"/>
  <c r="AZ19" i="3"/>
  <c r="AZ26" i="3"/>
  <c r="AZ35" i="3"/>
  <c r="AZ41" i="3"/>
  <c r="S12" i="1"/>
  <c r="AQ12" i="1"/>
  <c r="R12" i="1"/>
  <c r="B12" i="1"/>
  <c r="E12" i="1"/>
  <c r="S10" i="1"/>
  <c r="AQ10" i="1"/>
  <c r="R10" i="1"/>
  <c r="B10" i="1"/>
  <c r="E10" i="1"/>
  <c r="D1" i="66"/>
  <c r="E10" i="66"/>
  <c r="AZ80" i="3"/>
  <c r="AZ84" i="3"/>
  <c r="AZ107" i="3"/>
  <c r="AZ111" i="3"/>
  <c r="K12" i="1"/>
  <c r="M12" i="1"/>
  <c r="O12" i="1"/>
  <c r="P12" i="1"/>
  <c r="S13" i="1"/>
  <c r="AR13" i="1"/>
  <c r="R13" i="1"/>
  <c r="S11" i="1"/>
  <c r="AQ11" i="1"/>
  <c r="R11" i="1"/>
  <c r="S9" i="1"/>
  <c r="AR9" i="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c r="H121" i="33"/>
  <c r="I121" i="33"/>
  <c r="J121" i="33"/>
  <c r="K121" i="33"/>
  <c r="L121" i="33"/>
  <c r="M121" i="33"/>
  <c r="U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G13" i="3"/>
  <c r="G5" i="3"/>
  <c r="B3" i="3"/>
  <c r="AT6" i="3"/>
  <c r="BA13" i="3"/>
  <c r="E10" i="6"/>
  <c r="BA5" i="3"/>
  <c r="E27" i="6"/>
  <c r="E11" i="6"/>
  <c r="E61" i="39"/>
  <c r="BL17" i="3"/>
  <c r="AZ17" i="3"/>
  <c r="BL13" i="3"/>
  <c r="E65" i="39"/>
  <c r="G30" i="6"/>
  <c r="J56" i="9"/>
  <c r="J57" i="9"/>
  <c r="A24" i="51"/>
  <c r="B18" i="72"/>
  <c r="U29" i="34"/>
  <c r="C106" i="43"/>
  <c r="E14" i="6"/>
  <c r="E64" i="39"/>
  <c r="E5" i="6"/>
  <c r="D9" i="11"/>
  <c r="C9" i="11"/>
  <c r="P10" i="1"/>
  <c r="H22" i="43"/>
  <c r="L101" i="43"/>
  <c r="L109" i="43"/>
  <c r="H101" i="43"/>
  <c r="D101" i="43"/>
  <c r="D109" i="43"/>
  <c r="M101" i="43"/>
  <c r="M109" i="43"/>
  <c r="I101" i="43"/>
  <c r="I109" i="43"/>
  <c r="E101" i="43"/>
  <c r="G22" i="43"/>
  <c r="E32" i="6"/>
  <c r="L19" i="6"/>
  <c r="G1" i="68"/>
  <c r="K1" i="12"/>
  <c r="F30" i="6"/>
  <c r="E28" i="6"/>
  <c r="F107" i="43"/>
  <c r="F102" i="43"/>
  <c r="F106" i="43"/>
  <c r="C107" i="43"/>
  <c r="C105" i="43"/>
  <c r="C103" i="43"/>
  <c r="E57" i="40"/>
  <c r="C102" i="43"/>
  <c r="S2" i="43"/>
  <c r="F103" i="43"/>
  <c r="F105" i="43"/>
  <c r="AR12" i="1"/>
  <c r="T12" i="1"/>
  <c r="E19" i="69"/>
  <c r="E19" i="68"/>
  <c r="E19" i="11"/>
  <c r="E1" i="73"/>
  <c r="K1" i="73"/>
  <c r="G41" i="69"/>
  <c r="G22" i="69"/>
  <c r="G41" i="68"/>
  <c r="G22" i="68"/>
  <c r="G27" i="12"/>
  <c r="G26" i="12"/>
  <c r="G41" i="11"/>
  <c r="G22" i="11"/>
  <c r="G25" i="12"/>
  <c r="C109" i="43"/>
  <c r="C100"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C20"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6" i="43"/>
  <c r="H65" i="43"/>
  <c r="H64" i="43"/>
  <c r="H63" i="43"/>
  <c r="H55" i="43"/>
  <c r="H51" i="43"/>
  <c r="H56" i="43"/>
  <c r="H76" i="43"/>
  <c r="H72" i="43"/>
  <c r="H77" i="43"/>
  <c r="L20" i="6"/>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67"/>
  <c r="M22" i="67"/>
  <c r="M26" i="67"/>
  <c r="C76" i="67"/>
  <c r="F37" i="67"/>
  <c r="F9" i="67"/>
  <c r="F13" i="67"/>
  <c r="M8" i="67"/>
  <c r="M29" i="67"/>
  <c r="C76" i="15"/>
  <c r="N104" i="46"/>
  <c r="E22" i="43"/>
  <c r="B113" i="43"/>
  <c r="AA44" i="39"/>
  <c r="S44" i="39"/>
  <c r="C7" i="43"/>
  <c r="D117" i="43"/>
  <c r="E117" i="43"/>
  <c r="F117" i="43"/>
  <c r="G117" i="43"/>
  <c r="H117" i="43"/>
  <c r="J101" i="43"/>
  <c r="G101" i="43"/>
  <c r="G104" i="43"/>
  <c r="N101" i="43"/>
  <c r="N102" i="43"/>
  <c r="K101" i="43"/>
  <c r="K105" i="43"/>
  <c r="AZ423" i="3"/>
  <c r="AZ33" i="3"/>
  <c r="AZ31" i="3"/>
  <c r="AZ178" i="3"/>
  <c r="AZ133" i="3"/>
  <c r="AZ230" i="3"/>
  <c r="AZ226" i="3"/>
  <c r="AZ208" i="3"/>
  <c r="AZ102" i="3"/>
  <c r="AZ100" i="3"/>
  <c r="AZ89" i="3"/>
  <c r="AZ76" i="3"/>
  <c r="AZ54" i="3"/>
  <c r="AZ50" i="3"/>
  <c r="AZ217" i="3"/>
  <c r="S42" i="33"/>
  <c r="W27" i="34"/>
  <c r="U43" i="34"/>
  <c r="N107" i="43"/>
  <c r="G106" i="43"/>
  <c r="J107" i="43"/>
  <c r="E56" i="40"/>
  <c r="N109" i="43"/>
  <c r="J106" i="43"/>
  <c r="J102" i="43"/>
  <c r="N105" i="43"/>
  <c r="G31" i="6"/>
  <c r="AZ126" i="3"/>
  <c r="AZ113" i="3"/>
  <c r="AZ301" i="3"/>
  <c r="AZ265" i="3"/>
  <c r="AZ257" i="3"/>
  <c r="AZ255" i="3"/>
  <c r="AZ216" i="3"/>
  <c r="AZ397" i="3"/>
  <c r="AZ317" i="3"/>
  <c r="C38" i="9"/>
  <c r="H106" i="9"/>
  <c r="AC36" i="35"/>
  <c r="W36" i="35"/>
  <c r="AZ235" i="3"/>
  <c r="S12" i="35"/>
  <c r="AA12" i="35"/>
  <c r="W17" i="21"/>
  <c r="C6" i="43"/>
  <c r="F53" i="9"/>
  <c r="F32" i="79"/>
  <c r="F60" i="79"/>
  <c r="F28" i="79"/>
  <c r="C28" i="79"/>
  <c r="M18" i="79"/>
  <c r="F32" i="78"/>
  <c r="F60" i="78"/>
  <c r="F28" i="78"/>
  <c r="C28" i="78"/>
  <c r="M18" i="78"/>
  <c r="AZ95" i="3"/>
  <c r="AZ71" i="3"/>
  <c r="AZ67" i="3"/>
  <c r="AZ65" i="3"/>
  <c r="AZ38" i="3"/>
  <c r="AZ20" i="3"/>
  <c r="AZ170" i="3"/>
  <c r="AZ117" i="3"/>
  <c r="AZ246" i="3"/>
  <c r="AZ242" i="3"/>
  <c r="AZ220" i="3"/>
  <c r="AZ211" i="3"/>
  <c r="AZ480" i="3"/>
  <c r="AZ476" i="3"/>
  <c r="U39" i="40"/>
  <c r="AB39" i="40"/>
  <c r="AC26" i="37"/>
  <c r="W26" i="37"/>
  <c r="F27" i="6"/>
  <c r="F31" i="6"/>
  <c r="M8" i="1"/>
  <c r="G4" i="80"/>
  <c r="G1" i="80"/>
  <c r="AZ449" i="3"/>
  <c r="AZ445" i="3"/>
  <c r="H67" i="43"/>
  <c r="H59" i="43"/>
  <c r="H60" i="43"/>
  <c r="H61" i="43"/>
  <c r="AB17" i="39"/>
  <c r="U17" i="39"/>
  <c r="AR10" i="1"/>
  <c r="N104" i="43"/>
  <c r="K104" i="43"/>
  <c r="J103" i="43"/>
  <c r="N106" i="43"/>
  <c r="N103" i="43"/>
  <c r="T10" i="1"/>
  <c r="D22" i="43"/>
  <c r="C4" i="4"/>
  <c r="E4" i="4"/>
  <c r="B5" i="62"/>
  <c r="B73" i="72"/>
  <c r="AB38" i="40"/>
  <c r="U38" i="40"/>
  <c r="U12" i="33"/>
  <c r="AB12" i="33"/>
  <c r="AA40" i="40"/>
  <c r="S40" i="40"/>
  <c r="AC25" i="37"/>
  <c r="W25" i="37"/>
  <c r="S39" i="37"/>
  <c r="AA39" i="37"/>
  <c r="AB39" i="37"/>
  <c r="U39" i="37"/>
  <c r="C53" i="15"/>
  <c r="C10" i="67"/>
  <c r="C53" i="67"/>
  <c r="J53" i="67"/>
  <c r="I54"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S6" i="43"/>
  <c r="C23" i="43"/>
  <c r="C21" i="43"/>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M20" i="6"/>
  <c r="I20" i="6"/>
  <c r="G16" i="1"/>
  <c r="H10" i="40"/>
  <c r="U10" i="40"/>
  <c r="Q71" i="67"/>
  <c r="F65" i="67"/>
  <c r="F71" i="15"/>
  <c r="Q71" i="15"/>
  <c r="Q50" i="15"/>
  <c r="F68" i="15"/>
  <c r="AP7" i="1"/>
  <c r="C36" i="69"/>
  <c r="M7" i="1"/>
  <c r="F27" i="69"/>
  <c r="H16" i="1"/>
  <c r="AB45" i="21"/>
  <c r="AC33" i="21"/>
  <c r="W33" i="21"/>
  <c r="S33" i="21"/>
  <c r="AA33" i="21"/>
  <c r="W32" i="21"/>
  <c r="AC32" i="21"/>
  <c r="AB9" i="21"/>
  <c r="U9" i="21"/>
  <c r="AA32" i="21"/>
  <c r="S32" i="21"/>
  <c r="W9" i="21"/>
  <c r="AC9" i="21"/>
  <c r="AB32" i="21"/>
  <c r="U32" i="21"/>
  <c r="AA10" i="21"/>
  <c r="S10" i="21"/>
  <c r="M17" i="15"/>
  <c r="F31" i="15"/>
  <c r="F59" i="67"/>
  <c r="M17" i="67"/>
  <c r="F59" i="15"/>
  <c r="F31" i="67"/>
  <c r="F36" i="67"/>
  <c r="M28" i="15"/>
  <c r="F26" i="67"/>
  <c r="M9" i="67"/>
  <c r="F7" i="67"/>
  <c r="M23" i="78"/>
  <c r="M29" i="15"/>
  <c r="C76" i="79"/>
  <c r="M26" i="78"/>
  <c r="F38" i="67"/>
  <c r="M22" i="79"/>
  <c r="M28" i="79"/>
  <c r="F42" i="67"/>
  <c r="M22" i="78"/>
  <c r="L48" i="67"/>
  <c r="M23" i="15"/>
  <c r="M24" i="67"/>
  <c r="M23" i="79"/>
  <c r="M29" i="79"/>
  <c r="M28" i="78"/>
  <c r="M23" i="67"/>
  <c r="F43" i="67"/>
  <c r="M29" i="78"/>
  <c r="M22" i="15"/>
  <c r="J15" i="78"/>
  <c r="M24" i="79"/>
  <c r="F6" i="67"/>
  <c r="M27" i="78"/>
  <c r="J15" i="15"/>
  <c r="M27" i="79"/>
  <c r="J15" i="67"/>
  <c r="M24" i="15"/>
  <c r="M24" i="78"/>
  <c r="L47" i="15"/>
  <c r="J15" i="79"/>
  <c r="C76" i="78"/>
  <c r="M26" i="15"/>
  <c r="L47" i="67"/>
  <c r="M26" i="79"/>
  <c r="L47" i="78"/>
  <c r="M28" i="67"/>
  <c r="F8" i="67"/>
  <c r="F16" i="67"/>
  <c r="L47" i="79"/>
  <c r="F40" i="67"/>
  <c r="K106" i="43"/>
  <c r="G109" i="43"/>
  <c r="K107" i="43"/>
  <c r="G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I54" i="67"/>
  <c r="L56" i="67"/>
  <c r="J57" i="67"/>
  <c r="J55" i="67"/>
  <c r="J58" i="67"/>
  <c r="Q50" i="67"/>
  <c r="F71" i="67"/>
  <c r="F51" i="15"/>
  <c r="L58" i="67"/>
  <c r="M59" i="67"/>
  <c r="N59" i="67"/>
  <c r="L59" i="67"/>
  <c r="Q61" i="67"/>
  <c r="F64" i="67"/>
  <c r="G107" i="43"/>
  <c r="J104" i="43"/>
  <c r="J105" i="43"/>
  <c r="J109" i="43"/>
  <c r="K103" i="43"/>
  <c r="K109" i="43"/>
  <c r="K102" i="43"/>
  <c r="G105" i="43"/>
  <c r="G102" i="43"/>
  <c r="AQ7" i="1"/>
  <c r="D12" i="53"/>
  <c r="B28" i="72"/>
  <c r="H103" i="9"/>
  <c r="F66" i="79"/>
  <c r="Q71" i="79"/>
  <c r="F71" i="79"/>
  <c r="F65" i="79"/>
  <c r="F51" i="79"/>
  <c r="Q71" i="78"/>
  <c r="L57" i="78"/>
  <c r="L56" i="78"/>
  <c r="L60" i="78"/>
  <c r="Q50" i="78"/>
  <c r="I54" i="78"/>
  <c r="F71" i="78"/>
  <c r="F51" i="78"/>
  <c r="F50" i="15"/>
  <c r="F68" i="67"/>
  <c r="F70" i="67"/>
  <c r="F66" i="67"/>
  <c r="F51" i="67"/>
  <c r="M59" i="15"/>
  <c r="L58" i="15"/>
  <c r="Q73" i="15"/>
  <c r="N59" i="15"/>
  <c r="F65" i="15"/>
  <c r="F50" i="79"/>
  <c r="F64" i="79"/>
  <c r="L59" i="79"/>
  <c r="M59" i="79"/>
  <c r="N59" i="79"/>
  <c r="L58" i="79"/>
  <c r="F68" i="79"/>
  <c r="L60" i="79"/>
  <c r="L57" i="79"/>
  <c r="L56" i="79"/>
  <c r="I54" i="79"/>
  <c r="Q50" i="79"/>
  <c r="F66" i="78"/>
  <c r="N59" i="78"/>
  <c r="L59" i="78"/>
  <c r="M59" i="78"/>
  <c r="L58" i="78"/>
  <c r="F50" i="78"/>
  <c r="F64" i="78"/>
  <c r="F65" i="78"/>
  <c r="F68" i="78"/>
  <c r="F66" i="15"/>
  <c r="C27" i="67"/>
  <c r="C6" i="67"/>
  <c r="C5" i="67"/>
  <c r="C32" i="67"/>
  <c r="F64" i="15"/>
  <c r="M7" i="67"/>
  <c r="J6" i="67"/>
  <c r="F50" i="67"/>
  <c r="H11" i="34"/>
  <c r="G2" i="80"/>
  <c r="AW18" i="3"/>
  <c r="G5" i="80"/>
  <c r="O7" i="1"/>
  <c r="O16" i="1"/>
  <c r="S11" i="34"/>
  <c r="AA11" i="34"/>
  <c r="M21" i="6"/>
  <c r="I21" i="6"/>
  <c r="S21" i="6"/>
  <c r="S8" i="1"/>
  <c r="E8" i="70"/>
  <c r="K16" i="1"/>
  <c r="B29" i="1"/>
  <c r="C8" i="68"/>
  <c r="M19" i="6"/>
  <c r="I19" i="6"/>
  <c r="AR6" i="1"/>
  <c r="K4" i="4"/>
  <c r="B46" i="48"/>
  <c r="B4" i="72"/>
  <c r="B4" i="62"/>
  <c r="B71" i="72"/>
  <c r="T7" i="1"/>
  <c r="AR7" i="1"/>
  <c r="L59" i="15"/>
  <c r="Q74" i="15"/>
  <c r="C30" i="11"/>
  <c r="E6" i="70"/>
  <c r="K27" i="6"/>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M18" i="9"/>
  <c r="B118" i="9"/>
  <c r="B14" i="74"/>
  <c r="B1" i="74"/>
  <c r="C47" i="69"/>
  <c r="D45" i="69"/>
  <c r="C29" i="69"/>
  <c r="D27" i="69"/>
  <c r="F28" i="12"/>
  <c r="C29" i="12"/>
  <c r="D28" i="12"/>
  <c r="P7" i="1"/>
  <c r="C38" i="43"/>
  <c r="G38" i="43"/>
  <c r="I38" i="43"/>
  <c r="F22" i="11"/>
  <c r="F25" i="12"/>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C49" i="15"/>
  <c r="Q60" i="15"/>
  <c r="M16" i="1"/>
  <c r="N16" i="1"/>
  <c r="Q60" i="67"/>
  <c r="Q73" i="67"/>
  <c r="F27" i="11"/>
  <c r="Q74" i="67"/>
  <c r="F1" i="67"/>
  <c r="Q52" i="67"/>
  <c r="C16" i="67"/>
  <c r="C115" i="43"/>
  <c r="D113" i="43"/>
  <c r="J22" i="43"/>
  <c r="C49" i="67"/>
  <c r="AY6" i="3"/>
  <c r="D8" i="53"/>
  <c r="D120" i="9"/>
  <c r="C24" i="9"/>
  <c r="Q73" i="78"/>
  <c r="Q60" i="78"/>
  <c r="Q74" i="78"/>
  <c r="Q61" i="78"/>
  <c r="Q57" i="79"/>
  <c r="Q66" i="79"/>
  <c r="Q73" i="79"/>
  <c r="Q60" i="79"/>
  <c r="J18" i="79"/>
  <c r="J24" i="79"/>
  <c r="Q52" i="78"/>
  <c r="C25" i="9"/>
  <c r="J18" i="78"/>
  <c r="J24" i="78"/>
  <c r="Q52" i="79"/>
  <c r="Q74" i="79"/>
  <c r="Q61" i="79"/>
  <c r="C49" i="79"/>
  <c r="C48" i="79"/>
  <c r="C49" i="78"/>
  <c r="C48" i="78"/>
  <c r="Q57" i="78"/>
  <c r="Q66" i="78"/>
  <c r="AR8" i="1"/>
  <c r="T8" i="1"/>
  <c r="AQ8" i="1"/>
  <c r="Q61" i="15"/>
  <c r="E37" i="43"/>
  <c r="AA7" i="36"/>
  <c r="R36" i="36"/>
  <c r="E36" i="36"/>
  <c r="E40" i="36"/>
  <c r="F40" i="36"/>
  <c r="AC11" i="37"/>
  <c r="W11" i="37"/>
  <c r="AB7" i="37"/>
  <c r="T42" i="37"/>
  <c r="G42" i="37"/>
  <c r="G46" i="37"/>
  <c r="H46" i="37"/>
  <c r="W11" i="34"/>
  <c r="AC11" i="34"/>
  <c r="J5" i="67"/>
  <c r="AB7" i="36"/>
  <c r="T36" i="36"/>
  <c r="E38" i="43"/>
  <c r="E6" i="3"/>
  <c r="AA10" i="39"/>
  <c r="D10" i="11"/>
  <c r="C10" i="11"/>
  <c r="D20" i="12"/>
  <c r="C20" i="12"/>
  <c r="C18" i="12"/>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C38" i="67"/>
  <c r="S19" i="6"/>
  <c r="S27" i="6"/>
  <c r="I27" i="6"/>
  <c r="W10" i="39"/>
  <c r="AC10" i="39"/>
  <c r="U10" i="39"/>
  <c r="AB10" i="39"/>
  <c r="F50" i="11"/>
  <c r="F50" i="69"/>
  <c r="F50" i="68"/>
  <c r="C47" i="11"/>
  <c r="D45" i="11"/>
  <c r="C29" i="11"/>
  <c r="D27" i="11"/>
  <c r="C28" i="11"/>
  <c r="C27" i="11"/>
  <c r="L16" i="1"/>
  <c r="D9" i="53"/>
  <c r="B25" i="72"/>
  <c r="B24" i="72"/>
  <c r="D121" i="9"/>
  <c r="D7" i="52"/>
  <c r="D6" i="52"/>
  <c r="K120" i="9"/>
  <c r="A18" i="62"/>
  <c r="B64" i="7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60" i="79"/>
  <c r="C66" i="79"/>
  <c r="C60" i="78"/>
  <c r="C66" i="78"/>
  <c r="AA7" i="34"/>
  <c r="C34" i="11"/>
  <c r="C38" i="11"/>
  <c r="C36" i="11"/>
  <c r="J24" i="67"/>
  <c r="J18" i="67"/>
  <c r="J24" i="15"/>
  <c r="J18" i="15"/>
  <c r="G36" i="36"/>
  <c r="R37" i="36"/>
  <c r="AB7" i="34"/>
  <c r="G49" i="34"/>
  <c r="G53" i="34"/>
  <c r="H53" i="34"/>
  <c r="W7" i="21"/>
  <c r="AA7" i="21"/>
  <c r="R48" i="21"/>
  <c r="E48" i="21"/>
  <c r="E52" i="21"/>
  <c r="F52" i="21"/>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G70" i="39"/>
  <c r="C14" i="12"/>
  <c r="C23" i="12"/>
  <c r="E6" i="76"/>
  <c r="M19" i="9"/>
  <c r="C118" i="9"/>
  <c r="C14" i="74"/>
  <c r="B2" i="74"/>
  <c r="D25" i="6"/>
  <c r="D15" i="6"/>
  <c r="D22" i="6"/>
  <c r="D21" i="6"/>
  <c r="D24" i="6"/>
  <c r="D20" i="6"/>
  <c r="D6" i="6"/>
  <c r="D9" i="6"/>
  <c r="D10" i="6"/>
  <c r="L19" i="9"/>
  <c r="D29" i="6"/>
  <c r="H25" i="6"/>
  <c r="R25" i="6"/>
  <c r="H23" i="6"/>
  <c r="H26" i="6"/>
  <c r="H20" i="6"/>
  <c r="D19" i="6"/>
  <c r="D26" i="6"/>
  <c r="C18" i="4"/>
  <c r="D8" i="6"/>
  <c r="D23" i="6"/>
  <c r="R23" i="6"/>
  <c r="D14" i="6"/>
  <c r="D5" i="6"/>
  <c r="D12" i="6"/>
  <c r="D11" i="6"/>
  <c r="D13" i="6"/>
  <c r="D28" i="6"/>
  <c r="D30" i="6"/>
  <c r="E61" i="40"/>
  <c r="H22" i="6"/>
  <c r="H21" i="6"/>
  <c r="H24" i="6"/>
  <c r="H19" i="6"/>
  <c r="C57" i="78"/>
  <c r="E49" i="34"/>
  <c r="E54" i="34"/>
  <c r="F54" i="34"/>
  <c r="C35" i="11"/>
  <c r="C33" i="11"/>
  <c r="C42" i="11"/>
  <c r="E2" i="76"/>
  <c r="B2" i="43"/>
  <c r="R49" i="21"/>
  <c r="C48" i="21"/>
  <c r="G54" i="34"/>
  <c r="H54" i="34"/>
  <c r="I53" i="21"/>
  <c r="J53" i="21"/>
  <c r="C37" i="36"/>
  <c r="C36" i="36"/>
  <c r="G40" i="36"/>
  <c r="H40" i="36"/>
  <c r="E41" i="36"/>
  <c r="F41" i="36"/>
  <c r="G41" i="36"/>
  <c r="H41" i="36"/>
  <c r="C19" i="68"/>
  <c r="C16" i="12"/>
  <c r="C21" i="12"/>
  <c r="E47" i="37"/>
  <c r="F47" i="37"/>
  <c r="E46" i="37"/>
  <c r="F46" i="37"/>
  <c r="C43" i="37"/>
  <c r="C42" i="37"/>
  <c r="C39" i="35"/>
  <c r="C38" i="35"/>
  <c r="E43" i="35"/>
  <c r="F43" i="35"/>
  <c r="E42" i="35"/>
  <c r="F42" i="35"/>
  <c r="G52" i="21"/>
  <c r="H52" i="21"/>
  <c r="G53" i="21"/>
  <c r="H53" i="21"/>
  <c r="E53" i="21"/>
  <c r="F53" i="21"/>
  <c r="H63" i="40"/>
  <c r="G65" i="40"/>
  <c r="H70" i="39"/>
  <c r="B6" i="76"/>
  <c r="F35" i="67"/>
  <c r="M21" i="67"/>
  <c r="R20" i="6"/>
  <c r="R21" i="6"/>
  <c r="A10" i="51"/>
  <c r="B9" i="72"/>
  <c r="C4" i="52"/>
  <c r="B45" i="72"/>
  <c r="A7" i="51"/>
  <c r="B7" i="72"/>
  <c r="H27" i="6"/>
  <c r="D16" i="6"/>
  <c r="R26" i="6"/>
  <c r="R24" i="6"/>
  <c r="R22" i="6"/>
  <c r="D27" i="6"/>
  <c r="D31" i="6"/>
  <c r="I6" i="6"/>
  <c r="R19" i="6"/>
  <c r="C61" i="78"/>
  <c r="C64" i="78"/>
  <c r="C56" i="78"/>
  <c r="C65" i="78"/>
  <c r="Q49" i="78"/>
  <c r="J19" i="78"/>
  <c r="J14" i="78"/>
  <c r="C49" i="34"/>
  <c r="I54" i="34"/>
  <c r="J54" i="34"/>
  <c r="E53" i="34"/>
  <c r="F53" i="34"/>
  <c r="B2" i="76"/>
  <c r="B3" i="76"/>
  <c r="B3" i="43"/>
  <c r="C49" i="21"/>
  <c r="F63" i="67"/>
  <c r="C62" i="67"/>
  <c r="C34" i="67"/>
  <c r="J20" i="67"/>
  <c r="C22" i="12"/>
  <c r="C30" i="12"/>
  <c r="C28" i="12"/>
  <c r="I63" i="40"/>
  <c r="H65" i="40"/>
  <c r="C39" i="11"/>
  <c r="C43" i="11"/>
  <c r="C41" i="11"/>
  <c r="I70" i="39"/>
  <c r="M21" i="78"/>
  <c r="M21" i="79"/>
  <c r="I5" i="6"/>
  <c r="J20" i="78"/>
  <c r="J17" i="78"/>
  <c r="F63" i="78"/>
  <c r="C62" i="78"/>
  <c r="C59" i="78"/>
  <c r="C58" i="78"/>
  <c r="C67" i="78"/>
  <c r="F63" i="79"/>
  <c r="C62" i="79"/>
  <c r="J20" i="79"/>
  <c r="R27" i="6"/>
  <c r="Q48" i="78"/>
  <c r="Q70" i="78"/>
  <c r="J22" i="78"/>
  <c r="J13" i="78"/>
  <c r="J23" i="78"/>
  <c r="C75" i="78"/>
  <c r="J14" i="79"/>
  <c r="Q49" i="79"/>
  <c r="C57" i="79"/>
  <c r="J19" i="79"/>
  <c r="C27" i="12"/>
  <c r="C25" i="12"/>
  <c r="C32" i="12"/>
  <c r="B2" i="12"/>
  <c r="B3" i="12"/>
  <c r="J63" i="40"/>
  <c r="I65" i="40"/>
  <c r="C46" i="11"/>
  <c r="C45" i="11"/>
  <c r="C49" i="11"/>
  <c r="C51" i="11"/>
  <c r="C52" i="11"/>
  <c r="B2" i="11"/>
  <c r="B3" i="11"/>
  <c r="J70" i="39"/>
  <c r="M21" i="15"/>
  <c r="J17" i="79"/>
  <c r="J20" i="15"/>
  <c r="F63" i="15"/>
  <c r="C62" i="15"/>
  <c r="R16" i="1"/>
  <c r="J16" i="78"/>
  <c r="J25" i="78"/>
  <c r="C75" i="79"/>
  <c r="C56" i="79"/>
  <c r="C65" i="79"/>
  <c r="Q70" i="79"/>
  <c r="C61" i="79"/>
  <c r="C59" i="79"/>
  <c r="C64" i="79"/>
  <c r="J13" i="79"/>
  <c r="J23" i="79"/>
  <c r="J22" i="79"/>
  <c r="Q48" i="79"/>
  <c r="K63" i="40"/>
  <c r="J65" i="40"/>
  <c r="K70" i="39"/>
  <c r="C56" i="11"/>
  <c r="C57" i="11"/>
  <c r="J16" i="79"/>
  <c r="J25" i="79"/>
  <c r="Q69" i="79"/>
  <c r="Q68" i="79"/>
  <c r="C58" i="79"/>
  <c r="C67" i="79"/>
  <c r="C80" i="79"/>
  <c r="C79" i="79"/>
  <c r="L63" i="40"/>
  <c r="K65" i="40"/>
  <c r="L70" i="39"/>
  <c r="E2" i="70"/>
  <c r="C34" i="69"/>
  <c r="L51" i="79"/>
  <c r="C17" i="67"/>
  <c r="Q67" i="79"/>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L57" i="15"/>
  <c r="L60" i="15"/>
  <c r="L51" i="15"/>
  <c r="M27" i="67"/>
  <c r="M27" i="15"/>
  <c r="F41" i="67"/>
  <c r="Q67" i="15"/>
  <c r="F69" i="78"/>
  <c r="C68" i="78"/>
  <c r="C71" i="78"/>
  <c r="F69" i="79"/>
  <c r="C68" i="79"/>
  <c r="C71" i="79"/>
  <c r="J26" i="67"/>
  <c r="J29" i="67"/>
  <c r="C58" i="15"/>
  <c r="C67" i="15"/>
  <c r="F69" i="15"/>
  <c r="C43" i="15"/>
  <c r="Q57" i="15"/>
  <c r="Q66" i="15"/>
  <c r="F69" i="67"/>
  <c r="C68" i="67"/>
  <c r="C71" i="67"/>
  <c r="C40" i="67"/>
  <c r="C83" i="67"/>
  <c r="C82" i="67"/>
  <c r="C43" i="79"/>
  <c r="C46" i="79"/>
  <c r="Q56" i="79"/>
  <c r="Q62" i="79"/>
  <c r="Q47" i="79"/>
  <c r="Q53" i="79"/>
  <c r="B3" i="79"/>
  <c r="C83" i="79"/>
  <c r="C82" i="79"/>
  <c r="Q65" i="79"/>
  <c r="Q75" i="79"/>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E2" i="68"/>
  <c r="D2" i="21"/>
  <c r="F20" i="31"/>
  <c r="D2" i="33"/>
  <c r="D2" i="37"/>
  <c r="D2" i="35"/>
  <c r="D2" i="36"/>
  <c r="D2" i="34"/>
  <c r="B20" i="31"/>
  <c r="B2" i="36"/>
  <c r="B3" i="36"/>
  <c r="B2" i="35"/>
  <c r="B3" i="35"/>
  <c r="B2" i="37"/>
  <c r="B3" i="37"/>
  <c r="B2" i="34"/>
  <c r="B3" i="34"/>
  <c r="B2" i="21"/>
  <c r="B3" i="21"/>
  <c r="J7" i="33"/>
  <c r="W7" i="33"/>
  <c r="F7" i="33"/>
  <c r="S7" i="33"/>
  <c r="H7" i="33"/>
  <c r="AB7" i="33"/>
  <c r="G48" i="33"/>
  <c r="G52" i="33"/>
  <c r="H52" i="33"/>
  <c r="AA7" i="33"/>
  <c r="U7" i="33"/>
  <c r="AC7" i="33"/>
  <c r="I48" i="33"/>
  <c r="I52" i="33"/>
  <c r="J52" i="33"/>
  <c r="E48" i="33"/>
  <c r="G53" i="33"/>
  <c r="H53" i="33"/>
  <c r="E53" i="33"/>
  <c r="F53" i="33"/>
  <c r="E52" i="33"/>
  <c r="F52" i="33"/>
  <c r="I53" i="33"/>
  <c r="J53" i="33"/>
  <c r="C48" i="33"/>
  <c r="J7" i="39"/>
  <c r="AC7" i="39"/>
  <c r="I47" i="39"/>
  <c r="F7" i="39"/>
  <c r="S7" i="39"/>
  <c r="H7" i="39"/>
  <c r="AB7" i="39"/>
  <c r="G47" i="39"/>
  <c r="B2" i="33"/>
  <c r="B3" i="33"/>
  <c r="G52" i="39"/>
  <c r="H52" i="39"/>
  <c r="G51" i="39"/>
  <c r="H51" i="39"/>
  <c r="I51" i="39"/>
  <c r="J51" i="39"/>
  <c r="W7" i="39"/>
  <c r="U7" i="39"/>
  <c r="AA7" i="39"/>
  <c r="E47" i="39"/>
  <c r="C47" i="39"/>
  <c r="E51" i="39"/>
  <c r="F51" i="39"/>
  <c r="E52" i="39"/>
  <c r="F52" i="39"/>
  <c r="I52" i="39"/>
  <c r="J52" i="39"/>
  <c r="C80" i="78"/>
  <c r="C79" i="78"/>
  <c r="B3" i="39"/>
  <c r="Q69" i="78"/>
  <c r="Q68" i="78"/>
  <c r="Q65" i="78"/>
  <c r="Q75" i="78"/>
  <c r="L51" i="78"/>
  <c r="Q47" i="78"/>
  <c r="Q53" i="78"/>
  <c r="Q67" i="78"/>
  <c r="C43" i="78"/>
  <c r="C46" i="78"/>
  <c r="C83" i="78"/>
  <c r="C82" i="78"/>
  <c r="Q56" i="78"/>
  <c r="Q62" i="78"/>
  <c r="H112" i="9"/>
  <c r="D21" i="53"/>
  <c r="B39" i="72"/>
  <c r="H111" i="9"/>
  <c r="D126" i="9"/>
  <c r="D19" i="53"/>
  <c r="D59" i="9"/>
  <c r="M55" i="9"/>
  <c r="B3" i="78"/>
  <c r="B38" i="72"/>
  <c r="D20" i="53"/>
  <c r="B40" i="72"/>
  <c r="I14" i="74"/>
  <c r="B8" i="74"/>
  <c r="D127" i="9"/>
  <c r="D13" i="52"/>
  <c r="D12" i="52"/>
  <c r="D102" i="9"/>
  <c r="D21" i="9"/>
  <c r="B3" i="70"/>
  <c r="D8" i="74"/>
  <c r="C8" i="74"/>
  <c r="H107" i="9"/>
  <c r="D20" i="9"/>
  <c r="D103" i="9"/>
  <c r="C57" i="68"/>
  <c r="C56" i="68"/>
  <c r="D122" i="9"/>
  <c r="H108" i="9"/>
  <c r="D15" i="53"/>
  <c r="B31" i="72"/>
  <c r="D13" i="53"/>
  <c r="C102" i="9"/>
  <c r="C21" i="9"/>
  <c r="G19" i="9"/>
  <c r="B3" i="68"/>
  <c r="D14" i="53"/>
  <c r="B32" i="72"/>
  <c r="B30" i="72"/>
  <c r="G14" i="74"/>
  <c r="B6" i="74"/>
  <c r="D123" i="9"/>
  <c r="D9" i="52"/>
  <c r="D8" i="52"/>
  <c r="D35" i="9"/>
  <c r="D34" i="9"/>
  <c r="C20" i="9"/>
  <c r="C103" i="9"/>
  <c r="G20" i="9"/>
  <c r="G21" i="9"/>
  <c r="C32" i="9"/>
  <c r="D6" i="74"/>
  <c r="C6" i="74"/>
  <c r="C35" i="9"/>
  <c r="F118" i="9"/>
  <c r="H118" i="9"/>
  <c r="C104" i="9"/>
  <c r="H101" i="9"/>
  <c r="H119" i="9"/>
  <c r="H5" i="52"/>
  <c r="H4" i="52"/>
  <c r="I118" i="9"/>
  <c r="D14" i="74"/>
  <c r="G118" i="9"/>
  <c r="G4" i="52"/>
  <c r="B52" i="72"/>
  <c r="F119" i="9"/>
  <c r="F5" i="52"/>
  <c r="B53" i="72"/>
  <c r="F4" i="52"/>
  <c r="B51" i="72"/>
  <c r="C34" i="9"/>
  <c r="D118" i="9"/>
  <c r="C105" i="9"/>
  <c r="I4" i="52"/>
  <c r="H102" i="9"/>
  <c r="D7" i="53"/>
  <c r="B21" i="72"/>
  <c r="E118" i="9"/>
  <c r="E4" i="52"/>
  <c r="B48" i="72"/>
  <c r="D119" i="9"/>
  <c r="D5" i="52"/>
  <c r="B49" i="72"/>
  <c r="D4" i="52"/>
  <c r="B47" i="72"/>
  <c r="B5" i="74"/>
  <c r="E14" i="74"/>
  <c r="F14" i="74"/>
  <c r="H109" i="9"/>
  <c r="M48" i="9"/>
  <c r="D45" i="9"/>
  <c r="D5" i="53"/>
  <c r="AD3" i="71"/>
  <c r="P21" i="43"/>
  <c r="B20" i="72"/>
  <c r="D6" i="53"/>
  <c r="B22" i="72"/>
  <c r="D5" i="74"/>
  <c r="C5" i="74"/>
  <c r="D53" i="9"/>
  <c r="C93" i="9"/>
  <c r="C86" i="9"/>
  <c r="C78" i="9"/>
  <c r="C73" i="9"/>
  <c r="C72" i="9"/>
  <c r="C64" i="9"/>
  <c r="C63" i="9"/>
  <c r="C67" i="9"/>
  <c r="C68" i="9"/>
  <c r="D54" i="9"/>
  <c r="D52" i="9"/>
  <c r="C85" i="9"/>
  <c r="D55" i="9"/>
  <c r="M53" i="9"/>
  <c r="D16" i="53"/>
  <c r="H110" i="9"/>
  <c r="D18" i="53"/>
  <c r="B35" i="72"/>
  <c r="D124" i="9"/>
  <c r="M49" i="9"/>
  <c r="P22" i="43"/>
  <c r="P23" i="43"/>
  <c r="B71" i="39"/>
  <c r="P24" i="43"/>
  <c r="B66" i="40"/>
  <c r="P25" i="43"/>
  <c r="C95" i="9"/>
  <c r="C96" i="9"/>
  <c r="E96" i="9"/>
  <c r="E97" i="9"/>
  <c r="H14" i="74"/>
  <c r="B7" i="74"/>
  <c r="D10" i="52"/>
  <c r="D125" i="9"/>
  <c r="D11" i="52"/>
  <c r="B34" i="72"/>
  <c r="D17" i="53"/>
  <c r="B36" i="72"/>
  <c r="L64" i="9"/>
  <c r="M64" i="9"/>
  <c r="L68" i="9"/>
  <c r="M68" i="9"/>
  <c r="L67" i="9"/>
  <c r="M67" i="9"/>
  <c r="L66" i="9"/>
  <c r="M66" i="9"/>
  <c r="L63" i="9"/>
  <c r="M63" i="9"/>
  <c r="L65" i="9"/>
  <c r="M65" i="9"/>
  <c r="C79" i="9"/>
  <c r="C97" i="9"/>
  <c r="D58" i="9"/>
  <c r="D56" i="9"/>
  <c r="M54" i="9"/>
  <c r="N57" i="9"/>
  <c r="N58" i="9"/>
  <c r="C80" i="9"/>
  <c r="E80" i="9"/>
  <c r="E81" i="9"/>
  <c r="C7" i="74"/>
  <c r="D7" i="74"/>
  <c r="M69" i="9"/>
  <c r="N69"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<sst xmlns="http://schemas.openxmlformats.org/spreadsheetml/2006/main" count="8962" uniqueCount="3352">
  <si>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</si>
  <si>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</si>
  <si>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</si>
  <si>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</si>
  <si>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</si>
  <si>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</si>
  <si>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</si>
  <si>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</si>
  <si>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</si>
  <si>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</si>
  <si>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</si>
  <si>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</si>
  <si>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</si>
  <si>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</si>
  <si>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</si>
  <si>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</si>
  <si>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</si>
  <si>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</si>
  <si>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</si>
  <si>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</si>
  <si>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</si>
  <si>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</si>
  <si>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</si>
  <si>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</si>
  <si>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</si>
  <si>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</si>
  <si>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</si>
  <si>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</si>
  <si>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</si>
  <si>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</si>
  <si>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</si>
  <si>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</si>
  <si>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</si>
  <si>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</si>
  <si>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</si>
  <si>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</si>
  <si>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</si>
  <si>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</si>
  <si>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</si>
  <si>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</si>
  <si>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</si>
  <si>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</si>
  <si>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</si>
  <si>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</si>
  <si>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</si>
  <si>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</si>
  <si>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</si>
  <si>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</si>
  <si>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</si>
  <si>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</si>
  <si>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</si>
  <si>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</si>
  <si>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</si>
  <si>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</si>
  <si>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</si>
  <si>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</si>
  <si>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</si>
  <si>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</si>
  <si>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</si>
  <si>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</si>
  <si>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</si>
  <si>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</si>
  <si>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</si>
  <si>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</si>
  <si>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</si>
  <si>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</si>
  <si>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</si>
  <si>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</si>
  <si>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</si>
  <si>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</si>
  <si>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</si>
  <si>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</si>
  <si>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</si>
  <si>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</si>
  <si>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</si>
  <si>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</si>
  <si>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</si>
  <si>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</si>
  <si>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</si>
  <si>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</si>
  <si>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</si>
  <si>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</si>
  <si>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</si>
  <si>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</si>
  <si>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</si>
  <si>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</si>
  <si>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</si>
  <si>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</si>
  <si>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</si>
  <si>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</si>
  <si>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</si>
  <si>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</si>
  <si>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</si>
  <si>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</si>
  <si>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</si>
  <si>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</si>
  <si>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</si>
  <si>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</si>
  <si>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</si>
  <si>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</si>
  <si>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</si>
  <si>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</si>
  <si>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</si>
  <si>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</si>
  <si>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</si>
  <si>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</si>
  <si>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</si>
  <si>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</si>
  <si>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</si>
  <si>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</si>
  <si>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</si>
  <si>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</si>
  <si>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</si>
  <si>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</si>
  <si>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</si>
  <si>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</si>
  <si>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</si>
  <si>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</si>
  <si>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</si>
  <si>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</si>
  <si>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</si>
  <si>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</si>
  <si>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</si>
  <si>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</si>
  <si>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</si>
  <si>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</si>
  <si>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</si>
  <si>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</si>
  <si>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</si>
  <si>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</si>
  <si>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</si>
  <si>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</si>
  <si>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</si>
  <si>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</si>
  <si>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</si>
  <si>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</si>
  <si>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</si>
  <si>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</si>
  <si>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</si>
  <si>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</si>
  <si>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</si>
  <si>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</si>
  <si>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</si>
  <si>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</si>
  <si>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</si>
  <si>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</si>
  <si>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</si>
  <si>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</si>
  <si>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</si>
  <si>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</si>
  <si>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</si>
  <si>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</si>
  <si>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</si>
  <si>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</si>
  <si>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</si>
  <si>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</si>
  <si>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</si>
  <si>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</si>
  <si>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</si>
  <si>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</si>
  <si>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</si>
  <si>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</si>
  <si>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</si>
  <si>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</si>
  <si>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</si>
  <si>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</si>
  <si>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</si>
  <si>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</si>
  <si>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</si>
  <si>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</si>
  <si>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</si>
  <si>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</si>
  <si>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</si>
  <si>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</si>
  <si>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</si>
  <si>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</si>
  <si>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</si>
  <si>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</si>
  <si>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</si>
  <si>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</si>
  <si>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</si>
  <si>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</si>
  <si>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</si>
  <si>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</si>
  <si>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</si>
  <si>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</si>
  <si>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</si>
  <si>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</si>
  <si>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</si>
  <si>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</si>
  <si>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</si>
  <si>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</si>
  <si>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</si>
  <si>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</si>
  <si>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</si>
  <si>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</si>
  <si>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</si>
  <si>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</si>
  <si>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</si>
  <si>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</si>
  <si>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</si>
  <si>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</si>
  <si>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</si>
  <si>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</si>
  <si>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</si>
  <si>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</si>
  <si>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</si>
  <si>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</si>
  <si>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</si>
  <si>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</si>
  <si>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</si>
  <si>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</si>
  <si>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</si>
  <si>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</si>
  <si>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</si>
  <si>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</si>
  <si>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</si>
  <si>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</si>
  <si>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</si>
  <si>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</si>
  <si>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</si>
  <si>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</si>
  <si>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</si>
  <si>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</si>
  <si>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</si>
  <si>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</si>
  <si>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</si>
  <si>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</si>
  <si>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</si>
  <si>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</si>
  <si>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</si>
  <si>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</si>
  <si>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</si>
  <si>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</si>
  <si>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</si>
  <si>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</si>
  <si>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</si>
  <si>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</si>
  <si>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</si>
  <si>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</si>
  <si>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</si>
  <si>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</si>
  <si>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</si>
  <si>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</si>
  <si>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</si>
  <si>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</si>
  <si>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</si>
  <si>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</si>
  <si>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</si>
  <si>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</si>
  <si>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</si>
  <si>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</si>
  <si>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</si>
  <si>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</si>
  <si>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</si>
  <si>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</si>
  <si>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</si>
  <si>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</si>
  <si>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</si>
  <si>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</si>
  <si>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</si>
  <si>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</si>
  <si>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</si>
  <si>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</si>
  <si>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</si>
  <si>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</si>
  <si>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</si>
  <si>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</si>
  <si>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</si>
  <si>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</si>
  <si>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</si>
  <si>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</si>
  <si>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</si>
  <si>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</si>
  <si>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</si>
  <si>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</si>
  <si>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</si>
  <si>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</si>
  <si>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</si>
  <si>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</si>
  <si>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</si>
  <si>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</si>
  <si>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</si>
  <si>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</si>
  <si>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</si>
  <si>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</si>
  <si>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</si>
  <si>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</si>
  <si>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</si>
  <si>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</si>
  <si>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</si>
  <si>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</si>
  <si>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</si>
  <si>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</si>
  <si>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</si>
  <si>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</si>
  <si>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</si>
  <si>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</si>
  <si>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</si>
  <si>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</si>
  <si>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</si>
  <si>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</si>
  <si>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</si>
  <si>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</si>
  <si>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</si>
  <si>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</si>
  <si>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</si>
  <si>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</si>
  <si>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</si>
  <si>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</si>
  <si>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</si>
  <si>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</si>
  <si>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</si>
  <si>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</si>
  <si>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</si>
  <si>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</si>
  <si>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</si>
  <si>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</si>
  <si>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</si>
  <si>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</si>
  <si>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</si>
  <si>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</si>
  <si>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</si>
  <si>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</si>
  <si>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</si>
  <si>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</si>
  <si>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</si>
  <si>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</si>
  <si>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</si>
  <si>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</si>
  <si>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</si>
  <si>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</si>
  <si>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</si>
  <si>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</si>
  <si>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</si>
  <si>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</si>
  <si>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</si>
  <si>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</si>
  <si>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</si>
  <si>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</si>
  <si>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</si>
  <si>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</si>
  <si>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</si>
  <si>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</si>
  <si>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</si>
  <si>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</si>
  <si>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</si>
  <si>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</si>
  <si>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</si>
  <si>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</si>
  <si>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</si>
  <si>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</si>
  <si>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</si>
  <si>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</si>
  <si>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</si>
  <si>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</si>
  <si>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</si>
  <si>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</si>
  <si>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</si>
  <si>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</si>
  <si>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</si>
  <si>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</si>
  <si>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</si>
  <si>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</si>
  <si>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</si>
  <si>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</si>
  <si>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</si>
  <si>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</si>
  <si>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</si>
  <si>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</si>
  <si>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</si>
  <si>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</si>
  <si>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</si>
  <si>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</si>
  <si>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</si>
  <si>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</si>
  <si>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</si>
  <si>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</si>
  <si>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</si>
  <si>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</si>
  <si>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</si>
  <si>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</si>
  <si>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</si>
  <si>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</si>
  <si>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</si>
  <si>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</si>
  <si>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</si>
  <si>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</si>
  <si>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</si>
  <si>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</si>
  <si>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</si>
  <si>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</si>
  <si>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</si>
  <si>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</si>
  <si>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</si>
  <si>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</si>
  <si>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</si>
  <si>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</si>
  <si>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</si>
  <si>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</si>
  <si>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</si>
  <si>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</si>
  <si>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</si>
  <si>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</si>
  <si>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</si>
  <si>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</si>
  <si>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</si>
  <si>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</si>
  <si>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</si>
  <si>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</si>
  <si>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</si>
  <si>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</si>
  <si>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</si>
  <si>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</si>
  <si>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</si>
  <si>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</si>
  <si>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</si>
  <si>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</si>
  <si>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</si>
  <si>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</si>
  <si>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</si>
  <si>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</si>
  <si>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</si>
  <si>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</si>
  <si>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</si>
  <si>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</si>
  <si>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</si>
  <si>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</si>
  <si>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</si>
  <si>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</si>
  <si>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</si>
  <si>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</si>
  <si>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</si>
  <si>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</si>
  <si>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</si>
  <si>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</si>
  <si>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</si>
  <si>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</si>
  <si>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</si>
  <si>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</si>
  <si>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</si>
  <si>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</si>
  <si>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</si>
  <si>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</si>
  <si>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</si>
  <si>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</si>
  <si>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</si>
  <si>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</si>
  <si>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</si>
  <si>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</si>
  <si>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</si>
  <si>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</si>
  <si>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</si>
  <si>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</si>
  <si>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</si>
  <si>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</si>
  <si>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</si>
  <si>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</si>
  <si>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</si>
  <si>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</si>
  <si>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</si>
  <si>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</si>
  <si>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</si>
  <si>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</si>
  <si>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</si>
  <si>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</si>
  <si>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</si>
  <si>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</si>
  <si>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</si>
  <si>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</si>
  <si>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</si>
  <si>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</si>
  <si>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</si>
  <si>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</si>
  <si>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</si>
  <si>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</si>
  <si>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</si>
  <si>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</si>
  <si>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</si>
  <si>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</si>
  <si>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</si>
  <si>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</si>
  <si>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</si>
  <si>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</si>
  <si>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</si>
  <si>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</si>
  <si>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</si>
  <si>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</si>
  <si>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</si>
  <si>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</si>
  <si>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</si>
  <si>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</si>
  <si>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</si>
  <si>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</si>
  <si>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</si>
  <si>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</si>
  <si>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</si>
  <si>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</si>
  <si>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</si>
  <si>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</si>
  <si>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</si>
  <si>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</si>
  <si>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</si>
  <si>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</si>
  <si>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</si>
  <si>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</si>
  <si>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</si>
  <si>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</si>
  <si>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</si>
  <si>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</si>
  <si>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</si>
  <si>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</si>
  <si>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</si>
  <si>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</si>
  <si>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</si>
  <si>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</si>
  <si>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</si>
  <si>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</si>
  <si>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</si>
  <si>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</si>
  <si>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</si>
  <si>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</si>
  <si>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</si>
  <si>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</si>
  <si>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</si>
  <si>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</si>
  <si>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</si>
  <si>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</si>
  <si>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</si>
  <si>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</si>
  <si>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</si>
  <si>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</si>
  <si>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</si>
  <si>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</si>
  <si>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</si>
  <si>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</si>
  <si>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</si>
  <si>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</si>
  <si>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</si>
  <si>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</si>
  <si>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</si>
  <si>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</si>
  <si>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</si>
  <si>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</si>
  <si>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</si>
  <si>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</si>
  <si>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</si>
  <si>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</si>
  <si>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</si>
  <si>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</si>
  <si>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</si>
  <si>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</si>
  <si>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</si>
  <si>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</si>
  <si>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</si>
  <si>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</si>
  <si>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</si>
  <si>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</si>
  <si>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</si>
  <si>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</si>
  <si>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</si>
  <si>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</si>
  <si>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</si>
  <si>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</si>
  <si>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</si>
  <si>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</si>
  <si>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</si>
  <si>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</si>
  <si>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</si>
  <si>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</si>
  <si>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</si>
  <si>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</si>
  <si>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</si>
  <si>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</si>
  <si>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</si>
  <si>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</si>
  <si>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</si>
  <si>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</si>
  <si>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</si>
  <si>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</si>
  <si>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</si>
  <si>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</si>
  <si>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</si>
  <si>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</si>
  <si>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</si>
  <si>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</si>
  <si>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</si>
  <si>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</si>
  <si>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</si>
  <si>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</si>
  <si>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</si>
  <si>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</si>
  <si>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</si>
  <si>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</si>
  <si>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</si>
  <si>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</si>
  <si>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</si>
  <si>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</si>
  <si>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</si>
  <si>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</si>
  <si>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</si>
  <si>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</si>
  <si>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</si>
  <si>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</si>
  <si>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</si>
  <si>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</si>
  <si>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</si>
  <si>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</si>
  <si>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</si>
  <si>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</si>
  <si>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</si>
  <si>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</si>
  <si>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</si>
  <si>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</si>
  <si>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</si>
  <si>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</si>
  <si>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</si>
  <si>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</si>
  <si>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</si>
  <si>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</si>
  <si>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</si>
  <si>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</si>
  <si>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</si>
  <si>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</si>
  <si>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</si>
  <si>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</si>
  <si>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</si>
  <si>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</si>
  <si>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</si>
  <si>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</si>
  <si>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</si>
  <si>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</si>
  <si>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</si>
  <si>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</si>
  <si>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</si>
  <si>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</si>
  <si>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</si>
  <si>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</si>
  <si>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</si>
  <si>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</si>
  <si>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</si>
  <si>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</si>
  <si>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</si>
  <si>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</si>
  <si>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</si>
  <si>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</si>
  <si>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</si>
  <si>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</si>
  <si>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</si>
  <si>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</si>
  <si>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</si>
  <si>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</si>
  <si>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</si>
  <si>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</si>
  <si>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</si>
  <si>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</si>
  <si>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</si>
  <si>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</si>
  <si>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</si>
  <si>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</si>
  <si>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</si>
  <si>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</si>
  <si>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</si>
  <si>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</si>
  <si>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</si>
  <si>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</si>
  <si>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</si>
  <si>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</si>
  <si>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</si>
  <si>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</si>
  <si>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</si>
  <si>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</si>
  <si>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</si>
  <si>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</si>
  <si>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</si>
  <si>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</si>
  <si>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</si>
  <si>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</si>
  <si>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</si>
  <si>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</si>
  <si>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</si>
  <si>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</si>
  <si>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</si>
  <si>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</si>
  <si>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</si>
  <si>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</si>
  <si>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</si>
  <si>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</si>
  <si>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</si>
  <si>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</si>
  <si>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</si>
  <si>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</si>
  <si>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</si>
  <si>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</si>
  <si>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</si>
  <si>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</si>
  <si>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</si>
  <si>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</si>
  <si>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</si>
  <si>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</si>
  <si>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</si>
  <si>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</si>
  <si>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</si>
  <si>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</si>
  <si>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</si>
  <si>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</si>
  <si>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</si>
  <si>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</si>
  <si>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</si>
  <si>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</si>
  <si>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</si>
  <si>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</si>
  <si>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</si>
  <si>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</si>
  <si>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</si>
  <si>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</si>
  <si>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</si>
  <si>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</si>
  <si>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</si>
  <si>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</si>
  <si>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</si>
  <si>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</si>
  <si>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</si>
  <si>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</si>
  <si>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</si>
  <si>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</si>
  <si>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</si>
  <si>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</si>
  <si>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</si>
  <si>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</si>
  <si>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</si>
  <si>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</si>
  <si>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</si>
  <si>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</si>
  <si>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</si>
  <si>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</si>
  <si>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</si>
  <si>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</si>
  <si>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</si>
  <si>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</si>
  <si>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</si>
  <si>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</si>
  <si>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</si>
  <si>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</si>
  <si>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</si>
  <si>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</si>
  <si>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</si>
  <si>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</si>
  <si>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</si>
  <si>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</si>
  <si>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</si>
  <si>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</si>
  <si>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</si>
  <si>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</si>
  <si>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</si>
  <si>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</si>
  <si>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</si>
  <si>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</si>
  <si>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</si>
  <si>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</si>
  <si>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</si>
  <si>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</si>
  <si>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</si>
  <si>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</si>
  <si>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</si>
  <si>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</si>
  <si>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</si>
  <si>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</si>
  <si>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</si>
  <si>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</si>
  <si>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</si>
  <si>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</si>
  <si>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</si>
  <si>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</si>
  <si>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</si>
  <si>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</si>
  <si>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</si>
  <si>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</si>
  <si>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</si>
  <si>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</si>
  <si>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</si>
  <si>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</si>
  <si>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</si>
  <si>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</si>
  <si>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</si>
  <si>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</si>
  <si>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</si>
  <si>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</si>
  <si>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</si>
  <si>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</si>
  <si>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</si>
  <si>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</si>
  <si>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</si>
  <si>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</si>
  <si>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</si>
  <si>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</si>
  <si>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</si>
  <si>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</si>
  <si>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</si>
  <si>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</si>
  <si>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</si>
  <si>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</si>
  <si>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</si>
  <si>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</si>
  <si>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</si>
  <si>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</si>
  <si>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</si>
  <si>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</si>
  <si>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</si>
  <si>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</si>
  <si>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</si>
  <si>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</si>
  <si>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</si>
  <si>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</si>
  <si>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</si>
  <si>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</si>
  <si>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</si>
  <si>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</si>
  <si>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</si>
  <si>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</si>
  <si>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</si>
  <si>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</si>
  <si>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</si>
  <si>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</si>
  <si>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</si>
  <si>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</si>
  <si>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</si>
  <si>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</si>
  <si>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</si>
  <si>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</si>
  <si>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</si>
  <si>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</si>
  <si>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</si>
  <si>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</si>
  <si>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</si>
  <si>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</si>
  <si>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</si>
  <si>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</si>
  <si>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</si>
  <si>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</si>
  <si>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</si>
  <si>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</si>
  <si>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</si>
  <si>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</si>
  <si>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</si>
  <si>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</si>
  <si>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</si>
  <si>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</si>
  <si>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</si>
  <si>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</si>
  <si>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</si>
  <si>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</si>
  <si>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</si>
  <si>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</si>
  <si>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</si>
  <si>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</si>
  <si>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</si>
  <si>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</si>
  <si>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</si>
  <si>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</si>
  <si>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</si>
  <si>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</si>
  <si>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</si>
  <si>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</si>
  <si>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</si>
  <si>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</si>
  <si>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</si>
  <si>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</si>
  <si>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</si>
  <si>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</si>
  <si>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</si>
  <si>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</si>
  <si>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</si>
  <si>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</si>
  <si>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</si>
  <si>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</si>
  <si>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</si>
  <si>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</si>
  <si>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</si>
  <si>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</si>
  <si>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</si>
  <si>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</si>
  <si>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</si>
  <si>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</si>
  <si>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</si>
  <si>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</si>
  <si>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</si>
  <si>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</si>
  <si>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</si>
  <si>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</si>
  <si>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</si>
  <si>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</si>
  <si>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</si>
  <si>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</si>
  <si>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</si>
  <si>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</si>
  <si>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</si>
  <si>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</si>
  <si>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</si>
  <si>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</si>
  <si>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</si>
  <si>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</si>
  <si>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</si>
  <si>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</si>
  <si>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</si>
  <si>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</si>
  <si>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</si>
  <si>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</si>
  <si>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</si>
  <si>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</si>
  <si>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</si>
  <si>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</si>
  <si>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</si>
  <si>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</si>
  <si>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</si>
  <si>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</si>
  <si>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</si>
  <si>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</si>
  <si>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</si>
  <si>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</si>
  <si>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</si>
  <si>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</si>
  <si>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</si>
  <si>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</si>
  <si>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</si>
  <si>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</si>
  <si>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</si>
  <si>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</si>
  <si>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</si>
  <si>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</si>
  <si>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</si>
  <si>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</si>
  <si>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</si>
  <si>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</si>
  <si>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</si>
  <si>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</si>
  <si>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</si>
  <si>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</si>
  <si>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</si>
  <si>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</si>
  <si>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</si>
  <si>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</si>
  <si>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</si>
  <si>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</si>
  <si>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</si>
  <si>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</si>
  <si>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</si>
  <si>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</si>
  <si>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</si>
  <si>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</si>
  <si>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</si>
  <si>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</si>
  <si>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</si>
  <si>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</si>
  <si>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</si>
  <si>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</si>
  <si>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</si>
  <si>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</si>
  <si>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</si>
  <si>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</si>
  <si>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</si>
  <si>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</si>
  <si>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</si>
  <si>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</si>
  <si>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</si>
  <si>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</si>
  <si>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</si>
  <si>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</si>
  <si>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</si>
  <si>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</si>
  <si>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</si>
  <si>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</si>
  <si>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</si>
  <si>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</si>
  <si>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</si>
  <si>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</si>
  <si>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</si>
  <si>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</si>
  <si>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</si>
  <si>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</si>
  <si>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</si>
  <si>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</si>
  <si>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</si>
  <si>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</si>
  <si>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</si>
  <si>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</si>
  <si>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</si>
  <si>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</si>
  <si>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</si>
  <si>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</si>
  <si>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</si>
  <si>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</si>
  <si>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</si>
  <si>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</si>
  <si>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</si>
  <si>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</si>
  <si>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</si>
  <si>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</si>
  <si>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</si>
  <si>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</si>
  <si>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</si>
  <si>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</si>
  <si>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</si>
  <si>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</si>
  <si>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</si>
  <si>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</si>
  <si>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</si>
  <si>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</si>
  <si>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</si>
  <si>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</si>
  <si>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</si>
  <si>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</si>
  <si>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</si>
  <si>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</si>
  <si>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</si>
  <si>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</si>
  <si>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</si>
  <si>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</si>
  <si>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</si>
  <si>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</si>
  <si>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</si>
  <si>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</si>
  <si>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</si>
  <si>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</si>
  <si>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</si>
  <si>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</si>
  <si>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</si>
  <si>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</si>
  <si>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</si>
  <si>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</si>
  <si>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</si>
  <si>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</si>
  <si>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</si>
  <si>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</si>
  <si>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</si>
  <si>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</si>
  <si>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</si>
  <si>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</si>
  <si>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</si>
  <si>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</si>
  <si>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</si>
  <si>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</si>
  <si>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</si>
  <si>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</si>
  <si>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</si>
  <si>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</si>
  <si>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</si>
  <si>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</si>
  <si>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</si>
  <si>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</si>
  <si>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</si>
  <si>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</si>
  <si>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</si>
  <si>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</si>
  <si>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</si>
  <si>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</si>
  <si>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</si>
  <si>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</si>
  <si>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</si>
  <si>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</si>
  <si>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</si>
  <si>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</si>
  <si>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</si>
  <si>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</si>
  <si>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</si>
  <si>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</si>
  <si>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</si>
  <si>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</si>
  <si>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</si>
  <si>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</si>
  <si>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</si>
  <si>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</si>
  <si>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</si>
  <si>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</si>
  <si>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</si>
  <si>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</si>
  <si>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</si>
  <si>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</si>
  <si>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</si>
  <si>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</si>
  <si>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</si>
  <si>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</si>
  <si>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</si>
  <si>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</si>
  <si>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</si>
  <si>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</si>
  <si>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</si>
  <si>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</si>
  <si>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</si>
  <si>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</si>
  <si>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</si>
  <si>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</si>
  <si>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</si>
  <si>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</si>
  <si>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</si>
  <si>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</si>
  <si>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</si>
  <si>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</si>
  <si>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</si>
  <si>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</si>
  <si>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</si>
  <si>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</si>
  <si>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</si>
  <si>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</si>
  <si>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</si>
  <si>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</si>
  <si>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</si>
  <si>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</si>
  <si>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</si>
  <si>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</si>
  <si>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</si>
  <si>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</si>
  <si>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</si>
  <si>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</si>
  <si>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</si>
  <si>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</si>
  <si>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</si>
  <si>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</si>
  <si>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</si>
  <si>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</si>
  <si>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</si>
  <si>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</si>
  <si>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</si>
  <si>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</si>
  <si>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</si>
  <si>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</si>
  <si>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</si>
  <si>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</si>
  <si>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</si>
  <si>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</si>
  <si>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</si>
  <si>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</si>
  <si>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</si>
  <si>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</si>
  <si>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</si>
  <si>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</si>
  <si>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</si>
  <si>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</si>
  <si>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</si>
  <si>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</si>
  <si>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</si>
  <si>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</si>
  <si>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</si>
  <si>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</si>
  <si>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</si>
  <si>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</si>
  <si>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</si>
  <si>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</si>
  <si>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</si>
  <si>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</si>
  <si>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</si>
  <si>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</si>
  <si>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</si>
  <si>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</si>
  <si>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</si>
  <si>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</si>
  <si>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</si>
  <si>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</si>
  <si>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</si>
  <si>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</si>
  <si>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</si>
  <si>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</si>
  <si>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</si>
  <si>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</si>
  <si>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</si>
  <si>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</si>
  <si>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</si>
  <si>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</si>
  <si>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</si>
  <si>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</si>
  <si>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</si>
  <si>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</si>
  <si>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</si>
  <si>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</si>
  <si>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</si>
  <si>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</si>
  <si>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</si>
  <si>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</si>
  <si>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</si>
  <si>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</si>
  <si>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</si>
  <si>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</si>
  <si>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</si>
  <si>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</si>
  <si>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</si>
  <si>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</si>
  <si>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</si>
  <si>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</si>
  <si>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</si>
  <si>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</si>
  <si>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</si>
  <si>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</si>
  <si>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</si>
  <si>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</si>
  <si>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</si>
  <si>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</si>
  <si>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</si>
  <si>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</si>
  <si>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</si>
  <si>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</si>
  <si>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</si>
  <si>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</si>
  <si>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</si>
  <si>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</si>
  <si>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</si>
  <si>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</si>
  <si>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</si>
  <si>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</si>
  <si>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</si>
  <si>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</si>
  <si>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</si>
  <si>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</si>
  <si>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</si>
  <si>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</si>
  <si>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</si>
  <si>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</si>
  <si>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</si>
  <si>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</si>
  <si>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</si>
  <si>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</si>
  <si>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</si>
  <si>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</si>
  <si>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</si>
  <si>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</si>
  <si>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</si>
  <si>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</si>
  <si>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</si>
  <si>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</si>
  <si>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</si>
  <si>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</si>
  <si>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</si>
  <si>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</si>
  <si>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</si>
  <si>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</si>
  <si>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</si>
  <si>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</si>
  <si>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</si>
  <si>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</si>
  <si>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</si>
  <si>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</si>
  <si>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</si>
  <si>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</si>
  <si>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</si>
  <si>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</si>
  <si>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</si>
  <si>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</si>
  <si>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</si>
  <si>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</si>
  <si>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</si>
  <si>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</si>
  <si>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</si>
  <si>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</si>
  <si>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</si>
  <si>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</si>
  <si>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</si>
  <si>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</si>
  <si>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</si>
  <si>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</si>
  <si>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</si>
  <si>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</si>
  <si>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</si>
  <si>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</si>
  <si>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</si>
  <si>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</si>
  <si>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</si>
  <si>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</si>
  <si>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</si>
  <si>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</si>
  <si>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</si>
  <si>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</si>
  <si>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</si>
  <si>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</si>
  <si>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</si>
  <si>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</si>
  <si>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</si>
  <si>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</si>
  <si>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</si>
  <si>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</si>
  <si>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</si>
  <si>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</si>
  <si>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</si>
  <si>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</si>
  <si>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</si>
  <si>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</si>
  <si>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</si>
  <si>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</si>
  <si>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</si>
  <si>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</si>
  <si>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</si>
  <si>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</si>
  <si>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</si>
  <si>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</si>
  <si>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</si>
  <si>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</si>
  <si>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</si>
  <si>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</si>
  <si>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</si>
  <si>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</si>
  <si>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</si>
  <si>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</si>
  <si>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</si>
  <si>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</si>
  <si>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</si>
  <si>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</si>
  <si>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</si>
  <si>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</si>
  <si>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</si>
  <si>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</si>
  <si>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</si>
  <si>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</si>
  <si>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</si>
  <si>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</si>
  <si>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</si>
  <si>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</si>
  <si>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</si>
  <si>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</si>
  <si>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</si>
  <si>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</si>
  <si>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</si>
  <si>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</si>
  <si>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</si>
  <si>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</si>
  <si>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</si>
  <si>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</si>
  <si>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</si>
  <si>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</si>
  <si>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</si>
  <si>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</si>
  <si>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</si>
  <si>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</si>
  <si>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</si>
  <si>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</si>
  <si>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</si>
  <si>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</si>
  <si>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</si>
  <si>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</si>
  <si>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</si>
  <si>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</si>
  <si>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</si>
  <si>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</si>
  <si>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</si>
  <si>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</si>
  <si>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</si>
  <si>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</si>
  <si>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</si>
  <si>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</si>
  <si>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</si>
  <si>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</si>
  <si>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</si>
  <si>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</si>
  <si>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</si>
  <si>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</si>
  <si>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</si>
  <si>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</si>
  <si>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</si>
  <si>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</si>
  <si>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</si>
  <si>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</si>
  <si>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</si>
  <si>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</si>
  <si>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</si>
  <si>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</si>
  <si>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</si>
  <si>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</si>
  <si>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</si>
  <si>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</si>
  <si>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</si>
  <si>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</si>
  <si>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</si>
  <si>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</si>
  <si>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</si>
  <si>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</si>
  <si>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</si>
  <si>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</si>
  <si>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</si>
  <si>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</si>
  <si>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</si>
  <si>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</si>
  <si>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</si>
  <si>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</si>
  <si>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</si>
  <si>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</si>
  <si>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</si>
  <si>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</si>
  <si>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</si>
  <si>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</si>
  <si>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</si>
  <si>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</si>
  <si>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</si>
  <si>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</si>
  <si>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</si>
  <si>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</si>
  <si>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</si>
  <si>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</si>
  <si>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</si>
  <si>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</si>
  <si>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</si>
  <si>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</si>
  <si>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</si>
  <si>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</si>
  <si>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</si>
  <si>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</si>
  <si>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</si>
  <si>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</si>
  <si>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</si>
  <si>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</si>
  <si>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</si>
  <si>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</si>
  <si>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</si>
  <si>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</si>
  <si>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</si>
  <si>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</si>
  <si>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</si>
  <si>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</si>
  <si>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</si>
  <si>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</si>
  <si>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</si>
  <si>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</si>
  <si>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</si>
  <si>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</si>
  <si>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</si>
  <si>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</si>
  <si>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</si>
  <si>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</si>
  <si>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</si>
  <si>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</si>
  <si>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</si>
  <si>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</si>
  <si>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</si>
  <si>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</si>
  <si>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</si>
  <si>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</si>
  <si>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</si>
  <si>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</si>
  <si>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</si>
  <si>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</si>
  <si>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</si>
  <si>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</si>
  <si>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</si>
  <si>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</si>
  <si>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</si>
  <si>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</si>
  <si>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</si>
  <si>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</si>
  <si>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</si>
  <si>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</si>
  <si>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</si>
  <si>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</si>
  <si>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</si>
  <si>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</si>
  <si>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</si>
  <si>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</si>
  <si>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</si>
  <si>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</si>
  <si>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</si>
  <si>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</si>
  <si>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</si>
  <si>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</si>
  <si>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</si>
  <si>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</si>
  <si>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</si>
  <si>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</si>
  <si>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</si>
  <si>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</si>
  <si>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</si>
  <si>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</si>
  <si>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</si>
  <si>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</si>
  <si>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</si>
  <si>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</si>
  <si>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</si>
  <si>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</si>
  <si>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</si>
  <si>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</si>
  <si>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</si>
  <si>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</si>
  <si>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</si>
  <si>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</si>
  <si>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</si>
  <si>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</si>
  <si>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</si>
  <si>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</si>
  <si>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</si>
  <si>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</si>
  <si>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</si>
  <si>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</si>
  <si>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</si>
  <si>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</si>
  <si>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</si>
  <si>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</si>
  <si>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</si>
  <si>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</si>
  <si>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</si>
  <si>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</si>
  <si>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</si>
  <si>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</si>
  <si>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</si>
  <si>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</si>
  <si>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</si>
  <si>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</si>
  <si>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</si>
  <si>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</si>
  <si>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</si>
  <si>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</si>
  <si>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</si>
  <si>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</si>
  <si>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</si>
  <si>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</si>
  <si>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</si>
  <si>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</si>
  <si>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</si>
  <si>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</si>
  <si>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</si>
  <si>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</si>
  <si>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</si>
  <si>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</si>
  <si>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</si>
  <si>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</si>
  <si>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</si>
  <si>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</si>
  <si>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</si>
  <si>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</si>
  <si>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</si>
  <si>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</si>
  <si>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</si>
  <si>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</si>
  <si>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</si>
  <si>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</si>
  <si>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</si>
  <si>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</si>
  <si>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</si>
  <si>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</si>
  <si>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</si>
  <si>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</si>
  <si>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</si>
  <si>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</si>
  <si>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</si>
  <si>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</si>
  <si>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</si>
  <si>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</si>
  <si>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</si>
  <si>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</si>
  <si>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</si>
  <si>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</si>
  <si>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</si>
  <si>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</si>
  <si>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</si>
  <si>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</si>
  <si>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</si>
  <si>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</si>
  <si>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</si>
  <si>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</si>
  <si>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</si>
  <si>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</si>
  <si>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</si>
  <si>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</si>
  <si>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</si>
  <si>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</si>
  <si>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</si>
  <si>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</si>
  <si>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</si>
  <si>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</si>
  <si>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</si>
  <si>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</si>
  <si>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</si>
  <si>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</si>
  <si>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</si>
  <si>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</si>
  <si>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</si>
  <si>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</si>
  <si>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</si>
  <si>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</si>
  <si>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</si>
  <si>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</si>
  <si>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</si>
  <si>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</si>
  <si>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</si>
  <si>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</si>
  <si>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</si>
  <si>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</si>
  <si>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</si>
  <si>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</si>
  <si>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</si>
  <si>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</si>
  <si>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</si>
  <si>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</si>
  <si>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</si>
  <si>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</si>
  <si>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</si>
  <si>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</si>
  <si>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</si>
  <si>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</si>
  <si>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</si>
  <si>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</si>
  <si>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</si>
  <si>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</si>
  <si>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</si>
  <si>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</si>
  <si>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</si>
  <si>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</si>
  <si>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</si>
  <si>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</si>
  <si>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</si>
  <si>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</si>
  <si>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</si>
  <si>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</si>
  <si>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</si>
  <si>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</si>
  <si>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</si>
  <si>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</si>
  <si>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</si>
  <si>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</si>
  <si>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</si>
  <si>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</si>
  <si>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</si>
  <si>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</si>
  <si>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</si>
  <si>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</si>
  <si>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</si>
  <si>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</si>
  <si>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</si>
  <si>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</si>
  <si>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</si>
  <si>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</si>
  <si>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</si>
  <si>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</si>
  <si>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</si>
  <si>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</si>
  <si>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</si>
  <si>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</si>
  <si>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</si>
  <si>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</si>
  <si>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</si>
  <si>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</si>
  <si>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</si>
  <si>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</si>
  <si>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</si>
  <si>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</si>
  <si>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</si>
  <si>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</si>
  <si>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</si>
  <si>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</si>
  <si>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</si>
  <si>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</si>
  <si>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</si>
  <si>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</si>
  <si>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</si>
  <si>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</si>
  <si>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</si>
  <si>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</si>
  <si>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</si>
  <si>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</si>
  <si>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</si>
  <si>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</si>
  <si>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</si>
  <si>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</si>
  <si>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</si>
  <si>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</si>
  <si>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</si>
  <si>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</si>
  <si>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</si>
  <si>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</si>
  <si>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</si>
  <si>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</si>
  <si>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</si>
  <si>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</si>
  <si>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</si>
  <si>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</si>
  <si>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</si>
  <si>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</si>
  <si>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</si>
  <si>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</si>
  <si>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</si>
  <si>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</si>
  <si>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</si>
  <si>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</si>
  <si>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</si>
  <si>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</si>
  <si>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</si>
  <si>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</si>
  <si>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</si>
  <si>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</si>
  <si>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</si>
  <si>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</si>
  <si>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</si>
  <si>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</si>
  <si>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</si>
  <si>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</si>
  <si>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</si>
  <si>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</si>
  <si>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</si>
  <si>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</si>
  <si>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</si>
  <si>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</si>
  <si>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</si>
  <si>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</si>
  <si>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</si>
  <si>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</si>
  <si>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</si>
  <si>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</si>
  <si>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</si>
  <si>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</si>
  <si>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</si>
  <si>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</si>
  <si>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</si>
  <si>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</si>
  <si>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</si>
  <si>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</si>
  <si>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</si>
  <si>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</si>
  <si>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</si>
  <si>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</si>
  <si>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</si>
  <si>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</si>
  <si>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</si>
  <si>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</si>
  <si>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</si>
  <si>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</si>
  <si>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</si>
  <si>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</si>
  <si>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</si>
  <si>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</si>
  <si>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</si>
  <si>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</si>
  <si>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</si>
  <si>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</si>
  <si>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</si>
  <si>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</si>
  <si>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</si>
  <si>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</si>
  <si>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</si>
  <si>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</si>
  <si>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</si>
  <si>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</si>
  <si>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</si>
  <si>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</si>
  <si>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</si>
  <si>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</si>
  <si>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</si>
  <si>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</si>
  <si>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</si>
  <si>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</si>
  <si>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</si>
  <si>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</si>
  <si>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</si>
  <si>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</si>
  <si>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</si>
  <si>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</si>
  <si>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</si>
  <si>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</si>
  <si>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</si>
  <si>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</si>
  <si>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</si>
  <si>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</si>
  <si>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</si>
  <si>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</si>
  <si>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</si>
  <si>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</si>
  <si>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</si>
  <si>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</si>
  <si>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</si>
  <si>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</si>
  <si>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</si>
  <si>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</si>
  <si>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</si>
  <si>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</si>
  <si>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</si>
  <si>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</si>
  <si>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</si>
  <si>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</si>
  <si>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</si>
  <si>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</si>
  <si>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</si>
  <si>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</si>
  <si>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</si>
  <si>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</si>
  <si>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</si>
  <si>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</si>
  <si>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</si>
  <si>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</si>
  <si>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</si>
  <si>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</si>
  <si>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</si>
  <si>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</si>
  <si>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</si>
  <si>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</si>
  <si>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</si>
  <si>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</si>
  <si>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</si>
  <si>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</si>
  <si>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</si>
  <si>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</si>
  <si>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</si>
  <si>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</si>
  <si>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</si>
  <si>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</si>
  <si>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</si>
  <si>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</si>
  <si>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</si>
  <si>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</si>
  <si>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</si>
  <si>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</si>
  <si>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</si>
  <si>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</si>
  <si>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</si>
  <si>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</si>
  <si>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</si>
  <si>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</si>
  <si>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</si>
  <si>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</si>
  <si>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</si>
  <si>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</si>
  <si>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</si>
  <si>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</si>
  <si>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</si>
  <si>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</si>
  <si>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</si>
  <si>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</si>
  <si>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</si>
  <si>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</si>
  <si>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</si>
  <si>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</si>
  <si>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</si>
  <si>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</si>
  <si>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</si>
  <si>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</si>
  <si>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</si>
  <si>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</si>
  <si>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</si>
  <si>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</si>
  <si>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</si>
  <si>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</si>
  <si>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</si>
  <si>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</si>
  <si>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</si>
  <si>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</si>
  <si>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</si>
  <si>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</si>
  <si>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</si>
  <si>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</si>
  <si>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</si>
  <si>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</si>
  <si>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</si>
  <si>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</si>
  <si>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</si>
  <si>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</si>
  <si>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</si>
  <si>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</si>
  <si>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</si>
  <si>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</si>
  <si>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</si>
  <si>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</si>
  <si>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</si>
  <si>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</si>
  <si>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</si>
  <si>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</si>
  <si>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</si>
  <si>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</si>
  <si>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</si>
  <si>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</si>
  <si>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</si>
  <si>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</si>
  <si>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</si>
  <si>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</si>
  <si>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</si>
  <si>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</si>
  <si>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</si>
  <si>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</si>
  <si>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</si>
  <si>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</si>
  <si>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</si>
  <si>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</si>
  <si>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</si>
  <si>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</si>
  <si>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</si>
  <si>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</si>
  <si>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</si>
  <si>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</si>
  <si>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</si>
  <si>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</si>
  <si>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</si>
  <si>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</si>
  <si>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</si>
  <si>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</si>
  <si>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</si>
  <si>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</si>
  <si>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</si>
  <si>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</si>
  <si>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</si>
  <si>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</si>
  <si>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</si>
  <si>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</si>
  <si>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</si>
  <si>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</si>
  <si>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</si>
  <si>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</si>
  <si>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</si>
  <si>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</si>
  <si>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</si>
  <si>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</si>
  <si>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</si>
  <si>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</si>
  <si>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</si>
  <si>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</si>
  <si>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</si>
  <si>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</si>
  <si>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</si>
  <si>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</si>
  <si>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</si>
  <si>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</si>
  <si>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</si>
  <si>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</si>
  <si>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</si>
  <si>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</si>
  <si>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</si>
  <si>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</si>
  <si>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</si>
  <si>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</si>
  <si>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</si>
  <si>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</si>
  <si>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</si>
  <si>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</si>
  <si>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</si>
  <si>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</si>
  <si>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</si>
  <si>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</si>
  <si>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</si>
  <si>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</si>
  <si>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</si>
  <si>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</si>
  <si>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</si>
  <si>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</si>
  <si>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</si>
  <si>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</si>
  <si>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</si>
  <si>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</si>
  <si>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</si>
  <si>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</si>
  <si>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</si>
  <si>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</si>
  <si>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</si>
  <si>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</si>
  <si>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</si>
  <si>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</si>
  <si>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</si>
  <si>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</si>
  <si>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</si>
  <si>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</si>
  <si>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</si>
  <si>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</si>
  <si>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</si>
  <si>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</si>
  <si>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</si>
  <si>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</si>
  <si>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</si>
  <si>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</si>
  <si>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</si>
  <si>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</si>
  <si>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</si>
  <si>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</si>
  <si>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</si>
  <si>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</si>
  <si>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</si>
  <si>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</si>
  <si>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</si>
  <si>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</si>
  <si>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</si>
  <si>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</si>
  <si>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</si>
  <si>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</si>
  <si>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</si>
  <si>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</si>
  <si>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</si>
  <si>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</si>
  <si>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</si>
  <si>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</si>
  <si>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</si>
  <si>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</si>
  <si>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</si>
  <si>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</si>
  <si>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</si>
  <si>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</si>
  <si>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</si>
  <si>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</si>
  <si>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</si>
  <si>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</si>
  <si>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</si>
  <si>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</si>
  <si>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</si>
  <si>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</si>
  <si>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</si>
  <si>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</si>
  <si>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</si>
  <si>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</si>
  <si>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</si>
  <si>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</si>
  <si>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</si>
  <si>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</si>
  <si>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</si>
  <si>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</si>
  <si>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</si>
  <si>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</si>
  <si>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</si>
  <si>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</si>
  <si>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</si>
  <si>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</si>
  <si>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</si>
  <si>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</si>
  <si>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</si>
  <si>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</si>
  <si>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</si>
  <si>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</si>
  <si>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</si>
  <si>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</si>
  <si>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</si>
  <si>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</si>
  <si>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</si>
  <si>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</si>
  <si>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</si>
  <si>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</si>
  <si>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</si>
  <si>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</si>
  <si>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</si>
  <si>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</si>
  <si>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</si>
  <si>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</si>
  <si>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</si>
  <si>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</si>
  <si>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</si>
  <si>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</si>
  <si>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</si>
  <si>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</si>
  <si>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</si>
  <si>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</si>
  <si>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</si>
  <si>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</si>
  <si>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</si>
  <si>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</si>
  <si>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</si>
  <si>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</si>
  <si>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</si>
  <si>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</si>
  <si>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</si>
  <si>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</si>
  <si>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</si>
  <si>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</si>
  <si>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</si>
  <si>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</si>
  <si>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</si>
  <si>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</si>
  <si>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</si>
  <si>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</si>
  <si>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</si>
  <si>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</si>
  <si>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</si>
  <si>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</si>
  <si>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</si>
  <si>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</si>
  <si>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</si>
  <si>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</si>
  <si>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</si>
  <si>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</si>
  <si>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</si>
  <si>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</si>
  <si>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</si>
  <si>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</si>
  <si>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</si>
  <si>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</si>
  <si>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</si>
  <si>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</si>
  <si>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</si>
  <si>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</si>
  <si>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</si>
  <si>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</si>
  <si>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</si>
  <si>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</si>
  <si>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</si>
  <si>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</si>
  <si>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</si>
  <si>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</si>
  <si>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</si>
  <si>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</si>
  <si>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</si>
  <si>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</si>
  <si>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</si>
  <si>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</si>
  <si>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</si>
  <si>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</si>
  <si>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</si>
  <si>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</si>
  <si>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</si>
  <si>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</si>
  <si>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</si>
  <si>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</si>
  <si>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</si>
  <si>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</si>
  <si>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</si>
  <si>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</si>
  <si>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</si>
  <si>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</si>
  <si>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</si>
  <si>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</si>
  <si>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</si>
  <si>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</si>
  <si>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</si>
  <si>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</si>
  <si>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</si>
  <si>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</si>
  <si>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</si>
  <si>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</si>
  <si>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</si>
  <si>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</si>
  <si>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</si>
  <si>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</si>
  <si>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</si>
  <si>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</si>
  <si>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</si>
  <si>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</si>
  <si>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</si>
  <si>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</si>
  <si>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</si>
  <si>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</si>
  <si>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</si>
  <si>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</si>
  <si>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</si>
  <si>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</si>
  <si>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</si>
  <si>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</si>
  <si>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</si>
  <si>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</si>
  <si>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</si>
  <si>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</si>
  <si>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</si>
  <si>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</si>
  <si>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</si>
  <si>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</si>
  <si>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</si>
  <si>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</si>
  <si>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</si>
  <si>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</si>
  <si>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</si>
  <si>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</si>
  <si>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</si>
  <si>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</si>
  <si>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</si>
  <si>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</si>
  <si>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</si>
  <si>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</si>
  <si>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</si>
  <si>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</si>
  <si>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</si>
  <si>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</si>
  <si>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</si>
  <si>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</si>
  <si>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</si>
  <si>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</si>
  <si>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</si>
  <si>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</si>
  <si>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</si>
  <si>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</si>
  <si>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</si>
  <si>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</si>
  <si>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</si>
  <si>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</si>
  <si>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</si>
  <si>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</si>
  <si>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</si>
  <si>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</si>
  <si>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</si>
  <si>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</si>
  <si>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</si>
  <si>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</si>
  <si>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</si>
  <si>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</si>
  <si>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</si>
  <si>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</si>
  <si>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</si>
  <si>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</si>
  <si>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</si>
  <si>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</si>
  <si>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</si>
  <si>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</si>
  <si>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</si>
  <si>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</si>
  <si>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</si>
  <si>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</si>
  <si>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</si>
  <si>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</si>
  <si>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</si>
  <si>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</si>
  <si>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</si>
  <si>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</si>
  <si>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</si>
  <si>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</si>
  <si>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</si>
  <si>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</si>
  <si>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</si>
  <si>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</si>
  <si>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</si>
  <si>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</si>
  <si>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</si>
  <si>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</si>
  <si>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</si>
  <si>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</si>
  <si>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</si>
  <si>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</si>
  <si>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</si>
  <si>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</si>
  <si>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</si>
  <si>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</si>
  <si>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</si>
  <si>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</si>
  <si>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</si>
  <si>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</si>
  <si>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</si>
  <si>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</si>
  <si>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</si>
  <si>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</si>
  <si>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</si>
  <si>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</si>
  <si>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</si>
  <si>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</si>
  <si>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</si>
  <si>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</si>
  <si>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</si>
  <si>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</si>
  <si>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</si>
  <si>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</si>
  <si>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</si>
  <si>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</si>
  <si>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</si>
  <si>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</si>
  <si>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</si>
  <si>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</si>
  <si>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</si>
  <si>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</si>
  <si>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</si>
  <si>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</si>
  <si>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</si>
  <si>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</si>
  <si>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</si>
  <si>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</si>
  <si>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</si>
  <si>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</si>
  <si>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</si>
  <si>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</si>
  <si>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</si>
  <si>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</si>
  <si>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</si>
  <si>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</si>
  <si>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</si>
  <si>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</si>
  <si>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</si>
  <si>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</si>
  <si>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</si>
  <si>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</si>
  <si>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</si>
  <si>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</si>
  <si>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</si>
  <si>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</si>
  <si>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</si>
  <si>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</si>
  <si>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</si>
  <si>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</si>
  <si>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</si>
  <si>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</si>
  <si>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</si>
  <si>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</si>
  <si>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</si>
  <si>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</si>
  <si>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</si>
  <si>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</si>
  <si>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</si>
  <si>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</si>
  <si>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</si>
  <si>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</si>
  <si>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</si>
  <si>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</si>
  <si>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</si>
  <si>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</si>
  <si>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</si>
  <si>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</si>
  <si>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</si>
  <si>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</si>
  <si>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</si>
  <si>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</si>
  <si>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</si>
  <si>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</si>
  <si>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</si>
  <si>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</si>
  <si>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</si>
  <si>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</si>
  <si>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</si>
  <si>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</si>
  <si>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</si>
  <si>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</si>
  <si>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</si>
  <si>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</si>
  <si>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</si>
  <si>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</si>
  <si>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</si>
  <si>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</si>
  <si>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</si>
  <si>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</si>
  <si>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</si>
  <si>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</si>
  <si>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</si>
  <si>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</si>
  <si>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</si>
  <si>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</si>
  <si>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</si>
  <si>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</si>
  <si>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</si>
  <si>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</si>
  <si>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</si>
  <si>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</si>
  <si>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</si>
  <si>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</si>
  <si>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</si>
  <si>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</si>
  <si>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</si>
  <si>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</si>
  <si>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</si>
  <si>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</si>
  <si>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</si>
  <si>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</si>
  <si>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</si>
  <si>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</si>
  <si>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</si>
  <si>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</si>
  <si>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</si>
  <si>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</si>
  <si>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</si>
  <si>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</si>
  <si>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</si>
  <si>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</si>
  <si>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</si>
  <si>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</si>
  <si>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</si>
  <si>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</si>
  <si>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</si>
  <si>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</si>
  <si>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</si>
  <si>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</si>
  <si>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</si>
  <si>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</si>
  <si>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</si>
  <si>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</si>
  <si>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</si>
  <si>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</si>
  <si>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</si>
  <si>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</si>
  <si>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</si>
  <si>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</si>
  <si>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</si>
  <si>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</si>
  <si>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</si>
  <si>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</si>
  <si>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</si>
  <si>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</si>
  <si>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</si>
  <si>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</si>
  <si>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</si>
  <si>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</si>
  <si>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</si>
  <si>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</si>
  <si>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</si>
  <si>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</si>
  <si>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</si>
  <si>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</si>
  <si>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</si>
  <si>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</si>
  <si>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</si>
  <si>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</si>
  <si>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</si>
  <si>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</si>
  <si>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</si>
  <si>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</si>
  <si>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</si>
  <si>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</si>
  <si>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</si>
  <si>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</si>
  <si>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</si>
  <si>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</si>
  <si>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</si>
  <si>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</si>
  <si>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</si>
  <si>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</si>
  <si>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</si>
  <si>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</si>
  <si>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</si>
  <si>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</si>
  <si>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</si>
  <si>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</si>
  <si>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</si>
  <si>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</si>
  <si>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</si>
  <si>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</si>
  <si>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</si>
  <si>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</si>
  <si>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</si>
  <si>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</si>
  <si>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</si>
  <si>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</si>
  <si>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</si>
  <si>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</si>
  <si>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</si>
  <si>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</si>
  <si>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</si>
  <si>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</si>
  <si>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</si>
  <si>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</si>
  <si>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</si>
  <si>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</si>
  <si>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</si>
  <si>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</si>
  <si>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</si>
  <si>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</si>
  <si>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</si>
  <si>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</si>
  <si>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</si>
  <si>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</si>
  <si>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</si>
  <si>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</si>
  <si>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</si>
  <si>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</si>
  <si>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</si>
  <si>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</si>
  <si>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</si>
  <si>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</si>
  <si>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</si>
  <si>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</si>
  <si>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</si>
  <si>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</si>
  <si>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</si>
  <si>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</si>
  <si>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</si>
  <si>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</si>
  <si>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</si>
  <si>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</si>
  <si>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</si>
  <si>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</si>
  <si>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</si>
  <si>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</si>
  <si>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</si>
  <si>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</si>
  <si>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</si>
  <si>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</si>
  <si>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</si>
  <si>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</si>
  <si>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</si>
  <si>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</si>
  <si>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</si>
  <si>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</si>
  <si>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</si>
  <si>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</si>
  <si>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</si>
  <si>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</si>
  <si>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</si>
  <si>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</si>
  <si>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</si>
  <si>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</si>
  <si>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</si>
  <si>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</si>
  <si>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</si>
  <si>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</si>
  <si>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</si>
  <si>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</si>
  <si>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</si>
  <si>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</si>
  <si>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</si>
  <si>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</si>
  <si>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</si>
  <si>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</si>
  <si>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</si>
  <si>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</si>
  <si>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</si>
  <si>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</si>
  <si>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</si>
  <si>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</si>
  <si>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</si>
  <si>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</si>
  <si>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</si>
  <si>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</si>
  <si>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</si>
  <si>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</si>
  <si>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</si>
  <si>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</si>
  <si>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</si>
  <si>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</si>
  <si>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</si>
  <si>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</si>
  <si>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</si>
  <si>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</si>
  <si>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</si>
  <si>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</si>
  <si>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</si>
  <si>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</si>
  <si>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</si>
  <si>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</si>
  <si>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</si>
  <si>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</si>
  <si>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</si>
  <si>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</si>
  <si>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</si>
  <si>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</si>
  <si>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</si>
  <si>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</si>
  <si>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</si>
  <si>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</si>
  <si>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</si>
  <si>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</si>
  <si>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</si>
  <si>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</si>
  <si>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</si>
  <si>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</si>
  <si>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</si>
  <si>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</si>
  <si>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</si>
  <si>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</si>
  <si>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</si>
  <si>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</si>
  <si>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</si>
  <si>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</si>
  <si>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</si>
  <si>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</si>
  <si>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</si>
  <si>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</si>
  <si>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</si>
  <si>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</si>
  <si>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</si>
  <si>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</si>
  <si>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</si>
  <si>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</si>
  <si>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</si>
  <si>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</si>
  <si>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</si>
  <si>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</si>
  <si>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</si>
  <si>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</si>
  <si>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</si>
  <si>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</si>
  <si>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</si>
  <si>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</si>
  <si>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</si>
  <si>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</si>
  <si>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</si>
  <si>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</si>
  <si>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</si>
  <si>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</si>
  <si>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</si>
  <si>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</si>
  <si>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</si>
  <si>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</si>
  <si>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</si>
  <si>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</si>
  <si>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</si>
  <si>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</si>
  <si>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</si>
  <si>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</si>
  <si>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</si>
  <si>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</si>
  <si>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</si>
  <si>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</si>
  <si>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</si>
  <si>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</si>
  <si>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</si>
  <si>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</si>
  <si>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</si>
  <si>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</si>
  <si>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</si>
  <si>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</si>
  <si>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</si>
  <si>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</si>
  <si>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</si>
  <si>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</si>
  <si>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</si>
  <si>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</si>
  <si>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</si>
  <si>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</si>
  <si>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</si>
  <si>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</si>
  <si>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</si>
  <si>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</si>
  <si>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</si>
  <si>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</si>
  <si>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</si>
  <si>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</si>
  <si>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</si>
  <si>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</si>
  <si>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</si>
  <si>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</si>
  <si>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</si>
  <si>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</si>
  <si>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</si>
  <si>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</si>
  <si>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</si>
  <si>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</si>
  <si>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</si>
  <si>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</si>
  <si>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</si>
  <si>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</si>
  <si>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</si>
  <si>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</si>
  <si>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</si>
  <si>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</si>
  <si>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</si>
  <si>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</si>
  <si>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</si>
  <si>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</si>
  <si>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</si>
  <si>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</si>
  <si>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</si>
  <si>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</si>
  <si>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</si>
  <si>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</si>
  <si>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</si>
  <si>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</si>
  <si>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</si>
  <si>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</si>
  <si>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</si>
  <si>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</si>
  <si>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</si>
  <si>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</si>
  <si>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</si>
  <si>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</si>
  <si>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</si>
  <si>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</si>
  <si>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</si>
  <si>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</si>
  <si>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</si>
  <si>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</si>
  <si>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</si>
  <si>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</si>
  <si>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</si>
  <si>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</si>
  <si>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</si>
  <si>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</si>
  <si>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</si>
  <si>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</si>
  <si>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</si>
  <si>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</si>
  <si>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</si>
  <si>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</si>
  <si>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</si>
  <si>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</si>
  <si>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</si>
  <si>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</si>
  <si>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</si>
  <si>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</si>
  <si>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</si>
  <si>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</si>
  <si>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</si>
  <si>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</si>
  <si>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</si>
  <si>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</si>
  <si>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</si>
  <si>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</si>
  <si>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</si>
  <si>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</si>
  <si>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</si>
  <si>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</si>
  <si>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</si>
  <si>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</si>
  <si>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</si>
  <si>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</si>
  <si>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</si>
  <si>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</si>
  <si>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</si>
  <si>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</si>
  <si>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</si>
  <si>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</si>
  <si>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</si>
  <si>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</si>
  <si>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</si>
  <si>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</si>
  <si>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</si>
  <si>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</si>
  <si>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</si>
  <si>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</si>
  <si>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</si>
  <si>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</si>
  <si>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</si>
  <si>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</si>
  <si>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</si>
  <si>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</si>
  <si>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</si>
  <si>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</si>
  <si>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</si>
  <si>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</si>
  <si>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</si>
  <si>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</si>
  <si>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</si>
  <si>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</si>
  <si>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</si>
  <si>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</si>
  <si>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</si>
  <si>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</si>
  <si>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</si>
  <si>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</si>
  <si>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</si>
  <si>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</si>
  <si>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</si>
  <si>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</si>
  <si>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</si>
  <si>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</si>
  <si>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</si>
  <si>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</si>
  <si>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</si>
  <si>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</si>
  <si>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</si>
  <si>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</si>
  <si>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</si>
  <si>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</si>
  <si>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</si>
  <si>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</si>
  <si>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</si>
  <si>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</si>
  <si>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</si>
  <si>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</si>
  <si>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</si>
  <si>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</si>
  <si>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</si>
  <si>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</si>
  <si>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</si>
  <si>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</si>
  <si>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</si>
  <si>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</si>
  <si>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</si>
  <si>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</si>
  <si>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</si>
  <si>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</si>
  <si>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</si>
  <si>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</si>
  <si>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</si>
  <si>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</si>
  <si>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</si>
  <si>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</si>
  <si>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</si>
  <si>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</si>
  <si>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</si>
  <si>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</si>
  <si>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</si>
  <si>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</si>
  <si>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</si>
  <si>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</si>
  <si>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</si>
  <si>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</si>
  <si>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</si>
  <si>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</si>
  <si>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</si>
  <si>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</si>
  <si>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</si>
  <si>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</si>
  <si>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</si>
  <si>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</si>
  <si>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</si>
  <si>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</si>
  <si>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</si>
  <si>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</si>
  <si>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</si>
  <si>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</si>
  <si>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</si>
  <si>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</si>
  <si>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</si>
  <si>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</si>
  <si>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</si>
  <si>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</si>
  <si>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</si>
  <si>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</si>
  <si>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</si>
  <si>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</si>
  <si>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</si>
  <si>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</si>
  <si>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</si>
  <si>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</si>
  <si>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</si>
  <si>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</si>
  <si>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</si>
  <si>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</si>
  <si>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</si>
  <si>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</si>
  <si>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</si>
  <si>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</si>
  <si>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</si>
  <si>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</si>
  <si>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</si>
  <si>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</si>
  <si>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</si>
  <si>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</si>
  <si>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</si>
  <si>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</si>
  <si>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</si>
  <si>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</si>
  <si>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</si>
  <si>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</si>
  <si>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</si>
  <si>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</si>
  <si>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</si>
  <si>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</si>
  <si>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</si>
  <si>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</si>
  <si>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</si>
  <si>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</si>
  <si>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</si>
  <si>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</si>
  <si>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</si>
  <si>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</si>
  <si>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</si>
  <si>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</si>
  <si>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</si>
  <si>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</si>
  <si>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</si>
  <si>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</si>
  <si>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</si>
  <si>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</si>
  <si>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</si>
  <si>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</si>
  <si>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</si>
  <si>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</si>
  <si>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</si>
  <si>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</si>
  <si>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</si>
  <si>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</si>
  <si>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</si>
  <si>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</si>
  <si>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</si>
  <si>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</si>
  <si>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</si>
  <si>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</si>
  <si>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</si>
  <si>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</si>
  <si>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</si>
  <si>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</si>
  <si>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</si>
  <si>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</si>
  <si>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</si>
  <si>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</si>
  <si>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</si>
  <si>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</si>
  <si>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</si>
  <si>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</si>
  <si>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</si>
  <si>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</si>
  <si>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</si>
  <si>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</si>
  <si>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</si>
  <si>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</si>
  <si>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</si>
  <si>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</si>
  <si>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</si>
  <si>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</si>
  <si>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</si>
  <si>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</si>
  <si>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</si>
  <si>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</si>
  <si>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</si>
  <si>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</si>
  <si>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</si>
  <si>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</si>
  <si>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</si>
  <si>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</si>
  <si>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</si>
  <si>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</si>
  <si>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</si>
  <si>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</si>
  <si>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</si>
  <si>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</si>
  <si>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</si>
  <si>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</si>
  <si>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</si>
  <si>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</si>
  <si>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</si>
  <si>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</si>
  <si>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</si>
  <si>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</si>
  <si>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</si>
  <si>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</si>
  <si>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</si>
  <si>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</si>
  <si>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</si>
  <si>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</si>
  <si>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</si>
  <si>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</si>
  <si>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</si>
  <si>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</si>
  <si>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</si>
  <si>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</si>
  <si>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</si>
  <si>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</si>
  <si>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</si>
  <si>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</si>
  <si>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</si>
  <si>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</si>
  <si>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</si>
  <si>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</si>
  <si>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</si>
  <si>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</si>
  <si>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</si>
  <si>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</si>
  <si>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</si>
  <si>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</si>
  <si>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</si>
  <si>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</si>
  <si>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</si>
  <si>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</si>
  <si>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</si>
  <si>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</si>
  <si>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</si>
  <si>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</si>
  <si>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</si>
  <si>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</si>
  <si>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</si>
  <si>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</si>
  <si>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</si>
  <si>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</si>
  <si>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</si>
  <si>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</si>
  <si>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</si>
  <si>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</si>
  <si>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</si>
  <si>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</si>
  <si>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</si>
  <si>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</si>
  <si>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</si>
  <si>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</si>
  <si>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</si>
  <si>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</si>
  <si>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</si>
  <si>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</si>
  <si>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</si>
  <si>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</si>
  <si>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</si>
  <si>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</si>
  <si>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</si>
  <si>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</si>
  <si>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</si>
  <si>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</si>
  <si>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</si>
  <si>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</si>
  <si>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</si>
  <si>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</si>
  <si>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</si>
  <si>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</si>
  <si>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</si>
  <si>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</si>
  <si>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</si>
  <si>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</si>
  <si>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</si>
  <si>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</si>
  <si>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</si>
  <si>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</si>
  <si>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</si>
  <si>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</si>
  <si>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</si>
  <si>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</si>
  <si>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</si>
  <si>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</si>
  <si>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</si>
  <si>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</si>
  <si>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</si>
  <si>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</si>
  <si>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</si>
  <si>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</si>
  <si>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</si>
  <si>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</si>
  <si>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</si>
  <si>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</si>
  <si>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</si>
  <si>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</si>
  <si>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</si>
  <si>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</si>
  <si>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</si>
  <si>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</si>
  <si>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</si>
  <si>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</si>
  <si>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</si>
  <si>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</si>
  <si>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</si>
  <si>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</si>
  <si>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</si>
  <si>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</si>
  <si>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</si>
  <si>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</si>
  <si>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</si>
  <si>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</si>
  <si>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</si>
  <si>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</si>
  <si>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</si>
  <si>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</si>
  <si>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</si>
  <si>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</si>
  <si>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</si>
  <si>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</si>
  <si>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</si>
  <si>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</si>
  <si>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</si>
  <si>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</si>
  <si>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</si>
  <si>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</si>
  <si>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</si>
  <si>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</si>
  <si>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</si>
  <si>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</si>
  <si>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</si>
  <si>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</si>
  <si>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</si>
  <si>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</si>
  <si>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</si>
  <si>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</si>
  <si>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</si>
  <si>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</si>
  <si>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</si>
  <si>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</si>
  <si>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</si>
  <si>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</si>
  <si>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</si>
  <si>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</si>
  <si>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</si>
  <si>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</si>
  <si>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</si>
  <si>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</si>
  <si>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</si>
  <si>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</si>
  <si>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</si>
  <si>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</si>
  <si>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</si>
  <si>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</si>
  <si>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</si>
  <si>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</si>
  <si>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</si>
  <si>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</si>
  <si>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</si>
  <si>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</si>
  <si>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</si>
  <si>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</si>
  <si>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</si>
  <si>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</si>
  <si>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</si>
  <si>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</si>
  <si>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</si>
  <si>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</si>
  <si>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</si>
  <si>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</si>
  <si>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</si>
  <si>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</si>
  <si>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</si>
  <si>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</si>
  <si>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</si>
  <si>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</si>
  <si>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</si>
  <si>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</si>
  <si>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t>地上</t>
  </si>
  <si>
    <t>办公楼</t>
  </si>
  <si>
    <t>底商</t>
  </si>
  <si>
    <t>地下</t>
  </si>
  <si>
    <t>车库</t>
  </si>
  <si>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</si>
  <si>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</si>
  <si>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</si>
  <si>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</si>
  <si>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</si>
  <si>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</si>
  <si>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</si>
  <si>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</si>
  <si>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</si>
  <si>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</si>
  <si>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</si>
  <si>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</si>
  <si>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</si>
  <si>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</si>
  <si>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</si>
  <si>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</si>
  <si>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</si>
  <si>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</si>
  <si>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</si>
  <si>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</si>
  <si>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</si>
  <si>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</si>
  <si>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</si>
  <si>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</si>
  <si>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</si>
  <si>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</si>
  <si>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</si>
  <si>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</si>
  <si>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</si>
  <si>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</si>
  <si>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</si>
  <si>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</si>
  <si>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</si>
  <si>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</si>
  <si>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</si>
  <si>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</si>
  <si>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</si>
  <si>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</si>
  <si>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</si>
  <si>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</si>
  <si>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</si>
  <si>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</si>
  <si>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</si>
  <si>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</si>
  <si>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</si>
  <si>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</si>
  <si>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</si>
  <si>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</si>
  <si>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</si>
  <si>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</si>
  <si>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</si>
  <si>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</si>
  <si>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</si>
  <si>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</si>
  <si>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</si>
  <si>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</si>
  <si>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</si>
  <si>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</si>
  <si>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</si>
  <si>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</si>
  <si>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</si>
  <si>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</si>
  <si>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</si>
  <si>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</si>
  <si>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</si>
  <si>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</si>
  <si>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</si>
  <si>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</si>
  <si>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</si>
  <si>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</si>
  <si>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</si>
  <si>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</si>
  <si>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</si>
  <si>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</si>
  <si>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</si>
  <si>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</si>
  <si>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</si>
  <si>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</si>
  <si>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</si>
  <si>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</si>
  <si>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</si>
  <si>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</si>
  <si>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</si>
  <si>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</si>
  <si>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</si>
  <si>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</si>
  <si>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</si>
  <si>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</si>
  <si>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</si>
  <si>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</si>
  <si>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</si>
  <si>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</si>
  <si>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</si>
  <si>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</si>
  <si>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</si>
  <si>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</si>
  <si>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</si>
  <si>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</si>
  <si>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</si>
  <si>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</si>
  <si>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</si>
  <si>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</si>
  <si>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</si>
  <si>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</si>
  <si>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</si>
  <si>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</si>
  <si>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</si>
  <si>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</si>
  <si>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</si>
  <si>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</si>
  <si>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</si>
  <si>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</si>
  <si>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</si>
  <si>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</si>
  <si>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</si>
  <si>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</si>
  <si>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</si>
  <si>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</si>
  <si>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</si>
  <si>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</si>
  <si>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</si>
  <si>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</si>
  <si>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</si>
  <si>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</si>
  <si>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</si>
  <si>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</si>
  <si>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</si>
  <si>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</si>
  <si>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</si>
  <si>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</si>
  <si>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</si>
  <si>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</si>
  <si>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</si>
  <si>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</si>
  <si>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</si>
  <si>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</si>
  <si>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</si>
  <si>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</si>
  <si>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</si>
  <si>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</si>
  <si>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</si>
  <si>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</si>
  <si>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</si>
  <si>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</si>
  <si>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</si>
  <si>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</si>
  <si>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</si>
  <si>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</si>
  <si>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</si>
  <si>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</si>
  <si>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</si>
  <si>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</si>
  <si>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</si>
  <si>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</si>
  <si>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</si>
  <si>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</si>
  <si>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</si>
  <si>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</si>
  <si>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</si>
  <si>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</si>
  <si>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</si>
  <si>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</si>
  <si>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</si>
  <si>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</si>
  <si>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</si>
  <si>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</si>
  <si>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</si>
  <si>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</si>
  <si>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</si>
  <si>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</si>
  <si>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</si>
  <si>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</si>
  <si>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</si>
  <si>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</si>
  <si>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</si>
  <si>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</si>
  <si>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</si>
  <si>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</si>
  <si>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</si>
  <si>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</si>
  <si>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</si>
  <si>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</si>
  <si>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</si>
  <si>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</si>
  <si>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</si>
  <si>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</si>
  <si>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</si>
  <si>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</si>
  <si>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</si>
  <si>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</si>
  <si>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</si>
  <si>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</si>
  <si>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</si>
  <si>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</si>
  <si>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</si>
  <si>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</si>
  <si>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</si>
  <si>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</si>
  <si>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</si>
  <si>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</si>
  <si>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</si>
  <si>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</si>
  <si>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</si>
  <si>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</si>
  <si>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</si>
  <si>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</si>
  <si>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总部广场</t>
    <phoneticPr fontId="3" type="noConversion"/>
  </si>
  <si>
    <t>丰台万达广场</t>
    <phoneticPr fontId="3" type="noConversion"/>
  </si>
  <si>
    <t>一般</t>
    <phoneticPr fontId="41" type="noConversion"/>
  </si>
  <si>
    <t>高区</t>
    <phoneticPr fontId="32" type="noConversion"/>
  </si>
  <si>
    <t>中区</t>
  </si>
  <si>
    <t>中区</t>
    <phoneticPr fontId="32" type="noConversion"/>
  </si>
  <si>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</si>
  <si>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</si>
  <si>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</si>
  <si>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</si>
  <si>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</si>
  <si>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</si>
  <si>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</si>
  <si>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</si>
  <si>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</si>
  <si>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</si>
  <si>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</si>
  <si>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</si>
  <si>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</si>
  <si>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</si>
  <si>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</si>
  <si>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</si>
  <si>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</si>
  <si>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</si>
  <si>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</si>
  <si>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</si>
  <si>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</si>
  <si>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</si>
  <si>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</si>
  <si>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</si>
  <si>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</si>
  <si>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</si>
  <si>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</si>
  <si>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</si>
  <si>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</si>
  <si>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</si>
  <si>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</si>
  <si>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</si>
  <si>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</si>
  <si>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</si>
  <si>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</si>
  <si>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</si>
  <si>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</si>
  <si>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</si>
  <si>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</si>
  <si>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</si>
  <si>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</si>
  <si>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</si>
  <si>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</si>
  <si>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</si>
  <si>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</si>
  <si>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</si>
  <si>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</si>
  <si>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</si>
  <si>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</si>
  <si>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</si>
  <si>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</si>
  <si>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</si>
  <si>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</si>
  <si>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</si>
  <si>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</si>
  <si>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</si>
  <si>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</si>
  <si>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</si>
  <si>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</si>
  <si>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</si>
  <si>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</si>
  <si>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地下</t>
    <phoneticPr fontId="3" type="noConversion"/>
  </si>
  <si>
    <t>时代财富天地</t>
    <phoneticPr fontId="3" type="noConversion"/>
  </si>
  <si>
    <t>P01</t>
    <phoneticPr fontId="8" type="noConversion"/>
  </si>
  <si>
    <t>p02</t>
    <phoneticPr fontId="8" type="noConversion"/>
  </si>
  <si>
    <r>
      <rPr>
        <sz val="10"/>
        <color indexed="8"/>
        <rFont val="宋体"/>
        <family val="3"/>
        <charset val="134"/>
      </rPr>
      <t>报酬率</t>
    </r>
    <r>
      <rPr>
        <sz val="10"/>
        <color indexed="8"/>
        <rFont val="Arial"/>
        <family val="2"/>
      </rPr>
      <t>7%</t>
    </r>
    <phoneticPr fontId="8" type="noConversion"/>
  </si>
  <si>
    <r>
      <rPr>
        <sz val="10"/>
        <color indexed="8"/>
        <rFont val="宋体"/>
        <family val="3"/>
        <charset val="134"/>
      </rPr>
      <t>报酬率</t>
    </r>
    <r>
      <rPr>
        <sz val="10"/>
        <color indexed="8"/>
        <rFont val="Arial"/>
        <family val="2"/>
      </rPr>
      <t>6%</t>
    </r>
    <phoneticPr fontId="8" type="noConversion"/>
  </si>
  <si>
    <t>加强调整版，报数版</t>
    <phoneticPr fontId="8" type="noConversion"/>
  </si>
  <si>
    <t>再调版，报数版</t>
    <phoneticPr fontId="8" type="noConversion"/>
  </si>
  <si>
    <t>管头路</t>
    <phoneticPr fontId="31" type="noConversion"/>
  </si>
  <si>
    <t>城市次干道</t>
    <phoneticPr fontId="31" type="noConversion"/>
  </si>
  <si>
    <r>
      <rPr>
        <sz val="11"/>
        <color indexed="8"/>
        <rFont val="宋体"/>
        <family val="3"/>
        <charset val="134"/>
      </rPr>
      <t>正常</t>
    </r>
    <phoneticPr fontId="3" type="noConversion"/>
  </si>
  <si>
    <t>较好</t>
    <phoneticPr fontId="3" type="noConversion"/>
  </si>
  <si>
    <t>一般</t>
    <phoneticPr fontId="3" type="noConversion"/>
  </si>
  <si>
    <t>七通</t>
    <phoneticPr fontId="3" type="noConversion"/>
  </si>
  <si>
    <t>四环</t>
    <phoneticPr fontId="3" type="noConversion"/>
  </si>
  <si>
    <t>低区</t>
  </si>
  <si>
    <t>100-300</t>
    <phoneticPr fontId="3" type="noConversion"/>
  </si>
  <si>
    <t>次干道-中环西路</t>
    <phoneticPr fontId="3" type="noConversion"/>
  </si>
  <si>
    <t>1000-2000</t>
    <phoneticPr fontId="3" type="noConversion"/>
  </si>
  <si>
    <t>普通装修</t>
  </si>
  <si>
    <t>次干道-丰科路</t>
    <phoneticPr fontId="3" type="noConversion"/>
  </si>
  <si>
    <t>0-100</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</si>
</sst>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0" fontId="50" fillId="9" borderId="0" xfId="0" applyFont="1" applyFill="1" applyAlignment="1" applyProtection="1">
      <alignment horizontal="center" vertical="center"/>
      <protection locked="0"/>
    </xf>
    <xf numFmtId="14" fontId="50" fillId="20" borderId="16" xfId="0" applyNumberFormat="1" applyFont="1" applyFill="1" applyBorder="1" applyAlignment="1" applyProtection="1">
      <alignment horizontal="center" vertical="center"/>
      <protection locked="0"/>
    </xf>
    <xf numFmtId="0" fontId="50" fillId="9" borderId="31" xfId="0" applyFont="1" applyFill="1" applyBorder="1" applyAlignment="1" applyProtection="1">
      <alignment horizontal="center" vertical="center"/>
      <protection locked="0"/>
    </xf>
    <xf numFmtId="0" fontId="50" fillId="20" borderId="18" xfId="0" applyFont="1" applyFill="1" applyBorder="1" applyAlignment="1" applyProtection="1">
      <alignment horizontal="center" vertical="center"/>
      <protection locked="0"/>
    </xf>
    <xf numFmtId="0" fontId="50" fillId="20" borderId="56" xfId="0" applyFont="1" applyFill="1" applyBorder="1" applyAlignment="1" applyProtection="1">
      <alignment horizontal="center" vertical="center"/>
      <protection locked="0"/>
    </xf>
    <xf numFmtId="0" fontId="50" fillId="20" borderId="42" xfId="0" applyFont="1" applyFill="1" applyBorder="1" applyAlignment="1" applyProtection="1">
      <alignment horizontal="center" vertical="center"/>
      <protection locked="0"/>
    </xf>
    <xf numFmtId="0" fontId="50" fillId="20" borderId="43" xfId="0" applyFont="1" applyFill="1" applyBorder="1" applyAlignment="1" applyProtection="1">
      <alignment horizontal="center" vertical="center"/>
      <protection locked="0"/>
    </xf>
    <xf numFmtId="0" fontId="50" fillId="17" borderId="0" xfId="0" applyFont="1" applyFill="1" applyAlignment="1" applyProtection="1">
      <alignment horizontal="center" vertical="center"/>
      <protection locked="0"/>
    </xf>
    <xf numFmtId="14" fontId="50" fillId="21" borderId="16" xfId="0" applyNumberFormat="1" applyFont="1" applyFill="1" applyBorder="1" applyAlignment="1" applyProtection="1">
      <alignment horizontal="center" vertical="center"/>
      <protection locked="0"/>
    </xf>
    <xf numFmtId="0" fontId="50" fillId="21" borderId="18" xfId="0" applyFont="1" applyFill="1" applyBorder="1" applyAlignment="1" applyProtection="1">
      <alignment horizontal="center" vertical="center"/>
      <protection locked="0"/>
    </xf>
    <xf numFmtId="0" fontId="50" fillId="21" borderId="80" xfId="0" applyFont="1" applyFill="1" applyBorder="1" applyAlignment="1" applyProtection="1">
      <alignment horizontal="center" vertical="center"/>
      <protection locked="0"/>
    </xf>
    <xf numFmtId="0" fontId="50" fillId="21" borderId="42" xfId="0" applyFont="1" applyFill="1" applyBorder="1" applyAlignment="1" applyProtection="1">
      <alignment horizontal="center" vertical="center"/>
      <protection locked="0"/>
    </xf>
    <xf numFmtId="0" fontId="50" fillId="21" borderId="81" xfId="0" applyFont="1" applyFill="1" applyBorder="1" applyAlignment="1" applyProtection="1">
      <alignment horizontal="center" vertical="center"/>
      <protection locked="0"/>
    </xf>
    <xf numFmtId="0" fontId="50" fillId="22" borderId="0" xfId="0" applyFont="1" applyFill="1" applyAlignment="1" applyProtection="1">
      <alignment horizontal="center" vertical="center"/>
      <protection locked="0"/>
    </xf>
    <xf numFmtId="10" fontId="55" fillId="17" borderId="0" xfId="0" applyNumberFormat="1" applyFont="1" applyFill="1" applyAlignment="1" applyProtection="1">
      <alignment horizontal="center" vertical="center"/>
      <protection locked="0"/>
    </xf>
    <xf numFmtId="10" fontId="55" fillId="22" borderId="0" xfId="0" applyNumberFormat="1" applyFont="1" applyFill="1" applyAlignment="1" applyProtection="1">
      <alignment horizontal="center" vertical="center"/>
      <protection locked="0"/>
    </xf>
    <xf numFmtId="10" fontId="55" fillId="21" borderId="80" xfId="0" applyNumberFormat="1" applyFont="1" applyFill="1" applyBorder="1" applyAlignment="1" applyProtection="1">
      <alignment horizontal="center" vertical="center"/>
      <protection locked="0"/>
    </xf>
    <xf numFmtId="10" fontId="55" fillId="20" borderId="56" xfId="0" applyNumberFormat="1" applyFont="1" applyFill="1" applyBorder="1" applyAlignment="1" applyProtection="1">
      <alignment horizontal="center" vertical="center"/>
      <protection locked="0"/>
    </xf>
    <xf numFmtId="0" fontId="50" fillId="10" borderId="0" xfId="0" applyFont="1" applyFill="1" applyProtection="1">
      <alignment vertical="center"/>
      <protection locked="0"/>
    </xf>
    <xf numFmtId="10" fontId="55" fillId="10" borderId="0" xfId="0" applyNumberFormat="1" applyFont="1" applyFill="1" applyAlignment="1" applyProtection="1">
      <alignment horizontal="center" vertical="center"/>
      <protection locked="0"/>
    </xf>
    <xf numFmtId="0" fontId="80" fillId="9" borderId="0" xfId="0" applyFont="1" applyFill="1" applyProtection="1">
      <alignment vertical="center"/>
      <protection locked="0"/>
    </xf>
    <xf numFmtId="0" fontId="98" fillId="2"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twoCellAnchor editAs="oneCell">
    <xdr:from>
      <xdr:col>14</xdr:col>
      <xdr:colOff>0</xdr:colOff>
      <xdr:row>18</xdr:row>
      <xdr:rowOff>0</xdr:rowOff>
    </xdr:from>
    <xdr:to>
      <xdr:col>27</xdr:col>
      <xdr:colOff>160791</xdr:colOff>
      <xdr:row>50</xdr:row>
      <xdr:rowOff>123124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3086100"/>
          <a:ext cx="9076191" cy="5609524"/>
        </a:xfrm>
        <a:prstGeom prst="rect">
          <a:avLst/>
        </a:prstGeom>
      </xdr:spPr>
    </xdr:pic>
    <xdr:clientData/>
  </xdr:twoCellAnchor>
  <xdr:twoCellAnchor editAs="oneCell">
    <xdr:from>
      <xdr:col>14</xdr:col>
      <xdr:colOff>0</xdr:colOff>
      <xdr:row>51</xdr:row>
      <xdr:rowOff>0</xdr:rowOff>
    </xdr:from>
    <xdr:to>
      <xdr:col>27</xdr:col>
      <xdr:colOff>170315</xdr:colOff>
      <xdr:row>80</xdr:row>
      <xdr:rowOff>27950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8743950"/>
          <a:ext cx="9085715" cy="5000000"/>
        </a:xfrm>
        <a:prstGeom prst="rect">
          <a:avLst/>
        </a:prstGeom>
      </xdr:spPr>
    </xdr:pic>
    <xdr:clientData/>
  </xdr:twoCellAnchor>
  <xdr:twoCellAnchor editAs="oneCell">
    <xdr:from>
      <xdr:col>14</xdr:col>
      <xdr:colOff>0</xdr:colOff>
      <xdr:row>81</xdr:row>
      <xdr:rowOff>0</xdr:rowOff>
    </xdr:from>
    <xdr:to>
      <xdr:col>27</xdr:col>
      <xdr:colOff>132220</xdr:colOff>
      <xdr:row>109</xdr:row>
      <xdr:rowOff>161305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13887450"/>
          <a:ext cx="9047620"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2018年9月20日（评估专业人员实地查勘之日）</v>
      </c>
    </row>
    <row r="13" spans="1:2" s="1586" customFormat="1">
      <c r="A13" s="1584" t="s">
        <v>1227</v>
      </c>
      <c r="B13" s="1585" t="str">
        <f>'预评函-1'!A18</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452043</v>
      </c>
    </row>
    <row r="21" spans="1:2" s="1586" customFormat="1">
      <c r="A21" s="1584" t="s">
        <v>1235</v>
      </c>
      <c r="B21" s="1585">
        <f ca="1">'预评函-2'!D7</f>
        <v>32694</v>
      </c>
    </row>
    <row r="22" spans="1:2" s="1586" customFormat="1">
      <c r="A22" s="1584" t="s">
        <v>1236</v>
      </c>
      <c r="B22" s="1585" t="str">
        <f ca="1">'预评函-2'!D6</f>
        <v>肆拾伍亿贰仟零肆拾叁万元整</v>
      </c>
    </row>
    <row r="23" spans="1:2" s="1586" customFormat="1">
      <c r="A23" s="1584" t="s">
        <v>1287</v>
      </c>
      <c r="B23" s="1585" t="str">
        <f>'预评函-2'!B8</f>
        <v>2.估价师知悉的法定优先受偿款</v>
      </c>
    </row>
    <row r="24" spans="1:2" s="1586" customFormat="1">
      <c r="A24" s="1584" t="s">
        <v>1293</v>
      </c>
      <c r="B24" s="1585">
        <f>'预评函-2'!D8</f>
        <v>26291</v>
      </c>
    </row>
    <row r="25" spans="1:2" s="1586" customFormat="1">
      <c r="A25" s="1584" t="s">
        <v>1237</v>
      </c>
      <c r="B25" s="1585" t="str">
        <f>'预评函-2'!D9</f>
        <v>贰亿陆仟贰佰玖拾壹万元整</v>
      </c>
    </row>
    <row r="26" spans="1:2" s="1586" customFormat="1">
      <c r="A26" s="1584" t="s">
        <v>1238</v>
      </c>
      <c r="B26" s="1585">
        <f>'预评函-2'!D10</f>
        <v>0</v>
      </c>
    </row>
    <row r="27" spans="1:2" s="1586" customFormat="1">
      <c r="A27" s="1584" t="s">
        <v>1239</v>
      </c>
      <c r="B27" s="1585">
        <f>'预评函-2'!D11</f>
        <v>26291</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425752</v>
      </c>
    </row>
    <row r="35" spans="1:2" s="1586" customFormat="1">
      <c r="A35" s="1584" t="s">
        <v>1275</v>
      </c>
      <c r="B35" s="1585">
        <f ca="1">'预评函-2'!D18</f>
        <v>30793</v>
      </c>
    </row>
    <row r="36" spans="1:2" s="1586" customFormat="1">
      <c r="A36" s="1584" t="s">
        <v>1242</v>
      </c>
      <c r="B36" s="1585" t="str">
        <f ca="1">'预评函-2'!D17</f>
        <v>肆拾贰亿伍仟柒佰伍拾贰万元整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138263.03999999998</v>
      </c>
    </row>
    <row r="44" spans="1:2" s="1586" customFormat="1">
      <c r="A44" s="1584" t="s">
        <v>1273</v>
      </c>
      <c r="B44" s="1585" t="str">
        <f>'预评函-3'!C2</f>
        <v>(分摊)土地面积</v>
      </c>
    </row>
    <row r="45" spans="1:2" s="1586" customFormat="1">
      <c r="A45" s="1584" t="s">
        <v>1245</v>
      </c>
      <c r="B45" s="1585">
        <f>'预评函-3'!C4</f>
        <v>27500</v>
      </c>
    </row>
    <row r="46" spans="1:2" s="1586" customFormat="1">
      <c r="A46" s="1584" t="s">
        <v>1271</v>
      </c>
      <c r="B46" s="1585" t="str">
        <f>'预评函-3'!D2</f>
        <v>出让国有建设用地使用权价值</v>
      </c>
    </row>
    <row r="47" spans="1:2" s="1586" customFormat="1">
      <c r="A47" s="1584" t="s">
        <v>1246</v>
      </c>
      <c r="B47" s="1585">
        <f ca="1">'预评函-3'!D4</f>
        <v>390113</v>
      </c>
    </row>
    <row r="48" spans="1:2" s="1586" customFormat="1">
      <c r="A48" s="1584" t="s">
        <v>1247</v>
      </c>
      <c r="B48" s="1585">
        <f ca="1">'预评函-3'!E4</f>
        <v>28215</v>
      </c>
    </row>
    <row r="49" spans="1:2" s="1586" customFormat="1">
      <c r="A49" s="1584" t="s">
        <v>1248</v>
      </c>
      <c r="B49" s="1585" t="str">
        <f ca="1">'预评函-3'!D5</f>
        <v>叁拾玖亿零壹佰壹拾叁万元整</v>
      </c>
    </row>
    <row r="50" spans="1:2" s="1586" customFormat="1">
      <c r="A50" s="1584" t="s">
        <v>1272</v>
      </c>
      <c r="B50" s="1585" t="str">
        <f>'预评函-3'!F2</f>
        <v>建筑物价值</v>
      </c>
    </row>
    <row r="51" spans="1:2" s="1586" customFormat="1">
      <c r="A51" s="1584" t="s">
        <v>1249</v>
      </c>
      <c r="B51" s="1585">
        <f ca="1">'预评函-3'!F4</f>
        <v>61930</v>
      </c>
    </row>
    <row r="52" spans="1:2" s="1586" customFormat="1">
      <c r="A52" s="1584" t="s">
        <v>1250</v>
      </c>
      <c r="B52" s="1585">
        <f ca="1">'预评函-3'!G4</f>
        <v>4479</v>
      </c>
    </row>
    <row r="53" spans="1:2" s="1586" customFormat="1">
      <c r="A53" s="1584" t="s">
        <v>1278</v>
      </c>
      <c r="B53" s="1585" t="str">
        <f ca="1">'预评函-3'!F5</f>
        <v>陆亿壹仟玖佰叁拾万元整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故，本次评估估价师知悉的法定优先受偿款为人民币26291万元整。</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3061</v>
      </c>
      <c r="C17" s="2008"/>
    </row>
    <row r="18" spans="1:3">
      <c r="A18" s="2007" t="s">
        <v>1767</v>
      </c>
      <c r="B18" s="2007" t="s">
        <v>3063</v>
      </c>
      <c r="C18" s="2008"/>
    </row>
    <row r="19" spans="1:3">
      <c r="A19" s="2007" t="s">
        <v>1768</v>
      </c>
      <c r="B19" s="2007" t="s">
        <v>3065</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7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72"/>
      <c r="B54" s="2015" t="s">
        <v>864</v>
      </c>
      <c r="C54" s="2012" t="s">
        <v>1281</v>
      </c>
    </row>
    <row r="55" spans="1:4">
      <c r="A55" s="3072"/>
      <c r="B55" s="2015" t="s">
        <v>865</v>
      </c>
      <c r="C55" s="2012" t="s">
        <v>1282</v>
      </c>
    </row>
    <row r="56" spans="1:4">
      <c r="A56" s="3072"/>
      <c r="B56" s="2015" t="s">
        <v>866</v>
      </c>
      <c r="C56" s="2012" t="s">
        <v>1286</v>
      </c>
    </row>
    <row r="57" spans="1:4">
      <c r="A57" s="307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4" sqref="H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81"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82"/>
      <c r="D1" s="3082"/>
      <c r="E1" s="3082"/>
      <c r="F1" s="3082"/>
      <c r="G1" s="3082"/>
      <c r="H1" s="3082"/>
      <c r="I1" s="308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3320</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43363</v>
      </c>
      <c r="C3" s="2030" t="s">
        <v>1779</v>
      </c>
      <c r="D3" s="2029">
        <f>B3</f>
        <v>43363</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2">
        <f ca="1">SUMIF(注册房地产估价师,B4,估价师及机构信息!B3:B24)</f>
        <v>1120000080</v>
      </c>
      <c r="D4" s="2032" t="s">
        <v>3026</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3027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3028</v>
      </c>
      <c r="C8" s="2047"/>
      <c r="D8" s="3084" t="s">
        <v>1785</v>
      </c>
      <c r="E8" s="2947" t="s">
        <v>3030</v>
      </c>
      <c r="F8" s="2048"/>
      <c r="G8" s="2019"/>
      <c r="H8" s="2019"/>
      <c r="I8" s="2019"/>
      <c r="J8" s="2035"/>
      <c r="K8" s="2036"/>
      <c r="L8" s="2021"/>
      <c r="M8" s="2021"/>
      <c r="N8" s="2022"/>
      <c r="O8" s="2023"/>
      <c r="P8" s="2022"/>
      <c r="Q8" s="2022"/>
      <c r="R8" s="2022"/>
    </row>
    <row r="9" spans="1:19" ht="18" customHeight="1" thickBot="1">
      <c r="A9" s="2033" t="s">
        <v>1786</v>
      </c>
      <c r="B9" s="2049" t="s">
        <v>3029</v>
      </c>
      <c r="C9" s="2050"/>
      <c r="D9" s="3085"/>
      <c r="E9" s="2049" t="s">
        <v>70</v>
      </c>
      <c r="F9" s="2051"/>
      <c r="G9" s="2052"/>
      <c r="H9" s="2052"/>
      <c r="I9" s="2052"/>
      <c r="J9" s="2035"/>
      <c r="K9" s="2045"/>
      <c r="L9" s="2021"/>
      <c r="M9" s="2021"/>
      <c r="N9" s="2022"/>
      <c r="O9" s="2023"/>
      <c r="P9" s="2022"/>
      <c r="Q9" s="2022"/>
      <c r="R9" s="2022"/>
    </row>
    <row r="10" spans="1:19" ht="18" customHeight="1" thickTop="1">
      <c r="A10" s="2053" t="s">
        <v>1787</v>
      </c>
      <c r="B10" s="2054" t="s">
        <v>3031</v>
      </c>
      <c r="C10" s="2055"/>
      <c r="D10" s="2039"/>
      <c r="E10" s="2056" t="s">
        <v>1788</v>
      </c>
      <c r="F10" s="2057" t="s">
        <v>3032</v>
      </c>
      <c r="G10" s="2058"/>
      <c r="H10" s="2059"/>
      <c r="I10" s="2039"/>
      <c r="J10" s="2035"/>
      <c r="K10" s="2045"/>
      <c r="L10" s="2021"/>
      <c r="M10" s="2021"/>
      <c r="N10" s="2022"/>
      <c r="O10" s="2023"/>
      <c r="P10" s="2022"/>
      <c r="Q10" s="2022"/>
      <c r="R10" s="2022"/>
    </row>
    <row r="11" spans="1:19" ht="18" customHeight="1">
      <c r="A11" s="2060" t="s">
        <v>1789</v>
      </c>
      <c r="B11" s="2061" t="s">
        <v>3033</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3034</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36.93</v>
      </c>
      <c r="F15" s="1043">
        <f>IF(B12="出让",IF(F13="","",ROUNDDOWN(MIN((F13-$D$3)/365,F14),2)),F14)</f>
        <v>46.94</v>
      </c>
      <c r="G15" s="1043">
        <f>IF(B12="出让",IF(G13="","",ROUNDDOWN(MIN((G13-$D$3)/365,G14),2)),G14)</f>
        <v>46.94</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91" t="s">
        <v>3035</v>
      </c>
      <c r="C16" s="3092"/>
      <c r="D16" s="3093"/>
      <c r="E16" s="2076" t="s">
        <v>1802</v>
      </c>
      <c r="F16" s="3094" t="s">
        <v>3183</v>
      </c>
      <c r="G16" s="3095"/>
      <c r="H16" s="3095"/>
      <c r="I16" s="3096"/>
      <c r="J16" s="2022"/>
      <c r="K16" s="2073"/>
      <c r="L16" s="2074"/>
      <c r="M16" s="2074"/>
      <c r="N16" s="2075"/>
      <c r="O16" s="2074"/>
      <c r="P16" s="2075"/>
      <c r="Q16" s="2022"/>
      <c r="R16" s="2022"/>
    </row>
    <row r="17" spans="1:22" ht="18" customHeight="1">
      <c r="A17" s="2077" t="s">
        <v>1803</v>
      </c>
      <c r="B17" s="2028" t="s">
        <v>1804</v>
      </c>
      <c r="C17" s="1048">
        <f>'数据-汇总表'!E3</f>
        <v>138263.03999999998</v>
      </c>
      <c r="D17" s="2078" t="s">
        <v>1805</v>
      </c>
      <c r="E17" s="3097" t="s">
        <v>1806</v>
      </c>
      <c r="F17" s="3098"/>
      <c r="G17" s="3098"/>
      <c r="H17" s="3098"/>
      <c r="I17" s="3099"/>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27500</v>
      </c>
      <c r="D18" s="2081" t="s">
        <v>1805</v>
      </c>
      <c r="E18" s="3100" t="s">
        <v>3036</v>
      </c>
      <c r="F18" s="3101"/>
      <c r="G18" s="3101"/>
      <c r="H18" s="3101"/>
      <c r="I18" s="3102"/>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3037</v>
      </c>
      <c r="D19" s="2083" t="s">
        <v>1810</v>
      </c>
      <c r="E19" s="2084" t="s">
        <v>3038</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87" t="s">
        <v>1812</v>
      </c>
      <c r="C20" s="3088"/>
      <c r="D20" s="3089" t="s">
        <v>1813</v>
      </c>
      <c r="E20" s="3090"/>
      <c r="F20" s="2088" t="s">
        <v>1814</v>
      </c>
      <c r="G20" s="2035"/>
      <c r="H20" s="2035"/>
      <c r="I20" s="2035"/>
      <c r="J20" s="2035"/>
      <c r="K20" s="3086"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3039</v>
      </c>
      <c r="C21" s="2090" t="s">
        <v>3051</v>
      </c>
      <c r="D21" s="2091"/>
      <c r="E21" s="2092"/>
      <c r="F21" s="2093"/>
      <c r="G21" s="2035"/>
      <c r="H21" s="2035"/>
      <c r="I21" s="2035"/>
      <c r="J21" s="2035"/>
      <c r="K21" s="308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8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74" t="s">
        <v>1824</v>
      </c>
      <c r="B27" s="2053" t="s">
        <v>1825</v>
      </c>
      <c r="C27" s="2110" t="s">
        <v>3040</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74"/>
      <c r="B28" s="2028" t="s">
        <v>1826</v>
      </c>
      <c r="C28" s="2112" t="s">
        <v>3041</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74"/>
      <c r="B29" s="2028" t="s">
        <v>1827</v>
      </c>
      <c r="C29" s="2115" t="s">
        <v>3038</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75"/>
      <c r="B30" s="2028" t="s">
        <v>1828</v>
      </c>
      <c r="C30" s="3076"/>
      <c r="D30" s="3077"/>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78" t="s">
        <v>1829</v>
      </c>
      <c r="B31" s="2117" t="s">
        <v>3042</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79"/>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79"/>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3043</v>
      </c>
      <c r="C34" s="2124" t="s">
        <v>3044</v>
      </c>
      <c r="D34" s="2124" t="s">
        <v>3045</v>
      </c>
      <c r="E34" s="2124" t="s">
        <v>3046</v>
      </c>
      <c r="F34" s="2124" t="s">
        <v>3047</v>
      </c>
      <c r="G34" s="2124" t="s">
        <v>3048</v>
      </c>
      <c r="H34" s="2124" t="s">
        <v>70</v>
      </c>
      <c r="I34" s="2035"/>
      <c r="J34" s="2035"/>
      <c r="K34" s="1788">
        <f>COUNTIF(B34:H34,"——")</f>
        <v>1</v>
      </c>
      <c r="L34" s="2065" t="s">
        <v>1831</v>
      </c>
      <c r="M34" s="2065" t="s">
        <v>1832</v>
      </c>
      <c r="N34" s="2065" t="s">
        <v>1833</v>
      </c>
      <c r="O34" s="2065" t="s">
        <v>1834</v>
      </c>
      <c r="P34" s="2065" t="s">
        <v>1835</v>
      </c>
      <c r="Q34" s="2065" t="s">
        <v>1836</v>
      </c>
      <c r="R34" s="2065" t="s">
        <v>1837</v>
      </c>
      <c r="S34" s="3073" t="s">
        <v>1838</v>
      </c>
      <c r="T34" s="2125" t="str">
        <f>NUMBERSTRING(7-K34,1)&amp;"通"</f>
        <v>六通</v>
      </c>
      <c r="U34" s="2022"/>
      <c r="V34" s="2022"/>
    </row>
    <row r="35" spans="1:22" ht="18" customHeight="1">
      <c r="A35" s="2126"/>
      <c r="B35" s="3080" t="s">
        <v>1839</v>
      </c>
      <c r="C35" s="3080"/>
      <c r="D35" s="3080"/>
      <c r="E35" s="3080"/>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3"/>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138263.03999999998</v>
      </c>
      <c r="C3" s="2159" t="s">
        <v>3037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6"/>
      <c r="C5" s="1796"/>
      <c r="D5" s="1799"/>
      <c r="E5" s="16" t="s">
        <v>1</v>
      </c>
      <c r="F5" s="16">
        <f>SUM(F13:F587)</f>
        <v>0</v>
      </c>
      <c r="G5" s="16">
        <f>SUM(G13:G587)</f>
        <v>138263.03999999998</v>
      </c>
      <c r="H5" s="16">
        <f t="shared" ref="H5:AT5" si="0">SUM(H13:H656)</f>
        <v>132572.79999999999</v>
      </c>
      <c r="I5" s="16">
        <f t="shared" si="0"/>
        <v>99371.71</v>
      </c>
      <c r="J5" s="16">
        <f t="shared" si="0"/>
        <v>0</v>
      </c>
      <c r="K5" s="16">
        <f t="shared" si="0"/>
        <v>9938.1999999999989</v>
      </c>
      <c r="L5" s="16">
        <f t="shared" si="0"/>
        <v>0</v>
      </c>
      <c r="M5" s="16">
        <f t="shared" si="0"/>
        <v>6182.89</v>
      </c>
      <c r="N5" s="16">
        <f t="shared" si="0"/>
        <v>0</v>
      </c>
      <c r="O5" s="16">
        <f t="shared" si="0"/>
        <v>17080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5690.2400000000007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5690.2400000000007</v>
      </c>
      <c r="AO5" s="16">
        <f t="shared" si="0"/>
        <v>0</v>
      </c>
      <c r="AP5" s="16">
        <f t="shared" si="0"/>
        <v>0</v>
      </c>
      <c r="AQ5" s="16">
        <f t="shared" si="0"/>
        <v>0</v>
      </c>
      <c r="AR5" s="16">
        <f t="shared" si="0"/>
        <v>0</v>
      </c>
      <c r="AS5" s="16">
        <f t="shared" si="0"/>
        <v>0</v>
      </c>
      <c r="AT5" s="16">
        <f t="shared" si="0"/>
        <v>0</v>
      </c>
      <c r="AU5" s="1795"/>
      <c r="AV5" s="15" t="s">
        <v>1874</v>
      </c>
      <c r="AW5" s="1796"/>
      <c r="AX5" s="1796"/>
      <c r="AY5" s="17" t="s">
        <v>3</v>
      </c>
      <c r="AZ5" s="18">
        <f t="shared" ref="AZ5:BT5" si="1">SUM(AZ13:AZ656)</f>
        <v>138263.03999999998</v>
      </c>
      <c r="BA5" s="18">
        <f t="shared" si="1"/>
        <v>132572.79999999999</v>
      </c>
      <c r="BB5" s="18">
        <f t="shared" si="1"/>
        <v>99371.71</v>
      </c>
      <c r="BC5" s="18">
        <f t="shared" si="1"/>
        <v>9938.1999999999989</v>
      </c>
      <c r="BD5" s="18">
        <f t="shared" si="1"/>
        <v>6182.89</v>
      </c>
      <c r="BE5" s="18">
        <f t="shared" si="1"/>
        <v>17080</v>
      </c>
      <c r="BF5" s="18">
        <f t="shared" si="1"/>
        <v>0</v>
      </c>
      <c r="BG5" s="18">
        <f t="shared" si="1"/>
        <v>0</v>
      </c>
      <c r="BH5" s="18">
        <f t="shared" si="1"/>
        <v>0</v>
      </c>
      <c r="BI5" s="18">
        <f t="shared" si="1"/>
        <v>0</v>
      </c>
      <c r="BJ5" s="18">
        <f t="shared" si="1"/>
        <v>0</v>
      </c>
      <c r="BK5" s="18">
        <f t="shared" si="1"/>
        <v>0</v>
      </c>
      <c r="BL5" s="18">
        <f t="shared" si="1"/>
        <v>5690.2400000000007</v>
      </c>
      <c r="BM5" s="18">
        <f t="shared" si="1"/>
        <v>0</v>
      </c>
      <c r="BN5" s="18">
        <f t="shared" si="1"/>
        <v>0</v>
      </c>
      <c r="BO5" s="18">
        <f t="shared" si="1"/>
        <v>0</v>
      </c>
      <c r="BP5" s="18">
        <f t="shared" si="1"/>
        <v>0</v>
      </c>
      <c r="BQ5" s="18">
        <f t="shared" si="1"/>
        <v>0</v>
      </c>
      <c r="BR5" s="18">
        <f t="shared" si="1"/>
        <v>5690.2400000000007</v>
      </c>
      <c r="BS5" s="18">
        <f t="shared" si="1"/>
        <v>0</v>
      </c>
      <c r="BT5" s="19">
        <f t="shared" si="1"/>
        <v>0</v>
      </c>
    </row>
    <row r="6" spans="1:72" s="2168" customFormat="1" ht="12.75">
      <c r="A6" s="15" t="s">
        <v>1875</v>
      </c>
      <c r="B6" s="2165"/>
      <c r="C6" s="2165"/>
      <c r="D6" s="2166"/>
      <c r="E6" s="16">
        <f>H6+AC6+AT6</f>
        <v>27500.000000000004</v>
      </c>
      <c r="F6" s="16" t="s">
        <v>1</v>
      </c>
      <c r="G6" s="16" t="s">
        <v>2</v>
      </c>
      <c r="H6" s="20">
        <f>SUMIF(I$12:AB$12,"总值",I6:AB6)</f>
        <v>26368.230000000003</v>
      </c>
      <c r="I6" s="16">
        <f t="shared" ref="I6:AB6" si="2">ROUND($A$3*I5/$B$3,2)</f>
        <v>19764.66</v>
      </c>
      <c r="J6" s="16">
        <f t="shared" si="2"/>
        <v>0</v>
      </c>
      <c r="K6" s="16">
        <f t="shared" si="2"/>
        <v>1976.67</v>
      </c>
      <c r="L6" s="16">
        <f t="shared" si="2"/>
        <v>0</v>
      </c>
      <c r="M6" s="16">
        <f t="shared" si="2"/>
        <v>1229.75</v>
      </c>
      <c r="N6" s="16">
        <f t="shared" si="2"/>
        <v>0</v>
      </c>
      <c r="O6" s="16">
        <f t="shared" si="2"/>
        <v>3397.15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1131.77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1131.77</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27500</v>
      </c>
      <c r="AZ6" s="16" t="s">
        <v>3</v>
      </c>
      <c r="BA6" s="16">
        <f>ROUND($AY$6*BA5/$AZ$5,2)</f>
        <v>26368.23</v>
      </c>
      <c r="BB6" s="16">
        <f>ROUND($AY$6*BB5/$AZ$5,2)</f>
        <v>19764.66</v>
      </c>
      <c r="BC6" s="16">
        <f t="shared" ref="BC6:BH6" si="4">ROUND($AY$6*BC5/$AZ$5,2)</f>
        <v>1976.67</v>
      </c>
      <c r="BD6" s="16">
        <f t="shared" si="4"/>
        <v>1229.75</v>
      </c>
      <c r="BE6" s="16">
        <f t="shared" si="4"/>
        <v>3397.15</v>
      </c>
      <c r="BF6" s="16">
        <f t="shared" si="4"/>
        <v>0</v>
      </c>
      <c r="BG6" s="16">
        <f t="shared" si="4"/>
        <v>0</v>
      </c>
      <c r="BH6" s="16">
        <f t="shared" si="4"/>
        <v>0</v>
      </c>
      <c r="BI6" s="16">
        <f t="shared" ref="BI6:BT6" si="5">ROUND($AY$6*BI5/$AZ$5,2)</f>
        <v>0</v>
      </c>
      <c r="BJ6" s="16">
        <f t="shared" si="5"/>
        <v>0</v>
      </c>
      <c r="BK6" s="16">
        <f t="shared" si="5"/>
        <v>0</v>
      </c>
      <c r="BL6" s="16">
        <f t="shared" si="5"/>
        <v>1131.77</v>
      </c>
      <c r="BM6" s="16">
        <f t="shared" si="5"/>
        <v>0</v>
      </c>
      <c r="BN6" s="16">
        <f t="shared" si="5"/>
        <v>0</v>
      </c>
      <c r="BO6" s="16">
        <f t="shared" si="5"/>
        <v>0</v>
      </c>
      <c r="BP6" s="16">
        <f t="shared" si="5"/>
        <v>0</v>
      </c>
      <c r="BQ6" s="16">
        <f t="shared" si="5"/>
        <v>0</v>
      </c>
      <c r="BR6" s="16">
        <f t="shared" si="5"/>
        <v>1131.77</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1883</v>
      </c>
      <c r="AV7" s="23" t="s">
        <v>1884</v>
      </c>
      <c r="AW7" s="2157" t="s">
        <v>1885</v>
      </c>
      <c r="AX7" s="23" t="s">
        <v>1878</v>
      </c>
      <c r="AY7" s="1796"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1"/>
      <c r="K8" s="1811"/>
      <c r="L8" s="1811"/>
      <c r="M8" s="1811"/>
      <c r="N8" s="1811"/>
      <c r="O8" s="1811"/>
      <c r="P8" s="1811"/>
      <c r="Q8" s="1811"/>
      <c r="R8" s="1811"/>
      <c r="S8" s="1811"/>
      <c r="T8" s="1811"/>
      <c r="U8" s="1811"/>
      <c r="V8" s="2177"/>
      <c r="W8" s="1811"/>
      <c r="X8" s="1811"/>
      <c r="Y8" s="1811"/>
      <c r="Z8" s="1811"/>
      <c r="AA8" s="2177"/>
      <c r="AB8" s="2178"/>
      <c r="AC8" s="976" t="s">
        <v>1889</v>
      </c>
      <c r="AD8" s="2179"/>
      <c r="AE8" s="2171"/>
      <c r="AF8" s="1811"/>
      <c r="AG8" s="1811"/>
      <c r="AH8" s="1811"/>
      <c r="AI8" s="1811"/>
      <c r="AJ8" s="1811"/>
      <c r="AK8" s="1811"/>
      <c r="AL8" s="1811"/>
      <c r="AM8" s="1811"/>
      <c r="AN8" s="1811"/>
      <c r="AO8" s="1811"/>
      <c r="AP8" s="1811"/>
      <c r="AQ8" s="1811"/>
      <c r="AR8" s="1811"/>
      <c r="AS8" s="1811"/>
      <c r="AT8" s="1286" t="s">
        <v>1890</v>
      </c>
      <c r="AU8" s="2173" t="s">
        <v>1891</v>
      </c>
      <c r="AV8" s="1286"/>
      <c r="AW8" s="2156"/>
      <c r="AX8" s="1286"/>
      <c r="AY8" s="2157" t="s">
        <v>1892</v>
      </c>
      <c r="AZ8" s="1810" t="s">
        <v>1893</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1894</v>
      </c>
      <c r="I9" s="2182" t="s">
        <v>3052</v>
      </c>
      <c r="J9" s="976"/>
      <c r="K9" s="2182" t="s">
        <v>3052</v>
      </c>
      <c r="L9" s="976"/>
      <c r="M9" s="2182" t="s">
        <v>3055</v>
      </c>
      <c r="N9" s="976"/>
      <c r="O9" s="2182" t="s">
        <v>3055</v>
      </c>
      <c r="P9" s="976"/>
      <c r="Q9" s="2182"/>
      <c r="R9" s="976"/>
      <c r="S9" s="2182"/>
      <c r="T9" s="976"/>
      <c r="U9" s="2182"/>
      <c r="V9" s="976"/>
      <c r="W9" s="2182"/>
      <c r="X9" s="2183"/>
      <c r="Y9" s="2182"/>
      <c r="Z9" s="976"/>
      <c r="AA9" s="2182"/>
      <c r="AB9" s="976"/>
      <c r="AC9" s="2174"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84"/>
      <c r="AT9" s="2173"/>
      <c r="AU9" s="2173" t="s">
        <v>1897</v>
      </c>
      <c r="AV9" s="1286"/>
      <c r="AW9" s="2156"/>
      <c r="AX9" s="1286"/>
      <c r="AY9" s="28"/>
      <c r="AZ9" s="28" t="s">
        <v>1887</v>
      </c>
      <c r="BA9" s="2185" t="s">
        <v>1898</v>
      </c>
      <c r="BB9" s="2186"/>
      <c r="BC9" s="1332"/>
      <c r="BD9" s="1332"/>
      <c r="BE9" s="1332"/>
      <c r="BF9" s="1332"/>
      <c r="BG9" s="1332"/>
      <c r="BH9" s="1332"/>
      <c r="BI9" s="1332"/>
      <c r="BJ9" s="1332"/>
      <c r="BK9" s="2187"/>
      <c r="BL9" s="15" t="s">
        <v>1899</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3056</v>
      </c>
      <c r="P10" s="976"/>
      <c r="Q10" s="2188"/>
      <c r="R10" s="976"/>
      <c r="S10" s="2188"/>
      <c r="T10" s="976"/>
      <c r="U10" s="2188"/>
      <c r="V10" s="976"/>
      <c r="W10" s="2188"/>
      <c r="X10" s="976"/>
      <c r="Y10" s="2188"/>
      <c r="Z10" s="976"/>
      <c r="AA10" s="2188"/>
      <c r="AB10" s="976"/>
      <c r="AC10" s="1286"/>
      <c r="AD10" s="15" t="s">
        <v>1900</v>
      </c>
      <c r="AE10" s="2189"/>
      <c r="AF10" s="15" t="s">
        <v>1900</v>
      </c>
      <c r="AG10" s="2189"/>
      <c r="AH10" s="15" t="s">
        <v>1901</v>
      </c>
      <c r="AI10" s="2189"/>
      <c r="AJ10" s="15" t="s">
        <v>1901</v>
      </c>
      <c r="AK10" s="2189"/>
      <c r="AL10" s="15" t="s">
        <v>1902</v>
      </c>
      <c r="AM10" s="1292"/>
      <c r="AN10" s="15" t="s">
        <v>1902</v>
      </c>
      <c r="AO10" s="1292"/>
      <c r="AP10" s="15" t="s">
        <v>1903</v>
      </c>
      <c r="AQ10" s="1292"/>
      <c r="AR10" s="15" t="s">
        <v>1903</v>
      </c>
      <c r="AS10" s="1292"/>
      <c r="AT10" s="2173"/>
      <c r="AU10" s="2173"/>
      <c r="AV10" s="1286"/>
      <c r="AW10" s="2156"/>
      <c r="AX10" s="1286"/>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3053</v>
      </c>
      <c r="J11" s="2194"/>
      <c r="K11" s="2193" t="s">
        <v>3054</v>
      </c>
      <c r="L11" s="2194"/>
      <c r="M11" s="2193" t="s">
        <v>3054</v>
      </c>
      <c r="N11" s="2194"/>
      <c r="O11" s="2193" t="s">
        <v>3056</v>
      </c>
      <c r="P11" s="2194"/>
      <c r="Q11" s="2193"/>
      <c r="R11" s="2194"/>
      <c r="S11" s="2193"/>
      <c r="T11" s="2194"/>
      <c r="U11" s="2193"/>
      <c r="V11" s="2194"/>
      <c r="W11" s="2193"/>
      <c r="X11" s="2194"/>
      <c r="Y11" s="2193"/>
      <c r="Z11" s="2194"/>
      <c r="AA11" s="2193"/>
      <c r="AB11" s="2194"/>
      <c r="AC11" s="1286"/>
      <c r="AD11" s="2195" t="s">
        <v>1904</v>
      </c>
      <c r="AE11" s="1812"/>
      <c r="AF11" s="2195" t="s">
        <v>1904</v>
      </c>
      <c r="AG11" s="1812"/>
      <c r="AH11" s="2195" t="s">
        <v>1905</v>
      </c>
      <c r="AI11" s="2196"/>
      <c r="AJ11" s="2195" t="s">
        <v>1905</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5" t="s">
        <v>1907</v>
      </c>
      <c r="W12" s="11" t="s">
        <v>1906</v>
      </c>
      <c r="X12" s="11" t="s">
        <v>1907</v>
      </c>
      <c r="Y12" s="11" t="s">
        <v>1906</v>
      </c>
      <c r="Z12" s="11" t="s">
        <v>1907</v>
      </c>
      <c r="AA12" s="11" t="s">
        <v>1906</v>
      </c>
      <c r="AB12" s="11" t="s">
        <v>1907</v>
      </c>
      <c r="AC12" s="2200"/>
      <c r="AD12" s="179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c r="A13" s="2948">
        <v>43118.09</v>
      </c>
      <c r="B13" s="1266"/>
      <c r="C13" s="1266">
        <v>1</v>
      </c>
      <c r="D13" s="2204" t="s">
        <v>3037</v>
      </c>
      <c r="E13" s="16">
        <f>IF($C$3="是",ROUND($A$3*G13/$B$3,2),ROUND($A$3*(G13-AT13)/$B$3,2))</f>
        <v>8576.0300000000007</v>
      </c>
      <c r="F13" s="32"/>
      <c r="G13" s="33">
        <f>H13+AC13+AT13</f>
        <v>43118.09</v>
      </c>
      <c r="H13" s="20">
        <f>SUMIF(I$12:AB$12,"总值",I13:AB13)</f>
        <v>43118.09</v>
      </c>
      <c r="I13" s="2205">
        <v>38846.42</v>
      </c>
      <c r="J13" s="2205"/>
      <c r="K13" s="2205">
        <v>4271.67</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40"/>
      <c r="AM13" s="40"/>
      <c r="AN13" s="40"/>
      <c r="AO13" s="2206"/>
      <c r="AP13" s="2206"/>
      <c r="AQ13" s="2206"/>
      <c r="AR13" s="2206"/>
      <c r="AS13" s="2206"/>
      <c r="AT13" s="2207"/>
      <c r="AU13" s="2208"/>
      <c r="AV13" s="11">
        <f t="shared" ref="AV13:AX17" si="6">A13</f>
        <v>43118.09</v>
      </c>
      <c r="AW13" s="11">
        <f t="shared" si="6"/>
        <v>0</v>
      </c>
      <c r="AX13" s="11">
        <f t="shared" si="6"/>
        <v>1</v>
      </c>
      <c r="AY13" s="1799">
        <f>ROUND($AY$6*AZ13/$AZ$5,2)</f>
        <v>8576.0300000000007</v>
      </c>
      <c r="AZ13" s="16">
        <f>BA13+BL13</f>
        <v>43118.09</v>
      </c>
      <c r="BA13" s="16">
        <f>SUM(BB13:BK13)</f>
        <v>43118.09</v>
      </c>
      <c r="BB13" s="16">
        <f>IF($D13="是",I13-J13,0)</f>
        <v>38846.42</v>
      </c>
      <c r="BC13" s="16">
        <f>IF($D13="是",K13-L13,0)</f>
        <v>4271.67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c r="A14" s="1266">
        <v>32444.85</v>
      </c>
      <c r="B14" s="1266"/>
      <c r="C14" s="1266">
        <v>2</v>
      </c>
      <c r="D14" s="2204" t="s">
        <v>3037</v>
      </c>
      <c r="E14" s="16">
        <f>IF($C$3="是",ROUND($A$3*G14/$B$3,2),ROUND($A$3*(G14-AT14)/$B$3,2))</f>
        <v>6453.16</v>
      </c>
      <c r="F14" s="32"/>
      <c r="G14" s="33">
        <f>H14+AC14+AT14</f>
        <v>32444.85</v>
      </c>
      <c r="H14" s="20">
        <f>SUMIF(I$12:AB$12,"总值",I14:AB14)</f>
        <v>32444.85</v>
      </c>
      <c r="I14" s="2205">
        <v>29479.89</v>
      </c>
      <c r="J14" s="2205"/>
      <c r="K14" s="2205">
        <v>2964.96</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40"/>
      <c r="AM14" s="40"/>
      <c r="AN14" s="40"/>
      <c r="AO14" s="2206"/>
      <c r="AP14" s="2206"/>
      <c r="AQ14" s="2206"/>
      <c r="AR14" s="2206"/>
      <c r="AS14" s="2206"/>
      <c r="AT14" s="2207"/>
      <c r="AU14" s="2208"/>
      <c r="AV14" s="11">
        <f t="shared" si="6"/>
        <v>32444.85</v>
      </c>
      <c r="AW14" s="11">
        <f t="shared" si="6"/>
        <v>0</v>
      </c>
      <c r="AX14" s="11">
        <f t="shared" si="6"/>
        <v>2</v>
      </c>
      <c r="AY14" s="1799">
        <f>ROUND($AY$6*AZ14/$AZ$5,2)</f>
        <v>6453.16</v>
      </c>
      <c r="AZ14" s="16">
        <f>BA14+BL14</f>
        <v>32444.85</v>
      </c>
      <c r="BA14" s="16">
        <f>SUM(BB14:BK14)</f>
        <v>32444.85</v>
      </c>
      <c r="BB14" s="16">
        <f>IF($D14="是",I14-J14,0)</f>
        <v>29479.89</v>
      </c>
      <c r="BC14" s="16">
        <f>IF($D14="是",K14-L14,0)</f>
        <v>2964.96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c r="A15" s="1266">
        <v>22693.77</v>
      </c>
      <c r="B15" s="1266"/>
      <c r="C15" s="1266">
        <v>3</v>
      </c>
      <c r="D15" s="2204" t="s">
        <v>3037</v>
      </c>
      <c r="E15" s="16">
        <f>IF($C$3="是",ROUND($A$3*G15/$B$3,2),ROUND($A$3*(G15-AT15)/$B$3,2))</f>
        <v>4513.71</v>
      </c>
      <c r="F15" s="32"/>
      <c r="G15" s="33">
        <f>H15+AC15+AT15</f>
        <v>22693.769999999997</v>
      </c>
      <c r="H15" s="20">
        <f>SUMIF(I$12:AB$12,"总值",I15:AB15)</f>
        <v>22693.769999999997</v>
      </c>
      <c r="I15" s="2205">
        <v>21381.1</v>
      </c>
      <c r="J15" s="2205"/>
      <c r="K15" s="2205">
        <v>1312.67</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40"/>
      <c r="AM15" s="40"/>
      <c r="AN15" s="40"/>
      <c r="AO15" s="2206"/>
      <c r="AP15" s="2206"/>
      <c r="AQ15" s="2206"/>
      <c r="AR15" s="2206"/>
      <c r="AS15" s="2206"/>
      <c r="AT15" s="2207"/>
      <c r="AU15" s="2208"/>
      <c r="AV15" s="11">
        <f t="shared" si="6"/>
        <v>22693.77</v>
      </c>
      <c r="AW15" s="11">
        <f t="shared" si="6"/>
        <v>0</v>
      </c>
      <c r="AX15" s="11">
        <f t="shared" si="6"/>
        <v>3</v>
      </c>
      <c r="AY15" s="1799">
        <f>ROUND($AY$6*AZ15/$AZ$5,2)</f>
        <v>4513.71</v>
      </c>
      <c r="AZ15" s="16">
        <f>BA15+BL15</f>
        <v>22693.769999999997</v>
      </c>
      <c r="BA15" s="16">
        <f>SUM(BB15:BK15)</f>
        <v>22693.769999999997</v>
      </c>
      <c r="BB15" s="16">
        <f>IF($D15="是",I15-J15,0)</f>
        <v>21381.1</v>
      </c>
      <c r="BC15" s="16">
        <f>IF($D15="是",K15-L15,0)</f>
        <v>1312.67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c r="A16" s="1266">
        <v>11053.2</v>
      </c>
      <c r="B16" s="1266"/>
      <c r="C16" s="1266">
        <v>4</v>
      </c>
      <c r="D16" s="2204" t="s">
        <v>3037</v>
      </c>
      <c r="E16" s="16">
        <f>IF($C$3="是",ROUND($A$3*G16/$B$3,2),ROUND($A$3*(G16-AT16)/$B$3,2))</f>
        <v>2198.44</v>
      </c>
      <c r="F16" s="32"/>
      <c r="G16" s="33">
        <f>H16+AC16+AT16</f>
        <v>11053.199999999999</v>
      </c>
      <c r="H16" s="20">
        <f>SUMIF(I$12:AB$12,"总值",I16:AB16)</f>
        <v>11053.199999999999</v>
      </c>
      <c r="I16" s="2205">
        <v>9664.2999999999993</v>
      </c>
      <c r="J16" s="2205"/>
      <c r="K16" s="2205">
        <v>1388.9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40"/>
      <c r="AM16" s="40"/>
      <c r="AN16" s="40"/>
      <c r="AO16" s="2206"/>
      <c r="AP16" s="2206"/>
      <c r="AQ16" s="2206"/>
      <c r="AR16" s="2206"/>
      <c r="AS16" s="2206"/>
      <c r="AT16" s="2207"/>
      <c r="AU16" s="2208"/>
      <c r="AV16" s="11">
        <f t="shared" si="6"/>
        <v>11053.2</v>
      </c>
      <c r="AW16" s="11">
        <f t="shared" si="6"/>
        <v>0</v>
      </c>
      <c r="AX16" s="11">
        <f t="shared" si="6"/>
        <v>4</v>
      </c>
      <c r="AY16" s="1799">
        <f>ROUND($AY$6*AZ16/$AZ$5,2)</f>
        <v>2198.44</v>
      </c>
      <c r="AZ16" s="16">
        <f>BA16+BL16</f>
        <v>11053.199999999999</v>
      </c>
      <c r="BA16" s="16">
        <f>SUM(BB16:BK16)</f>
        <v>11053.199999999999</v>
      </c>
      <c r="BB16" s="16">
        <f>IF($D16="是",I16-J16,0)</f>
        <v>9664.2999999999993</v>
      </c>
      <c r="BC16" s="16">
        <f>IF($D16="是",K16-L16,0)</f>
        <v>1388.9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c r="A17" s="2948">
        <v>28953.13</v>
      </c>
      <c r="B17" s="1266"/>
      <c r="C17" s="2948" t="s">
        <v>3330</v>
      </c>
      <c r="D17" s="2204" t="s">
        <v>3037</v>
      </c>
      <c r="E17" s="16">
        <f>IF($C$3="是",ROUND($A$3*G17/$B$3,2),ROUND($A$3*(G17-AT17)/$B$3,2))</f>
        <v>5758.67</v>
      </c>
      <c r="F17" s="32"/>
      <c r="G17" s="33">
        <f>H17+AC17+AT17</f>
        <v>28953.13</v>
      </c>
      <c r="H17" s="20">
        <f>SUMIF(I$12:AB$12,"总值",I17:AB17)</f>
        <v>23262.89</v>
      </c>
      <c r="I17" s="2205"/>
      <c r="J17" s="2205"/>
      <c r="K17" s="2205"/>
      <c r="L17" s="2205"/>
      <c r="M17" s="2205">
        <v>6182.89</v>
      </c>
      <c r="N17" s="2205"/>
      <c r="O17" s="2205">
        <f>35*488</f>
        <v>17080</v>
      </c>
      <c r="P17" s="2205"/>
      <c r="Q17" s="2205"/>
      <c r="R17" s="2205"/>
      <c r="S17" s="2205"/>
      <c r="T17" s="2205"/>
      <c r="U17" s="2205"/>
      <c r="V17" s="2205"/>
      <c r="W17" s="2205"/>
      <c r="X17" s="2205"/>
      <c r="Y17" s="2205"/>
      <c r="Z17" s="2205"/>
      <c r="AA17" s="2205"/>
      <c r="AB17" s="2205"/>
      <c r="AC17" s="16">
        <f>SUMIF(AD$12:AS$12,"总值",AD17:AS17)</f>
        <v>5690.2400000000007</v>
      </c>
      <c r="AD17" s="2206"/>
      <c r="AE17" s="2206"/>
      <c r="AF17" s="2206"/>
      <c r="AG17" s="2206"/>
      <c r="AH17" s="2206"/>
      <c r="AI17" s="2206"/>
      <c r="AJ17" s="2206"/>
      <c r="AK17" s="2206"/>
      <c r="AL17" s="40"/>
      <c r="AM17" s="40"/>
      <c r="AN17" s="40">
        <f>A17-O17-M17</f>
        <v>5690.2400000000007</v>
      </c>
      <c r="AO17" s="2206"/>
      <c r="AP17" s="2206"/>
      <c r="AQ17" s="2206"/>
      <c r="AR17" s="2206"/>
      <c r="AS17" s="2206"/>
      <c r="AT17" s="2207"/>
      <c r="AU17" s="2208"/>
      <c r="AV17" s="11">
        <f t="shared" si="6"/>
        <v>28953.13</v>
      </c>
      <c r="AW17" s="11">
        <f t="shared" si="6"/>
        <v>0</v>
      </c>
      <c r="AX17" s="11" t="str">
        <f t="shared" si="6"/>
        <v>地下</v>
      </c>
      <c r="AY17" s="1799">
        <f>ROUND($AY$6*AZ17/$AZ$5,2)</f>
        <v>5758.67</v>
      </c>
      <c r="AZ17" s="16">
        <f>BA17+BL17</f>
        <v>28953.13</v>
      </c>
      <c r="BA17" s="16">
        <f>SUM(BB17:BK17)</f>
        <v>23262.89</v>
      </c>
      <c r="BB17" s="16">
        <f>IF($D17="是",I17-J17,0)</f>
        <v>0</v>
      </c>
      <c r="BC17" s="16">
        <f>IF($D17="是",K17-L17,0)</f>
        <v>0</v>
      </c>
      <c r="BD17" s="16">
        <f>IF($D17="是",M17-N17,0)</f>
        <v>6182.89</v>
      </c>
      <c r="BE17" s="16">
        <f>IF($D17="是",O17-P17,0)</f>
        <v>17080</v>
      </c>
      <c r="BF17" s="16">
        <f>IF($D17="是",Q17-R17,0)</f>
        <v>0</v>
      </c>
      <c r="BG17" s="16">
        <f>IF($D17="是",S17-T17,0)</f>
        <v>0</v>
      </c>
      <c r="BH17" s="16">
        <f>IF($D17="是",U17-V17,0)</f>
        <v>0</v>
      </c>
      <c r="BI17" s="16">
        <f>IF($D17="是",W17-X17,0)</f>
        <v>0</v>
      </c>
      <c r="BJ17" s="16">
        <f>IF($D17="是",Y17-Z17,0)</f>
        <v>0</v>
      </c>
      <c r="BK17" s="16">
        <f>IF($D17="是",AA17-AB17,0)</f>
        <v>0</v>
      </c>
      <c r="BL17" s="16">
        <f>SUM(BM17:BT17)</f>
        <v>5690.2400000000007</v>
      </c>
      <c r="BM17" s="16">
        <f>IF($D17="是",AD17-AE17,0)</f>
        <v>0</v>
      </c>
      <c r="BN17" s="16">
        <f>IF($D17="是",AF17-AG17,0)</f>
        <v>0</v>
      </c>
      <c r="BO17" s="16">
        <f>IF($D17="是",AH17-AI17,0)</f>
        <v>0</v>
      </c>
      <c r="BP17" s="16">
        <f>IF($D17="是",AJ17-AK17,0)</f>
        <v>0</v>
      </c>
      <c r="BQ17" s="16">
        <f>IF($D17="是",AL17-AM17,0)</f>
        <v>0</v>
      </c>
      <c r="BR17" s="16">
        <f>IF($D17="是",AN17-AO17,0)</f>
        <v>5690.2400000000007</v>
      </c>
      <c r="BS17" s="16">
        <f>IF($D17="是",AP17-AQ17,0)</f>
        <v>0</v>
      </c>
      <c r="BT17" s="22">
        <f>IF($D17="是",AR17-AS17,0)</f>
        <v>0</v>
      </c>
    </row>
    <row r="18" spans="1:72">
      <c r="A18" s="3001"/>
      <c r="B18" s="3002"/>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1"/>
      <c r="B19" s="3002"/>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1"/>
      <c r="B20" s="3002"/>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1"/>
      <c r="B21" s="3002"/>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c r="B22" s="1266"/>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c r="B23" s="1266"/>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7" sqref="E2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86"/>
      <c r="C1" s="1386"/>
      <c r="D1" s="1386"/>
      <c r="E1" s="1386"/>
      <c r="F1" s="1386"/>
      <c r="G1" s="1386"/>
      <c r="H1" s="1386"/>
      <c r="I1" s="1386"/>
      <c r="J1" s="1386"/>
      <c r="K1" s="1386"/>
      <c r="L1" s="1386"/>
      <c r="M1" s="1386"/>
      <c r="N1" s="1386"/>
      <c r="O1" s="1386"/>
      <c r="P1" s="1386"/>
    </row>
    <row r="2" spans="1:16" ht="15">
      <c r="A2" s="3114" t="s">
        <v>1934</v>
      </c>
      <c r="B2" s="3114"/>
      <c r="C2" s="3114"/>
      <c r="D2" s="962" t="s">
        <v>1910</v>
      </c>
      <c r="E2" s="2218" t="s">
        <v>1911</v>
      </c>
      <c r="F2" s="1386"/>
      <c r="G2" s="2219"/>
      <c r="H2" s="2220"/>
      <c r="I2" s="2221" t="s">
        <v>1935</v>
      </c>
      <c r="J2" s="1386"/>
      <c r="K2" s="1386"/>
      <c r="L2" s="1386"/>
      <c r="M2" s="1386"/>
      <c r="N2" s="1421"/>
      <c r="O2" s="1386"/>
      <c r="P2" s="1386"/>
    </row>
    <row r="3" spans="1:16" ht="15.75" thickBot="1">
      <c r="A3" s="3115" t="s">
        <v>1908</v>
      </c>
      <c r="B3" s="3115"/>
      <c r="C3" s="3115"/>
      <c r="D3" s="46">
        <f>'数据-基础表'!AY6</f>
        <v>27500</v>
      </c>
      <c r="E3" s="46">
        <f>'数据-基础表'!AZ5</f>
        <v>138263.03999999998</v>
      </c>
      <c r="F3" s="1386"/>
      <c r="G3" s="1393"/>
      <c r="H3" s="1241" t="s">
        <v>1909</v>
      </c>
      <c r="I3" s="55">
        <f>ROUND('数据-基础表'!B3/'数据-基础表'!A3,2)</f>
        <v>5.03</v>
      </c>
      <c r="J3" s="1386"/>
      <c r="K3" s="1386"/>
      <c r="L3" s="1386"/>
      <c r="M3" s="1386"/>
      <c r="N3" s="1421"/>
      <c r="O3" s="1386"/>
      <c r="P3" s="1386"/>
    </row>
    <row r="4" spans="1:16" ht="15">
      <c r="A4" s="3116"/>
      <c r="B4" s="3117"/>
      <c r="C4" s="3118"/>
      <c r="D4" s="2222" t="s">
        <v>1910</v>
      </c>
      <c r="E4" s="2223" t="s">
        <v>1911</v>
      </c>
      <c r="F4" s="1386"/>
      <c r="G4" s="2224" t="s">
        <v>1936</v>
      </c>
      <c r="H4" s="1241" t="s">
        <v>1916</v>
      </c>
      <c r="I4" s="55">
        <f>ROUND(SUMIF('数据-基础表'!I9:AS9,"地上",'数据-基础表'!I5:AS5)/'数据-基础表'!A3,2)</f>
        <v>3.97</v>
      </c>
      <c r="J4" s="1386"/>
      <c r="K4" s="1386"/>
      <c r="L4" s="1386"/>
      <c r="M4" s="1386"/>
      <c r="N4" s="1421"/>
      <c r="O4" s="1386"/>
      <c r="P4" s="1386"/>
    </row>
    <row r="5" spans="1:16">
      <c r="A5" s="47" t="s">
        <v>1912</v>
      </c>
      <c r="B5" s="3119" t="s">
        <v>1913</v>
      </c>
      <c r="C5" s="3119"/>
      <c r="D5" s="48">
        <f>ROUND($D$3*E5/$E$3,2)</f>
        <v>0</v>
      </c>
      <c r="E5" s="49">
        <f>SUMIF('数据-基础表'!$11:$11,"住宅",'数据-基础表'!$5:$5)</f>
        <v>0</v>
      </c>
      <c r="F5" s="1386"/>
      <c r="G5" s="1393"/>
      <c r="H5" s="1241" t="s">
        <v>1909</v>
      </c>
      <c r="I5" s="55">
        <f>ROUND(E31/D31,2)</f>
        <v>5.03</v>
      </c>
      <c r="J5" s="1386"/>
      <c r="K5" s="1386"/>
      <c r="L5" s="1386"/>
      <c r="M5" s="1386"/>
      <c r="N5" s="1386"/>
      <c r="O5" s="1386"/>
      <c r="P5" s="1386"/>
    </row>
    <row r="6" spans="1:16" ht="15" thickBot="1">
      <c r="A6" s="2225"/>
      <c r="B6" s="3119" t="s">
        <v>1914</v>
      </c>
      <c r="C6" s="3119"/>
      <c r="D6" s="48">
        <f>ROUND($D$3*E6/$E$3,2)</f>
        <v>27500</v>
      </c>
      <c r="E6" s="49">
        <f>E3-E5</f>
        <v>138263.03999999998</v>
      </c>
      <c r="F6" s="1386"/>
      <c r="G6" s="2226" t="s">
        <v>1915</v>
      </c>
      <c r="H6" s="1393" t="s">
        <v>1916</v>
      </c>
      <c r="I6" s="934">
        <f>ROUND(F31/D31,2)</f>
        <v>3.97</v>
      </c>
      <c r="J6" s="1386"/>
      <c r="K6" s="1386"/>
      <c r="L6" s="1386"/>
      <c r="M6" s="1386"/>
      <c r="N6" s="1386"/>
      <c r="O6" s="1386"/>
      <c r="P6" s="1386"/>
    </row>
    <row r="7" spans="1:16" ht="15">
      <c r="A7" s="3111"/>
      <c r="B7" s="3112"/>
      <c r="C7" s="3113"/>
      <c r="D7" s="2222" t="s">
        <v>1910</v>
      </c>
      <c r="E7" s="2227" t="s">
        <v>1917</v>
      </c>
      <c r="F7" s="1386"/>
      <c r="G7" s="2219" t="s">
        <v>1918</v>
      </c>
      <c r="H7" s="64"/>
      <c r="I7" s="417"/>
      <c r="J7" s="1386"/>
      <c r="K7" s="1386"/>
      <c r="L7" s="1386"/>
      <c r="M7" s="1386"/>
      <c r="N7" s="1386"/>
      <c r="O7" s="1386"/>
      <c r="P7" s="1386"/>
    </row>
    <row r="8" spans="1:16">
      <c r="A8" s="47" t="s">
        <v>1919</v>
      </c>
      <c r="B8" s="50" t="s">
        <v>1920</v>
      </c>
      <c r="C8" s="48" t="s">
        <v>1921</v>
      </c>
      <c r="D8" s="48">
        <f t="shared" ref="D8:D15" si="0">ROUND($D$3*E8/$E$3,2)</f>
        <v>21741.33</v>
      </c>
      <c r="E8" s="51">
        <f>SUMIF('数据-基础表'!BB10:BK10,"地上",'数据-基础表'!BB5:BK5)</f>
        <v>109309.91</v>
      </c>
      <c r="F8" s="1386"/>
      <c r="G8" s="2228"/>
      <c r="H8" s="2228"/>
      <c r="I8" s="1386"/>
      <c r="J8" s="1386"/>
      <c r="K8" s="1386"/>
      <c r="L8" s="1386"/>
      <c r="M8" s="1386"/>
      <c r="N8" s="1386"/>
      <c r="O8" s="1386"/>
      <c r="P8" s="1386"/>
    </row>
    <row r="9" spans="1:16">
      <c r="A9" s="2229"/>
      <c r="B9" s="2230"/>
      <c r="C9" s="48" t="s">
        <v>1922</v>
      </c>
      <c r="D9" s="48">
        <f t="shared" si="0"/>
        <v>0</v>
      </c>
      <c r="E9" s="52">
        <v>0</v>
      </c>
      <c r="F9" s="1386"/>
      <c r="G9" s="2228"/>
      <c r="H9" s="2228"/>
      <c r="I9" s="1386"/>
      <c r="J9" s="1386"/>
      <c r="K9" s="1386"/>
      <c r="L9" s="1386"/>
      <c r="M9" s="1386"/>
      <c r="N9" s="1386"/>
      <c r="O9" s="1386"/>
      <c r="P9" s="1386"/>
    </row>
    <row r="10" spans="1:16">
      <c r="A10" s="2229"/>
      <c r="B10" s="2230"/>
      <c r="C10" s="48" t="s">
        <v>1931</v>
      </c>
      <c r="D10" s="48">
        <f t="shared" si="0"/>
        <v>1229.75</v>
      </c>
      <c r="E10" s="51">
        <f>SUMPRODUCT(('数据-基础表'!BB10:BK10="地下")*('数据-基础表'!BB11:BK11="商业")*('数据-基础表'!BB5:BK5))</f>
        <v>6182.89</v>
      </c>
      <c r="F10" s="1386"/>
      <c r="G10" s="2228"/>
      <c r="H10" s="2228"/>
      <c r="I10" s="1386"/>
      <c r="J10" s="1386"/>
      <c r="K10" s="1386"/>
      <c r="L10" s="1386"/>
      <c r="M10" s="1386"/>
      <c r="N10" s="1386"/>
      <c r="O10" s="1386"/>
      <c r="P10" s="1386"/>
    </row>
    <row r="11" spans="1:16">
      <c r="A11" s="2229"/>
      <c r="B11" s="2230"/>
      <c r="C11" s="48" t="s">
        <v>1923</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1924</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1925</v>
      </c>
      <c r="D13" s="48">
        <f t="shared" si="0"/>
        <v>3397.15</v>
      </c>
      <c r="E13" s="51">
        <f>SUMPRODUCT(('数据-基础表'!BB10:BK10="地下")*('数据-基础表'!BB11:BK11="车库")*('数据-基础表'!BB5:BK5))</f>
        <v>17080</v>
      </c>
      <c r="F13" s="1386"/>
      <c r="G13" s="2228"/>
      <c r="H13" s="2228"/>
      <c r="I13" s="1386"/>
      <c r="J13" s="1386"/>
      <c r="K13" s="1386"/>
      <c r="L13" s="1386"/>
      <c r="M13" s="1386"/>
      <c r="N13" s="1386"/>
      <c r="O13" s="1386"/>
      <c r="P13" s="1386"/>
    </row>
    <row r="14" spans="1:16">
      <c r="A14" s="2229"/>
      <c r="B14" s="2230"/>
      <c r="C14" s="48" t="s">
        <v>1937</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1932</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1926</v>
      </c>
      <c r="D16" s="50">
        <f>SUM(D8:D15)</f>
        <v>26368.230000000003</v>
      </c>
      <c r="E16" s="53">
        <f>SUM(E8:E15)</f>
        <v>132572.79999999999</v>
      </c>
      <c r="F16" s="1386"/>
      <c r="G16" s="2228"/>
      <c r="H16" s="2231" t="s">
        <v>1938</v>
      </c>
      <c r="I16" s="2232"/>
      <c r="J16" s="1386"/>
      <c r="K16" s="3108" t="s">
        <v>1938</v>
      </c>
      <c r="L16" s="3109"/>
      <c r="M16" s="3109"/>
      <c r="N16" s="3109"/>
      <c r="O16" s="3109"/>
      <c r="P16" s="3110"/>
    </row>
    <row r="17" spans="1:19" ht="15">
      <c r="A17" s="2233" t="s">
        <v>1939</v>
      </c>
      <c r="B17" s="2234" t="s">
        <v>1940</v>
      </c>
      <c r="C17" s="2235" t="s">
        <v>1941</v>
      </c>
      <c r="D17" s="2236" t="s">
        <v>1929</v>
      </c>
      <c r="E17" s="2237" t="s">
        <v>1930</v>
      </c>
      <c r="F17" s="2238"/>
      <c r="G17" s="2239"/>
      <c r="H17" s="2240" t="s">
        <v>1942</v>
      </c>
      <c r="I17" s="2241" t="s">
        <v>1927</v>
      </c>
      <c r="J17" s="1386"/>
      <c r="K17" s="3105" t="s">
        <v>1943</v>
      </c>
      <c r="L17" s="3106"/>
      <c r="M17" s="3107"/>
      <c r="N17" s="3105" t="s">
        <v>1944</v>
      </c>
      <c r="O17" s="3106"/>
      <c r="P17" s="3107"/>
      <c r="R17" s="2219" t="s">
        <v>1945</v>
      </c>
      <c r="S17" s="64"/>
    </row>
    <row r="18" spans="1:19" ht="15">
      <c r="A18" s="2229"/>
      <c r="B18" s="2242"/>
      <c r="C18" s="2243"/>
      <c r="D18" s="2244"/>
      <c r="E18" s="2245" t="s">
        <v>1946</v>
      </c>
      <c r="F18" s="2246" t="s">
        <v>1947</v>
      </c>
      <c r="G18" s="2247" t="s">
        <v>1948</v>
      </c>
      <c r="H18" s="1256" t="s">
        <v>1949</v>
      </c>
      <c r="I18" s="2248" t="s">
        <v>1950</v>
      </c>
      <c r="J18" s="1386"/>
      <c r="K18" s="1256" t="s">
        <v>1951</v>
      </c>
      <c r="L18" s="2249" t="s">
        <v>1952</v>
      </c>
      <c r="M18" s="1040" t="s">
        <v>1953</v>
      </c>
      <c r="N18" s="1256" t="s">
        <v>1951</v>
      </c>
      <c r="O18" s="2249" t="s">
        <v>1952</v>
      </c>
      <c r="P18" s="1040" t="s">
        <v>1953</v>
      </c>
      <c r="R18" s="1241" t="s">
        <v>1954</v>
      </c>
      <c r="S18" s="1241" t="s">
        <v>1955</v>
      </c>
    </row>
    <row r="19" spans="1:19">
      <c r="A19" s="2250"/>
      <c r="B19" s="50" t="s">
        <v>1928</v>
      </c>
      <c r="C19" s="2949" t="s">
        <v>3057</v>
      </c>
      <c r="D19" s="48">
        <f>ROUND($D$3*E19/$E$3,2)</f>
        <v>19764.66</v>
      </c>
      <c r="E19" s="56">
        <f t="shared" ref="E19:E26" si="1">SUM(F19:G19)</f>
        <v>99371.71</v>
      </c>
      <c r="F19" s="57">
        <f>'数据-基础表'!I5</f>
        <v>99371.71</v>
      </c>
      <c r="G19" s="58"/>
      <c r="H19" s="719">
        <f>ROUND($D$3*I19/$E$3,2)</f>
        <v>848.33</v>
      </c>
      <c r="I19" s="51">
        <f t="shared" ref="I19:I26" si="2">IF($I$17="自定义",P19,M19)</f>
        <v>4265.2</v>
      </c>
      <c r="J19" s="1386"/>
      <c r="K19" s="1385">
        <f t="shared" ref="K19:K26" si="3">ROUND(E$28*E19/E$27,2)</f>
        <v>4265.2</v>
      </c>
      <c r="L19" s="1241">
        <f t="shared" ref="L19:L26" si="4">ROUND(IF(COUNTIF(C19,"*住宅*")&gt;0,E$29*E19/E$32,0),2)</f>
        <v>0</v>
      </c>
      <c r="M19" s="1397">
        <f>K19+L19</f>
        <v>4265.2</v>
      </c>
      <c r="N19" s="2251"/>
      <c r="O19" s="2252"/>
      <c r="P19" s="1397">
        <f>N19+O19</f>
        <v>0</v>
      </c>
      <c r="R19" s="1241">
        <f t="shared" ref="R19:S26" si="5">D19+H19</f>
        <v>20612.990000000002</v>
      </c>
      <c r="S19" s="1242">
        <f t="shared" si="5"/>
        <v>103636.91</v>
      </c>
    </row>
    <row r="20" spans="1:19">
      <c r="A20" s="2253"/>
      <c r="B20" s="50" t="s">
        <v>1956</v>
      </c>
      <c r="C20" s="2949" t="s">
        <v>3058</v>
      </c>
      <c r="D20" s="48">
        <f t="shared" ref="D20:D26" si="6">ROUND($D$3*E20/$E$3,2)</f>
        <v>3206.42</v>
      </c>
      <c r="E20" s="56">
        <f t="shared" si="1"/>
        <v>16121.09</v>
      </c>
      <c r="F20" s="57">
        <f>'数据-基础表'!K5</f>
        <v>9938.1999999999989</v>
      </c>
      <c r="G20" s="58">
        <f>'数据-基础表'!M5</f>
        <v>6182.89</v>
      </c>
      <c r="H20" s="719">
        <f t="shared" ref="H20:H26" si="7">ROUND($D$3*I20/$E$3,2)</f>
        <v>137.62</v>
      </c>
      <c r="I20" s="51">
        <f t="shared" si="2"/>
        <v>691.94</v>
      </c>
      <c r="J20" s="1386"/>
      <c r="K20" s="1385">
        <f t="shared" si="3"/>
        <v>691.94</v>
      </c>
      <c r="L20" s="1241">
        <f t="shared" si="4"/>
        <v>0</v>
      </c>
      <c r="M20" s="1397">
        <f t="shared" ref="M20:M26" si="8">K20+L20</f>
        <v>691.94</v>
      </c>
      <c r="N20" s="2251"/>
      <c r="O20" s="2252"/>
      <c r="P20" s="1397">
        <f t="shared" ref="P20:P26" si="9">N20+O20</f>
        <v>0</v>
      </c>
      <c r="R20" s="1241">
        <f t="shared" si="5"/>
        <v>3344.04</v>
      </c>
      <c r="S20" s="1242">
        <f t="shared" si="5"/>
        <v>16813.03</v>
      </c>
    </row>
    <row r="21" spans="1:19">
      <c r="A21" s="2253"/>
      <c r="B21" s="50" t="s">
        <v>1956</v>
      </c>
      <c r="C21" s="2949" t="s">
        <v>3059</v>
      </c>
      <c r="D21" s="48">
        <f t="shared" si="6"/>
        <v>3397.15</v>
      </c>
      <c r="E21" s="56">
        <f t="shared" si="1"/>
        <v>17080</v>
      </c>
      <c r="F21" s="57"/>
      <c r="G21" s="58">
        <f>'数据-基础表'!O5</f>
        <v>17080</v>
      </c>
      <c r="H21" s="719">
        <f t="shared" si="7"/>
        <v>145.81</v>
      </c>
      <c r="I21" s="51">
        <f t="shared" si="2"/>
        <v>733.1</v>
      </c>
      <c r="J21" s="1386"/>
      <c r="K21" s="1385">
        <f t="shared" si="3"/>
        <v>733.1</v>
      </c>
      <c r="L21" s="1241">
        <f t="shared" si="4"/>
        <v>0</v>
      </c>
      <c r="M21" s="1397">
        <f t="shared" si="8"/>
        <v>733.1</v>
      </c>
      <c r="N21" s="2251"/>
      <c r="O21" s="2252"/>
      <c r="P21" s="1397">
        <f t="shared" si="9"/>
        <v>0</v>
      </c>
      <c r="R21" s="1241">
        <f t="shared" si="5"/>
        <v>3542.96</v>
      </c>
      <c r="S21" s="1242">
        <f t="shared" si="5"/>
        <v>17813.099999999999</v>
      </c>
    </row>
    <row r="22" spans="1:19">
      <c r="A22" s="2253"/>
      <c r="B22" s="50" t="s">
        <v>1956</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1956</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1956</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29.25" thickBot="1">
      <c r="A27" s="2253"/>
      <c r="B27" s="48"/>
      <c r="C27" s="2256" t="s">
        <v>1957</v>
      </c>
      <c r="D27" s="1387">
        <f>SUM(D19:D26)</f>
        <v>26368.230000000003</v>
      </c>
      <c r="E27" s="1388">
        <f>IF(SUM(E19:E26)='数据-基础表'!BA5,SUM(E19:E26),IF(F27="地上面积有误","面积有误","地下面积有误"))</f>
        <v>132572.79999999999</v>
      </c>
      <c r="F27" s="1387">
        <f>IF(SUM(F19:F26)=E8,SUM(F19:F26),"地上面积有误")</f>
        <v>109309.91</v>
      </c>
      <c r="G27" s="1389">
        <f>SUM(G19:G26)</f>
        <v>23262.89</v>
      </c>
      <c r="H27" s="1390">
        <f>SUM(H19:H26)</f>
        <v>1131.76</v>
      </c>
      <c r="I27" s="1391">
        <f>SUM(I19:I26)</f>
        <v>5690.24</v>
      </c>
      <c r="J27" s="1386"/>
      <c r="K27" s="1394">
        <f>SUM(K19:K26)</f>
        <v>5690.24</v>
      </c>
      <c r="L27" s="1395">
        <f>SUM(L19:L26)</f>
        <v>0</v>
      </c>
      <c r="M27" s="1398">
        <f>SUM(M19:M26)</f>
        <v>5690.24</v>
      </c>
      <c r="N27" s="1394">
        <f t="shared" ref="N27:O27" si="10">SUM(N19:N26)</f>
        <v>0</v>
      </c>
      <c r="O27" s="1395">
        <f t="shared" si="10"/>
        <v>0</v>
      </c>
      <c r="P27" s="1396">
        <f>SUM(P19:P26)</f>
        <v>0</v>
      </c>
      <c r="R27" s="1243" t="str">
        <f>IF(SUM(R19:R26)=$D$3,SUM(R19:R26),SUM(R19:R26)&amp;"误差"&amp;ROUND(SUM(R19:R26)-$D$3,2))</f>
        <v>27499.99误差-0.01</v>
      </c>
      <c r="S27" s="1241">
        <f>IF(SUM(S19:S26)=$E$3,SUM(S19:S26),SUM(S19:S26)&amp;"误差"&amp;ROUND(SUM(S19:S26)-E3,2))</f>
        <v>138263.04000000001</v>
      </c>
    </row>
    <row r="28" spans="1:19">
      <c r="A28" s="2253"/>
      <c r="B28" s="50" t="s">
        <v>1958</v>
      </c>
      <c r="C28" s="1253" t="s">
        <v>1959</v>
      </c>
      <c r="D28" s="48">
        <f>ROUND($D$3*E28/$E$3,2)</f>
        <v>1131.77</v>
      </c>
      <c r="E28" s="56">
        <f>SUM(F28:G28)</f>
        <v>5690.2400000000007</v>
      </c>
      <c r="F28" s="64">
        <f>'数据-基础表'!BQ5+'数据-基础表'!BS5</f>
        <v>0</v>
      </c>
      <c r="G28" s="65">
        <f>'数据-基础表'!BR5+'数据-基础表'!BT5</f>
        <v>5690.2400000000007</v>
      </c>
      <c r="H28" s="1386"/>
      <c r="I28" s="1386"/>
      <c r="J28" s="1386"/>
      <c r="K28" s="1386"/>
      <c r="L28" s="1386"/>
      <c r="M28" s="1386"/>
      <c r="N28" s="1386"/>
      <c r="O28" s="1386"/>
      <c r="P28" s="1386"/>
    </row>
    <row r="29" spans="1:19">
      <c r="A29" s="2253"/>
      <c r="B29" s="50" t="s">
        <v>1958</v>
      </c>
      <c r="C29" s="2257"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1957</v>
      </c>
      <c r="D30" s="1387">
        <f>SUM(D28:D29)</f>
        <v>1131.77</v>
      </c>
      <c r="E30" s="1387">
        <f>SUM(E28:E29)</f>
        <v>5690.2400000000007</v>
      </c>
      <c r="F30" s="1387">
        <f>SUM(F28:F29)</f>
        <v>0</v>
      </c>
      <c r="G30" s="1389">
        <f>SUM(G28:G29)</f>
        <v>5690.2400000000007</v>
      </c>
      <c r="H30" s="1386"/>
      <c r="I30" s="1386"/>
      <c r="J30" s="1386"/>
      <c r="K30" s="1386"/>
      <c r="L30" s="1386"/>
      <c r="M30" s="1386"/>
      <c r="N30" s="1386"/>
      <c r="O30" s="1386"/>
      <c r="P30" s="1386"/>
    </row>
    <row r="31" spans="1:19" ht="15.75" thickBot="1">
      <c r="A31" s="2259"/>
      <c r="B31" s="2260"/>
      <c r="C31" s="1002" t="s">
        <v>1961</v>
      </c>
      <c r="D31" s="725">
        <f>D27+D30</f>
        <v>27500.000000000004</v>
      </c>
      <c r="E31" s="725">
        <f>E27+E30</f>
        <v>138263.03999999998</v>
      </c>
      <c r="F31" s="726">
        <f>F27+F30</f>
        <v>109309.91</v>
      </c>
      <c r="G31" s="727">
        <f>G27+G30</f>
        <v>28953.13</v>
      </c>
      <c r="H31" s="1386"/>
      <c r="I31" s="1386"/>
      <c r="J31" s="1386"/>
      <c r="K31" s="1386"/>
      <c r="L31" s="1386"/>
      <c r="M31" s="1386"/>
      <c r="N31" s="1386"/>
      <c r="O31" s="1386"/>
      <c r="P31" s="1386"/>
    </row>
    <row r="32" spans="1:19">
      <c r="A32" s="2224"/>
      <c r="B32" s="2224" t="s">
        <v>1962</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1964</v>
      </c>
      <c r="B2" s="1260">
        <f>项目基本情况!D3</f>
        <v>43363</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1971</v>
      </c>
      <c r="B5" s="2280" t="s">
        <v>1972</v>
      </c>
      <c r="C5" s="2281" t="s">
        <v>1973</v>
      </c>
      <c r="D5" s="2282" t="s">
        <v>1974</v>
      </c>
      <c r="E5" s="1262" t="s">
        <v>1975</v>
      </c>
      <c r="F5" s="2283" t="s">
        <v>1976</v>
      </c>
      <c r="G5" s="1262" t="s">
        <v>1977</v>
      </c>
      <c r="H5" s="1262" t="s">
        <v>1978</v>
      </c>
      <c r="I5" s="1262" t="s">
        <v>1979</v>
      </c>
      <c r="J5" s="2284" t="s">
        <v>1980</v>
      </c>
      <c r="K5" s="2285" t="s">
        <v>1981</v>
      </c>
      <c r="L5" s="2286" t="s">
        <v>1982</v>
      </c>
      <c r="M5" s="2287" t="s">
        <v>1983</v>
      </c>
      <c r="N5" s="2288" t="s">
        <v>3049</v>
      </c>
      <c r="O5" s="2286" t="s">
        <v>1984</v>
      </c>
      <c r="P5" s="2289" t="s">
        <v>1985</v>
      </c>
      <c r="Q5" s="69" t="s">
        <v>1986</v>
      </c>
      <c r="R5" s="2290" t="s">
        <v>1987</v>
      </c>
      <c r="S5" s="2291" t="s">
        <v>1988</v>
      </c>
      <c r="T5" s="2292" t="s">
        <v>1989</v>
      </c>
      <c r="U5" s="1261" t="s">
        <v>1990</v>
      </c>
      <c r="V5" s="1262" t="s">
        <v>1991</v>
      </c>
      <c r="W5" s="1262" t="s">
        <v>1992</v>
      </c>
      <c r="X5" s="71"/>
      <c r="Y5" s="70" t="s">
        <v>1993</v>
      </c>
      <c r="Z5" s="2293" t="s">
        <v>1990</v>
      </c>
      <c r="AA5" s="1262" t="s">
        <v>1991</v>
      </c>
      <c r="AB5" s="1262" t="s">
        <v>1992</v>
      </c>
      <c r="AC5" s="71"/>
      <c r="AD5" s="71" t="s">
        <v>1993</v>
      </c>
      <c r="AE5" s="1261" t="s">
        <v>1994</v>
      </c>
      <c r="AF5" s="1262" t="s">
        <v>1995</v>
      </c>
      <c r="AG5" s="70" t="s">
        <v>1996</v>
      </c>
      <c r="AH5" s="1261" t="s">
        <v>1997</v>
      </c>
      <c r="AI5" s="2293" t="s">
        <v>1998</v>
      </c>
      <c r="AJ5" s="2293" t="s">
        <v>1999</v>
      </c>
      <c r="AK5" s="1262" t="s">
        <v>2000</v>
      </c>
      <c r="AL5" s="1262" t="s">
        <v>2001</v>
      </c>
      <c r="AM5" s="70" t="s">
        <v>2002</v>
      </c>
      <c r="AN5" s="2294" t="s">
        <v>2003</v>
      </c>
      <c r="AO5" s="2065" t="s">
        <v>2004</v>
      </c>
      <c r="AP5" s="1243"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46.94</v>
      </c>
      <c r="G6" s="73">
        <f>IF(ISERROR(ROUND(POWER(1+H6,D6-F6)*(POWER(1+H6,F6)-1)/(POWER(1+H6,D6)-1),3)),0,ROUND(POWER(1+H6,D6-F6)*(POWER(1+H6,F6)-1)/(POWER(1+H6,D6)-1),3))</f>
        <v>0.99</v>
      </c>
      <c r="H6" s="2945">
        <v>6.5000000000000002E-2</v>
      </c>
      <c r="I6" s="2945">
        <v>7.0000000000000007E-2</v>
      </c>
      <c r="J6" s="74">
        <v>0.1</v>
      </c>
      <c r="K6" s="1245">
        <f>SUMIF('数据-汇总表'!C$19:C$33,A6,'数据-汇总表'!E$19:E$33)</f>
        <v>99371.71</v>
      </c>
      <c r="L6" s="798">
        <v>4000</v>
      </c>
      <c r="M6" s="75">
        <f t="shared" ref="M6:M14" si="0">ROUND(K6*L6/10000,0)</f>
        <v>39749</v>
      </c>
      <c r="N6" s="797">
        <f>ROUND(1-(1-0%)*(2018-2017)/60,2)</f>
        <v>0.98</v>
      </c>
      <c r="O6" s="75" t="str">
        <f>IF($N$5="成新度","——",ROUND(M6*N6,0))</f>
        <v>——</v>
      </c>
      <c r="P6" s="76" t="str">
        <f>IF($N$5="成新度","——",M6-O6)</f>
        <v>——</v>
      </c>
      <c r="Q6" s="799">
        <v>0.1</v>
      </c>
      <c r="R6" s="77">
        <f ca="1">SUMIF('数据-汇总表'!C$19:C$33,A6,'数据-汇总表'!R$19:R$27)</f>
        <v>20612.990000000002</v>
      </c>
      <c r="S6" s="54">
        <f>IF('数据-汇总表'!$I$17="按面积比例",SUMIF('数据-汇总表'!C$19:C$33,A6,'数据-汇总表'!K$19:K$33),SUMIF('数据-汇总表'!C$19:C$33,A6,'数据-汇总表'!N$19:N$33))</f>
        <v>4265.2</v>
      </c>
      <c r="T6" s="1437">
        <f>ROUND($L$14*S6/10000,0)</f>
        <v>1280</v>
      </c>
      <c r="U6" s="2950">
        <f>'比较法-办公'!C50</f>
        <v>6</v>
      </c>
      <c r="V6" s="2993">
        <v>3.5000000000000003E-2</v>
      </c>
      <c r="W6" s="79">
        <v>0.1</v>
      </c>
      <c r="X6" s="1255"/>
      <c r="Y6" s="80">
        <f>N6</f>
        <v>0.98</v>
      </c>
      <c r="Z6" s="81"/>
      <c r="AA6" s="74"/>
      <c r="AB6" s="74"/>
      <c r="AC6" s="1255"/>
      <c r="AD6" s="82"/>
      <c r="AE6" s="1256">
        <f ca="1">IF(AN6="",0,SUMIF(INDIRECT("'"&amp;AN6&amp;"'"&amp;"!E:E"),$AE$5,INDIRECT("'"&amp;AN6&amp;"'"&amp;"!F:F")))</f>
        <v>46.94</v>
      </c>
      <c r="AF6" s="1797"/>
      <c r="AG6" s="147">
        <f>IF(AF6="",0,AE6-AF6)</f>
        <v>0</v>
      </c>
      <c r="AH6" s="83"/>
      <c r="AI6" s="85">
        <v>365</v>
      </c>
      <c r="AJ6" s="86"/>
      <c r="AK6" s="87">
        <v>0.01</v>
      </c>
      <c r="AL6" s="88">
        <v>1.5E-3</v>
      </c>
      <c r="AM6" s="89">
        <v>0.01</v>
      </c>
      <c r="AN6" s="2299" t="s">
        <v>3060</v>
      </c>
      <c r="AO6" s="55">
        <f ca="1">SUMIF(INDIRECT("'"&amp;AN6&amp;"'"&amp;"!A:A"),"总价",INDIRECT("'"&amp;AN6&amp;"'"&amp;"!B:B"))</f>
        <v>346902</v>
      </c>
      <c r="AP6" s="2300">
        <f>IF(C6="住宅",K6*L6,0)</f>
        <v>0</v>
      </c>
      <c r="AQ6" s="55">
        <f>ROUND($L$14*$N$14*S6/10000,0)</f>
        <v>1254</v>
      </c>
      <c r="AR6" s="55">
        <f>ROUND($L$14*(1-$N$14)*S6/10000,0)</f>
        <v>26</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36.93</v>
      </c>
      <c r="G7" s="73">
        <f t="shared" ref="G7:G11" si="2">IF(ISERROR(ROUND(POWER(1+H7,D7-F7)*(POWER(1+H7,F7)-1)/(POWER(1+H7,D7)-1),3)),0,ROUND(POWER(1+H7,D7-F7)*(POWER(1+H7,F7)-1)/(POWER(1+H7,D7)-1),3))</f>
        <v>0.98099999999999998</v>
      </c>
      <c r="H7" s="2945">
        <v>6.5000000000000002E-2</v>
      </c>
      <c r="I7" s="2945">
        <v>7.0000000000000007E-2</v>
      </c>
      <c r="J7" s="74">
        <f>J6</f>
        <v>0.1</v>
      </c>
      <c r="K7" s="1245">
        <f>SUMIF('数据-汇总表'!C$19:C$33,A7,'数据-汇总表'!E$19:E$33)</f>
        <v>16121.09</v>
      </c>
      <c r="L7" s="798">
        <v>4000</v>
      </c>
      <c r="M7" s="75">
        <f t="shared" si="0"/>
        <v>6448</v>
      </c>
      <c r="N7" s="797">
        <f>N6</f>
        <v>0.98</v>
      </c>
      <c r="O7" s="75" t="str">
        <f t="shared" ref="O7:O14" si="3">IF($N$5="成新度","——",ROUND(M7*N7,0))</f>
        <v>——</v>
      </c>
      <c r="P7" s="76" t="str">
        <f t="shared" ref="P7:P14" si="4">IF($N$5="成新度","——",M7-O7)</f>
        <v>——</v>
      </c>
      <c r="Q7" s="799">
        <v>0.12</v>
      </c>
      <c r="R7" s="77">
        <f ca="1">SUMIF('数据-汇总表'!C$19:C$33,A7,'数据-汇总表'!R$19:R$27)</f>
        <v>3344.04</v>
      </c>
      <c r="S7" s="54">
        <f>IF('数据-汇总表'!$I$17="按面积比例",SUMIF('数据-汇总表'!C$19:C$33,A7,'数据-汇总表'!K$19:K$33),SUMIF('数据-汇总表'!C$19:C$33,A7,'数据-汇总表'!N$19:N$33))</f>
        <v>691.94</v>
      </c>
      <c r="T7" s="1437">
        <f t="shared" ref="T7:T13" si="5">ROUND($L$14*S7/10000,0)</f>
        <v>208</v>
      </c>
      <c r="U7" s="2950">
        <f>租金!I5</f>
        <v>6.2</v>
      </c>
      <c r="V7" s="2993">
        <v>3.5000000000000003E-2</v>
      </c>
      <c r="W7" s="79">
        <f>W6</f>
        <v>0.1</v>
      </c>
      <c r="X7" s="1255"/>
      <c r="Y7" s="80">
        <f>N7</f>
        <v>0.98</v>
      </c>
      <c r="Z7" s="81"/>
      <c r="AA7" s="74"/>
      <c r="AB7" s="74"/>
      <c r="AC7" s="1255"/>
      <c r="AD7" s="82"/>
      <c r="AE7" s="1256">
        <f t="shared" ref="AE7:AE13" ca="1" si="6">IF(AN7="",0,SUMIF(INDIRECT("'"&amp;AN7&amp;"'"&amp;"!E:E"),$AE$5,INDIRECT("'"&amp;AN7&amp;"'"&amp;"!F:F")))</f>
        <v>36.93</v>
      </c>
      <c r="AF7" s="1797"/>
      <c r="AG7" s="147">
        <f t="shared" ref="AG7:AG13" si="7">IF(AF7="",0,AE7-AF7)</f>
        <v>0</v>
      </c>
      <c r="AH7" s="83"/>
      <c r="AI7" s="85">
        <v>365</v>
      </c>
      <c r="AJ7" s="86"/>
      <c r="AK7" s="87">
        <f>AK6</f>
        <v>0.01</v>
      </c>
      <c r="AL7" s="88">
        <f>AL6</f>
        <v>1.5E-3</v>
      </c>
      <c r="AM7" s="89">
        <f>AM6</f>
        <v>0.01</v>
      </c>
      <c r="AN7" s="2299" t="s">
        <v>3062</v>
      </c>
      <c r="AO7" s="55">
        <f t="shared" ref="AO7:AO13" ca="1" si="8">SUMIF(INDIRECT("'"&amp;AN7&amp;"'"&amp;"!A:A"),"总价",INDIRECT("'"&amp;AN7&amp;"'"&amp;"!B:B"))</f>
        <v>52142</v>
      </c>
      <c r="AP7" s="2300">
        <f t="shared" ref="AP7:AP13" si="9">IF(C7="住宅",K7*L7,0)</f>
        <v>0</v>
      </c>
      <c r="AQ7" s="55">
        <f t="shared" ref="AQ7:AQ13" si="10">ROUND($L$14*$N$14*S7/10000,0)</f>
        <v>203</v>
      </c>
      <c r="AR7" s="55">
        <f t="shared" ref="AR7:AR13" si="11">ROUND($L$14*(1-$N$14)*S7/10000,0)</f>
        <v>4</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3056</v>
      </c>
      <c r="D8" s="1045">
        <f>SUMIF(项目基本情况!D$12:I$12,C8,项目基本情况!D$14:I$14)</f>
        <v>50</v>
      </c>
      <c r="E8" s="1042">
        <f>IF(B8="","",SUMIF(项目基本情况!D$12:I$12,C8,项目基本情况!D$13:I$13))</f>
        <v>60497</v>
      </c>
      <c r="F8" s="72">
        <f>SUMIF(项目基本情况!D$12:I$12,C8,项目基本情况!D$15:I$15)</f>
        <v>46.94</v>
      </c>
      <c r="G8" s="73">
        <f t="shared" si="2"/>
        <v>0.98899999999999999</v>
      </c>
      <c r="H8" s="2945">
        <v>0.06</v>
      </c>
      <c r="I8" s="2945">
        <v>7.0000000000000007E-2</v>
      </c>
      <c r="J8" s="74">
        <f>J6</f>
        <v>0.1</v>
      </c>
      <c r="K8" s="1245">
        <f>SUMIF('数据-汇总表'!C$19:C$33,A8,'数据-汇总表'!E$19:E$33)</f>
        <v>17080</v>
      </c>
      <c r="L8" s="798">
        <v>3000</v>
      </c>
      <c r="M8" s="75">
        <f>ROUND(K8*L8/10000,0)</f>
        <v>5124</v>
      </c>
      <c r="N8" s="797">
        <f>N6</f>
        <v>0.98</v>
      </c>
      <c r="O8" s="75" t="str">
        <f t="shared" si="3"/>
        <v>——</v>
      </c>
      <c r="P8" s="76" t="str">
        <f t="shared" si="4"/>
        <v>——</v>
      </c>
      <c r="Q8" s="799">
        <v>0.05</v>
      </c>
      <c r="R8" s="77">
        <f ca="1">SUMIF('数据-汇总表'!C$19:C$33,A8,'数据-汇总表'!R$19:R$27)</f>
        <v>3542.96</v>
      </c>
      <c r="S8" s="54">
        <f>IF('数据-汇总表'!$I$17="按面积比例",SUMIF('数据-汇总表'!C$19:C$33,A8,'数据-汇总表'!K$19:K$33),SUMIF('数据-汇总表'!C$19:C$33,A8,'数据-汇总表'!N$19:N$33))</f>
        <v>733.1</v>
      </c>
      <c r="T8" s="1437">
        <f t="shared" si="5"/>
        <v>220</v>
      </c>
      <c r="U8" s="2951">
        <v>800</v>
      </c>
      <c r="V8" s="2994">
        <v>0.02</v>
      </c>
      <c r="W8" s="800">
        <f>W6</f>
        <v>0.1</v>
      </c>
      <c r="X8" s="1255"/>
      <c r="Y8" s="80">
        <f>N8</f>
        <v>0.98</v>
      </c>
      <c r="Z8" s="81"/>
      <c r="AA8" s="74"/>
      <c r="AB8" s="74"/>
      <c r="AC8" s="1255"/>
      <c r="AD8" s="82"/>
      <c r="AE8" s="1256">
        <f t="shared" ca="1" si="6"/>
        <v>46.94</v>
      </c>
      <c r="AF8" s="1797"/>
      <c r="AG8" s="147">
        <f t="shared" si="7"/>
        <v>0</v>
      </c>
      <c r="AH8" s="2952">
        <v>488</v>
      </c>
      <c r="AI8" s="85">
        <v>12</v>
      </c>
      <c r="AJ8" s="86"/>
      <c r="AK8" s="801">
        <f>AK6</f>
        <v>0.01</v>
      </c>
      <c r="AL8" s="802">
        <f>AL6</f>
        <v>1.5E-3</v>
      </c>
      <c r="AM8" s="803">
        <f>AM6</f>
        <v>0.01</v>
      </c>
      <c r="AN8" s="2299" t="s">
        <v>3064</v>
      </c>
      <c r="AO8" s="55">
        <f t="shared" ca="1" si="8"/>
        <v>4694</v>
      </c>
      <c r="AP8" s="2300">
        <f t="shared" si="9"/>
        <v>0</v>
      </c>
      <c r="AQ8" s="55">
        <f t="shared" si="10"/>
        <v>216</v>
      </c>
      <c r="AR8" s="55">
        <f t="shared" si="11"/>
        <v>4</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2008</v>
      </c>
      <c r="B14" s="2297" t="s">
        <v>2009</v>
      </c>
      <c r="C14" s="2302" t="s">
        <v>2008</v>
      </c>
      <c r="D14" s="1045"/>
      <c r="E14" s="1042"/>
      <c r="F14" s="72"/>
      <c r="G14" s="73"/>
      <c r="H14" s="1244"/>
      <c r="I14" s="1244"/>
      <c r="J14" s="1244"/>
      <c r="K14" s="1245">
        <f>SUMIF('数据-汇总表'!C$19:C$33,A14,'数据-汇总表'!E$19:E$33)</f>
        <v>5690.2400000000007</v>
      </c>
      <c r="L14" s="91">
        <f>L8</f>
        <v>3000</v>
      </c>
      <c r="M14" s="75">
        <f t="shared" si="0"/>
        <v>1707</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2010</v>
      </c>
      <c r="B15" s="2297" t="s">
        <v>2009</v>
      </c>
      <c r="C15" s="2302"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2012</v>
      </c>
      <c r="B16" s="97"/>
      <c r="C16" s="1000"/>
      <c r="D16" s="2304"/>
      <c r="E16" s="97"/>
      <c r="F16" s="97"/>
      <c r="G16" s="98">
        <f>ROUND(SUMPRODUCT(G6:G13,K6:K13)/SUMPRODUCT((G6:G13&gt;0)*(K6:K13)),3)</f>
        <v>0.98899999999999999</v>
      </c>
      <c r="H16" s="99">
        <f>ROUND(SUMPRODUCT(H6:H13,K6:K13)/SUMPRODUCT((H6:H13&gt;0)*(K6:K13)),3)</f>
        <v>6.4000000000000001E-2</v>
      </c>
      <c r="I16" s="100"/>
      <c r="J16" s="100"/>
      <c r="K16" s="101">
        <f>SUM(K6:K15)</f>
        <v>138263.03999999998</v>
      </c>
      <c r="L16" s="102">
        <f>ROUND(M16*10000/SUM(K6:K14),0)</f>
        <v>3835</v>
      </c>
      <c r="M16" s="102">
        <f>SUM(M6:M14)</f>
        <v>53028</v>
      </c>
      <c r="N16" s="103">
        <f>ROUND(SUMPRODUCT(M6:M14,N6:N14)/M16,3)</f>
        <v>0.98</v>
      </c>
      <c r="O16" s="102">
        <f>SUM(O6:O14)</f>
        <v>0</v>
      </c>
      <c r="P16" s="102">
        <f>SUM(P6:P14)</f>
        <v>0</v>
      </c>
      <c r="Q16" s="104">
        <f>ROUND(SUMPRODUCT(Q6:Q13,K6:K13)/SUMPRODUCT((Q6:Q13&gt;0)*(K6:K13)),2)</f>
        <v>0.1</v>
      </c>
      <c r="R16" s="1249">
        <f ca="1">SUM(R6:R13)</f>
        <v>27499.99</v>
      </c>
      <c r="S16" s="105">
        <f>SUM(S6:S13)</f>
        <v>5690.24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2014</v>
      </c>
      <c r="B19" s="112">
        <v>0</v>
      </c>
      <c r="C19" s="2267" t="s">
        <v>2015</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2016</v>
      </c>
      <c r="B20" s="113">
        <v>2</v>
      </c>
      <c r="C20" s="2267" t="s">
        <v>2017</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2018</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2019</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2020</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2021</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2022</v>
      </c>
      <c r="B26" s="2310" t="s">
        <v>2023</v>
      </c>
      <c r="C26" s="2311" t="s">
        <v>2024</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2025</v>
      </c>
      <c r="B27" s="116"/>
      <c r="C27" s="1757" t="s">
        <v>2026</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2027</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2028</v>
      </c>
      <c r="B29" s="121">
        <f>ROUND(B28*K16/10000,0)</f>
        <v>2765</v>
      </c>
      <c r="C29" s="1757" t="s">
        <v>2029</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2030</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2031</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2032</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2033</v>
      </c>
      <c r="B33" s="722">
        <v>0.05</v>
      </c>
      <c r="C33" s="1756" t="s">
        <v>2034</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2035</v>
      </c>
      <c r="B34" s="122">
        <v>0</v>
      </c>
      <c r="C34" s="1756" t="s">
        <v>2036</v>
      </c>
      <c r="D34" s="2268" t="s">
        <v>2037</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2038</v>
      </c>
      <c r="B35" s="119">
        <v>200</v>
      </c>
      <c r="C35" s="1756" t="s">
        <v>2039</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2040</v>
      </c>
      <c r="B36" s="123">
        <v>1.4999999999999999E-2</v>
      </c>
      <c r="C36" s="1756" t="s">
        <v>2041</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2042</v>
      </c>
      <c r="B37" s="124">
        <v>0.01</v>
      </c>
      <c r="C37" s="1756" t="s">
        <v>2043</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2044</v>
      </c>
      <c r="B38" s="122">
        <v>0.01</v>
      </c>
      <c r="C38" s="1756" t="s">
        <v>2043</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2045</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2046</v>
      </c>
      <c r="B40" s="1294">
        <f ca="1">存贷款利率!G1</f>
        <v>4.7500000000000001E-2</v>
      </c>
      <c r="C40" s="1756" t="s">
        <v>2047</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f ca="1">结果表!D22</f>
        <v>0.29911229559763997</v>
      </c>
      <c r="AC40" s="1574"/>
      <c r="AD40" s="1574"/>
      <c r="AE40" s="1574"/>
      <c r="AF40" s="1574"/>
      <c r="AG40" s="1574"/>
      <c r="AH40" s="1574"/>
      <c r="AI40" s="1574"/>
      <c r="AJ40" s="1574"/>
      <c r="AK40" s="1574"/>
      <c r="AL40" s="1574"/>
      <c r="AM40" s="1574"/>
    </row>
    <row r="41" spans="1:67" ht="14.25">
      <c r="A41" s="2312" t="s">
        <v>2048</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2049</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2050</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2051</v>
      </c>
      <c r="B44" s="128">
        <v>7.0000000000000007E-2</v>
      </c>
      <c r="C44" s="1756" t="s">
        <v>2052</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2053</v>
      </c>
      <c r="B45" s="126">
        <v>0.03</v>
      </c>
      <c r="C45" s="1757" t="s">
        <v>2054</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2055</v>
      </c>
      <c r="B46" s="126">
        <v>0.02</v>
      </c>
      <c r="C46" s="1757" t="s">
        <v>2056</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2057</v>
      </c>
      <c r="B47" s="129">
        <v>0</v>
      </c>
      <c r="C47" s="1757" t="s">
        <v>2058</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2059</v>
      </c>
      <c r="B48" s="130">
        <v>0.03</v>
      </c>
      <c r="C48" s="1764" t="s">
        <v>2060</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2061</v>
      </c>
      <c r="B49" s="126">
        <v>5.0000000000000001E-4</v>
      </c>
      <c r="C49" s="1764" t="s">
        <v>2062</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2063</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2064</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2065</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2066</v>
      </c>
      <c r="B53" s="2326" t="s">
        <v>523</v>
      </c>
      <c r="C53" s="1421" t="s">
        <v>2067</v>
      </c>
      <c r="D53" s="2327" t="s">
        <v>2068</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2069</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2070</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2071</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2072</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2073</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2074</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2075</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2076</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2077</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2078</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20" t="s">
        <v>2079</v>
      </c>
      <c r="B1" s="3121"/>
      <c r="C1" s="3121"/>
      <c r="D1" s="3121"/>
      <c r="E1" s="3121"/>
      <c r="F1" s="3121"/>
      <c r="G1" s="312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6"/>
      <c r="G2" s="2355" t="s">
        <v>2081</v>
      </c>
      <c r="H2" s="2358"/>
      <c r="I2" s="2358"/>
      <c r="J2" s="2358"/>
      <c r="K2" s="2358"/>
      <c r="L2" s="2358"/>
      <c r="M2" s="2358"/>
      <c r="N2" s="2358"/>
      <c r="O2" s="2358"/>
      <c r="P2" s="2358"/>
      <c r="Q2" s="2358"/>
      <c r="R2" s="2358"/>
    </row>
    <row r="3" spans="1:29" ht="27">
      <c r="A3" s="412" t="s">
        <v>2082</v>
      </c>
      <c r="B3" s="1262" t="s">
        <v>2083</v>
      </c>
      <c r="C3" s="2360"/>
      <c r="D3" s="2361"/>
      <c r="E3" s="428" t="s">
        <v>2082</v>
      </c>
      <c r="F3" s="2362" t="s">
        <v>2084</v>
      </c>
      <c r="G3" s="2363"/>
      <c r="H3" s="2358"/>
      <c r="I3" s="2358"/>
      <c r="J3" s="2358"/>
      <c r="K3" s="2358"/>
      <c r="L3" s="2358"/>
      <c r="M3" s="2358"/>
      <c r="N3" s="2358"/>
      <c r="O3" s="2358"/>
      <c r="P3" s="2358"/>
      <c r="Q3" s="2358"/>
      <c r="R3" s="2358"/>
    </row>
    <row r="4" spans="1:29" ht="15">
      <c r="A4" s="428"/>
      <c r="B4" s="1788" t="s">
        <v>2085</v>
      </c>
      <c r="C4" s="2955" t="s">
        <v>3067</v>
      </c>
      <c r="D4" s="2361"/>
      <c r="E4" s="2364"/>
      <c r="F4" s="42" t="s">
        <v>2086</v>
      </c>
      <c r="G4" s="2365"/>
      <c r="H4" s="2358"/>
      <c r="I4" s="2358"/>
      <c r="J4" s="2358"/>
      <c r="K4" s="2358"/>
      <c r="L4" s="2358"/>
      <c r="M4" s="2358"/>
      <c r="N4" s="2358"/>
      <c r="O4" s="2358"/>
      <c r="P4" s="2358"/>
      <c r="Q4" s="2358"/>
      <c r="R4" s="2358"/>
    </row>
    <row r="5" spans="1:29" ht="15">
      <c r="A5" s="428"/>
      <c r="B5" s="1788" t="s">
        <v>2087</v>
      </c>
      <c r="C5" s="2953" t="s">
        <v>3067</v>
      </c>
      <c r="D5" s="2361"/>
      <c r="E5" s="2364"/>
      <c r="F5" s="1788" t="s">
        <v>2088</v>
      </c>
      <c r="G5" s="2365"/>
      <c r="H5" s="2358"/>
      <c r="I5" s="2358"/>
      <c r="J5" s="2358"/>
      <c r="K5" s="2358"/>
      <c r="L5" s="2358"/>
      <c r="M5" s="2358"/>
      <c r="N5" s="2358"/>
      <c r="O5" s="2358"/>
      <c r="P5" s="2358"/>
      <c r="Q5" s="2358"/>
      <c r="R5" s="2358"/>
    </row>
    <row r="6" spans="1:29" ht="15">
      <c r="A6" s="428"/>
      <c r="B6" s="1788" t="s">
        <v>2089</v>
      </c>
      <c r="C6" s="2954" t="s">
        <v>3069</v>
      </c>
      <c r="D6" s="2361"/>
      <c r="E6" s="2364"/>
      <c r="F6" s="1788" t="s">
        <v>2090</v>
      </c>
      <c r="G6" s="2365"/>
      <c r="H6" s="2358"/>
      <c r="I6" s="2358"/>
      <c r="J6" s="2358"/>
      <c r="K6" s="2358"/>
      <c r="L6" s="2358"/>
      <c r="M6" s="2358"/>
      <c r="N6" s="2358"/>
      <c r="O6" s="2358"/>
      <c r="P6" s="2358"/>
      <c r="Q6" s="2358"/>
      <c r="R6" s="2358"/>
    </row>
    <row r="7" spans="1:29" ht="15.75" thickBot="1">
      <c r="A7" s="428"/>
      <c r="B7" s="1788" t="s">
        <v>2088</v>
      </c>
      <c r="C7" s="2956" t="s">
        <v>3265</v>
      </c>
      <c r="D7" s="2366"/>
      <c r="E7" s="2367"/>
      <c r="F7" s="2368" t="s">
        <v>2091</v>
      </c>
      <c r="G7" s="2369"/>
      <c r="H7" s="2358"/>
      <c r="I7" s="2358"/>
      <c r="J7" s="2358"/>
      <c r="K7" s="2358"/>
      <c r="L7" s="2358"/>
      <c r="M7" s="2358"/>
      <c r="N7" s="2358"/>
      <c r="O7" s="2358"/>
      <c r="P7" s="2358"/>
      <c r="Q7" s="2358"/>
      <c r="R7" s="2358"/>
    </row>
    <row r="8" spans="1:29" ht="15">
      <c r="A8" s="428"/>
      <c r="B8" s="1788" t="s">
        <v>2090</v>
      </c>
      <c r="C8" s="2954" t="s">
        <v>3071</v>
      </c>
      <c r="D8" s="2366"/>
      <c r="E8" s="2366"/>
      <c r="F8" s="1127"/>
      <c r="G8" s="1127"/>
      <c r="H8" s="2358"/>
      <c r="I8" s="2358"/>
      <c r="J8" s="2358"/>
      <c r="K8" s="2358"/>
      <c r="L8" s="2358"/>
      <c r="M8" s="2358"/>
      <c r="N8" s="2358"/>
      <c r="O8" s="2358"/>
      <c r="P8" s="2358"/>
      <c r="Q8" s="2358"/>
      <c r="R8" s="2358"/>
    </row>
    <row r="9" spans="1:29" ht="15">
      <c r="A9" s="428"/>
      <c r="B9" s="1788" t="s">
        <v>2092</v>
      </c>
      <c r="C9" s="2955" t="s">
        <v>3069</v>
      </c>
      <c r="D9" s="2361"/>
      <c r="E9" s="2366"/>
      <c r="F9" s="1127"/>
      <c r="G9" s="1127"/>
      <c r="H9" s="2358"/>
      <c r="I9" s="2358"/>
      <c r="J9" s="2358"/>
      <c r="K9" s="2358"/>
      <c r="L9" s="2358"/>
      <c r="M9" s="2358"/>
      <c r="N9" s="2358"/>
      <c r="O9" s="2358"/>
      <c r="P9" s="2358"/>
      <c r="Q9" s="2358"/>
      <c r="R9" s="2358"/>
    </row>
    <row r="10" spans="1:29" s="117" customFormat="1" ht="15.75" thickBot="1">
      <c r="A10" s="2370"/>
      <c r="B10" s="2371" t="s">
        <v>2093</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2094</v>
      </c>
      <c r="B13" s="2377"/>
      <c r="C13" s="2377"/>
      <c r="D13" s="2384"/>
      <c r="E13" s="2377"/>
      <c r="F13" s="2377"/>
      <c r="G13" s="2377"/>
    </row>
    <row r="14" spans="1:29" ht="15.75" thickBot="1">
      <c r="A14" s="2388"/>
      <c r="B14" s="2389"/>
      <c r="C14" s="2390" t="s">
        <v>2095</v>
      </c>
      <c r="D14" s="2361"/>
      <c r="E14" s="2391"/>
      <c r="F14" s="2391"/>
      <c r="G14" s="2355" t="s">
        <v>2096</v>
      </c>
    </row>
    <row r="15" spans="1:29" ht="27">
      <c r="A15" s="68" t="s">
        <v>2097</v>
      </c>
      <c r="B15" s="1261" t="s">
        <v>2083</v>
      </c>
      <c r="C15" s="2392">
        <f>C3</f>
        <v>0</v>
      </c>
      <c r="D15" s="2361"/>
      <c r="E15" s="2393" t="s">
        <v>2098</v>
      </c>
      <c r="F15" s="1261" t="s">
        <v>2099</v>
      </c>
      <c r="G15" s="135">
        <f>G3</f>
        <v>0</v>
      </c>
    </row>
    <row r="16" spans="1:29" ht="15">
      <c r="A16" s="641"/>
      <c r="B16" s="2394" t="s">
        <v>2085</v>
      </c>
      <c r="C16" s="2395" t="str">
        <f>C4</f>
        <v>较好</v>
      </c>
      <c r="D16" s="2361"/>
      <c r="E16" s="2396"/>
      <c r="F16" s="2397" t="s">
        <v>2086</v>
      </c>
      <c r="G16" s="136">
        <f>G4</f>
        <v>0</v>
      </c>
    </row>
    <row r="17" spans="1:18" ht="15">
      <c r="A17" s="641"/>
      <c r="B17" s="2394" t="s">
        <v>2087</v>
      </c>
      <c r="C17" s="2395" t="str">
        <f>C5</f>
        <v>较好</v>
      </c>
      <c r="D17" s="2366"/>
      <c r="E17" s="2396"/>
      <c r="F17" s="2397" t="s">
        <v>2100</v>
      </c>
      <c r="G17" s="1562"/>
    </row>
    <row r="18" spans="1:18" ht="15">
      <c r="A18" s="641"/>
      <c r="B18" s="2397" t="s">
        <v>2089</v>
      </c>
      <c r="C18" s="136" t="str">
        <f>C6</f>
        <v>较好</v>
      </c>
      <c r="D18" s="2366"/>
      <c r="E18" s="2396"/>
      <c r="F18" s="2397" t="s">
        <v>2091</v>
      </c>
      <c r="G18" s="136">
        <f>G7</f>
        <v>0</v>
      </c>
    </row>
    <row r="19" spans="1:18" ht="15">
      <c r="A19" s="641"/>
      <c r="B19" s="2397" t="s">
        <v>2101</v>
      </c>
      <c r="C19" s="2957" t="s">
        <v>3072</v>
      </c>
      <c r="D19" s="2361"/>
      <c r="E19" s="2396"/>
      <c r="F19" s="1788" t="s">
        <v>2088</v>
      </c>
      <c r="G19" s="136">
        <f>G5</f>
        <v>0</v>
      </c>
    </row>
    <row r="20" spans="1:18" ht="15">
      <c r="A20" s="641"/>
      <c r="B20" s="2397" t="s">
        <v>2102</v>
      </c>
      <c r="C20" s="2395" t="str">
        <f>C9</f>
        <v>较好</v>
      </c>
      <c r="D20" s="2366"/>
      <c r="E20" s="2396"/>
      <c r="F20" s="1788" t="s">
        <v>2103</v>
      </c>
      <c r="G20" s="136">
        <f>G6</f>
        <v>0</v>
      </c>
    </row>
    <row r="21" spans="1:18" ht="15">
      <c r="A21" s="641"/>
      <c r="B21" s="1788" t="s">
        <v>2088</v>
      </c>
      <c r="C21" s="136" t="str">
        <f>C7</f>
        <v>一般</v>
      </c>
      <c r="D21" s="2361"/>
      <c r="E21" s="2396"/>
      <c r="F21" s="2397" t="s">
        <v>2104</v>
      </c>
      <c r="G21" s="2398"/>
    </row>
    <row r="22" spans="1:18" ht="13.5" customHeight="1">
      <c r="A22" s="641"/>
      <c r="B22" s="1788" t="s">
        <v>2090</v>
      </c>
      <c r="C22" s="136" t="str">
        <f>C8</f>
        <v>七通</v>
      </c>
      <c r="D22" s="2361"/>
      <c r="E22" s="2396"/>
      <c r="F22" s="2397" t="s">
        <v>2093</v>
      </c>
      <c r="G22" s="1562"/>
    </row>
    <row r="23" spans="1:18" s="2358" customFormat="1" ht="15.75" thickBot="1">
      <c r="A23" s="641"/>
      <c r="B23" s="2397" t="s">
        <v>2104</v>
      </c>
      <c r="C23" s="2398" t="s">
        <v>3073</v>
      </c>
      <c r="D23" s="2385"/>
      <c r="E23" s="2399"/>
      <c r="F23" s="2400" t="s">
        <v>2105</v>
      </c>
      <c r="G23" s="2401"/>
      <c r="H23" s="2385"/>
      <c r="I23" s="2386"/>
      <c r="J23" s="2385"/>
      <c r="K23" s="2385"/>
      <c r="L23" s="2386"/>
      <c r="M23" s="2385"/>
      <c r="N23" s="2385"/>
      <c r="O23" s="2386"/>
      <c r="P23" s="2385"/>
      <c r="Q23" s="2385"/>
      <c r="R23" s="2387"/>
    </row>
    <row r="24" spans="1:18" s="2358" customFormat="1" ht="15.75" thickBot="1">
      <c r="A24" s="2402"/>
      <c r="B24" s="2400" t="s">
        <v>2106</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138263.03999999998</v>
      </c>
      <c r="C1" s="1735"/>
      <c r="D1" s="1735"/>
      <c r="E1" s="1735"/>
      <c r="F1" s="1735"/>
      <c r="G1" s="1733"/>
    </row>
    <row r="2" spans="1:10" ht="16.5">
      <c r="A2" s="1736" t="s">
        <v>1353</v>
      </c>
      <c r="B2" s="1736">
        <f>SUM(C14:C23)</f>
        <v>27500</v>
      </c>
      <c r="C2" s="1735"/>
      <c r="D2" s="1735"/>
      <c r="E2" s="1735"/>
      <c r="F2" s="1735"/>
      <c r="G2" s="1733"/>
    </row>
    <row r="3" spans="1:10" ht="16.5">
      <c r="A3" s="1736" t="s">
        <v>1362</v>
      </c>
      <c r="B3" s="1737">
        <f>项目基本情况!D3</f>
        <v>43363</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452043</v>
      </c>
      <c r="C5" s="1736">
        <f ca="1">ROUND(B5*10000/$B$1,0)</f>
        <v>32694</v>
      </c>
      <c r="D5" s="1736">
        <f ca="1">ROUND(B5*10000/$B$2,0)</f>
        <v>164379</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425752</v>
      </c>
      <c r="C7" s="1736">
        <f ca="1">ROUND(B7*10000/$B$1,0)</f>
        <v>30793</v>
      </c>
      <c r="D7" s="1736">
        <f ca="1">ROUND(B7*10000/$B$2,0)</f>
        <v>154819</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138263.03999999998</v>
      </c>
      <c r="C14" s="1734">
        <f>结果表!C118</f>
        <v>27500</v>
      </c>
      <c r="D14" s="1734">
        <f ca="1">结果表!H118</f>
        <v>452043</v>
      </c>
      <c r="E14" s="1734">
        <f ca="1">ROUND(D14*10000/B14,0)</f>
        <v>32694</v>
      </c>
      <c r="F14" s="1734">
        <f ca="1">ROUND(D14*10000/C14,0)</f>
        <v>164379</v>
      </c>
      <c r="G14" s="1734" t="str">
        <f>结果表!D122</f>
        <v>——</v>
      </c>
      <c r="H14" s="1734">
        <f ca="1">结果表!D124</f>
        <v>425752</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J118" activeCellId="2" sqref="J127 J120 J118"/>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2107</v>
      </c>
      <c r="B1" s="2408"/>
      <c r="C1" s="2409"/>
      <c r="D1" s="2408"/>
      <c r="E1" s="2408"/>
      <c r="F1" s="2410" t="s">
        <v>2108</v>
      </c>
      <c r="G1" s="2061" t="s">
        <v>3042</v>
      </c>
      <c r="H1" s="2411" t="str">
        <f>IF(G1="现房","——","估价对象范围")</f>
        <v>——</v>
      </c>
      <c r="I1" s="2412"/>
    </row>
    <row r="2" spans="1:12" ht="21.75" customHeight="1" thickBot="1">
      <c r="A2" s="3155" t="str">
        <f>项目基本情况!S2</f>
        <v>北京市丰台区花乡四合庄（中关村科技园丰台园东区三期）1516-12-A地块房地产</v>
      </c>
      <c r="B2" s="3156"/>
      <c r="C2" s="3156"/>
      <c r="D2" s="3156"/>
      <c r="E2" s="3156"/>
      <c r="F2" s="3156"/>
      <c r="G2" s="3156"/>
      <c r="H2" s="3156"/>
      <c r="I2" s="3157"/>
    </row>
    <row r="3" spans="1:12" ht="12.75">
      <c r="A3" s="3159" t="s">
        <v>2109</v>
      </c>
      <c r="B3" s="3160"/>
      <c r="C3" s="3160"/>
      <c r="D3" s="3160"/>
      <c r="E3" s="3160"/>
      <c r="F3" s="3160"/>
      <c r="G3" s="3160"/>
      <c r="H3" s="3160"/>
      <c r="I3" s="3160"/>
    </row>
    <row r="4" spans="1:12" ht="14.25">
      <c r="A4" s="2415" t="s">
        <v>2110</v>
      </c>
      <c r="B4" s="2416" t="s">
        <v>2111</v>
      </c>
      <c r="C4" s="2417" t="s">
        <v>3206</v>
      </c>
      <c r="D4" s="2417" t="s">
        <v>3207</v>
      </c>
      <c r="E4" s="3152" t="s">
        <v>2112</v>
      </c>
      <c r="F4" s="3153"/>
      <c r="G4" s="3153"/>
      <c r="H4" s="3153"/>
      <c r="I4" s="3161"/>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35" t="s">
        <v>2113</v>
      </c>
      <c r="B5" s="3073">
        <v>25</v>
      </c>
      <c r="C5" s="3138"/>
      <c r="D5" s="3158"/>
      <c r="E5" s="140" t="s">
        <v>2114</v>
      </c>
      <c r="F5" s="2419"/>
      <c r="G5" s="2419"/>
      <c r="H5" s="2419"/>
      <c r="I5" s="1824"/>
    </row>
    <row r="6" spans="1:12" ht="12.75">
      <c r="A6" s="3135"/>
      <c r="B6" s="3073"/>
      <c r="C6" s="3139"/>
      <c r="D6" s="3158"/>
      <c r="E6" s="140" t="s">
        <v>2115</v>
      </c>
      <c r="F6" s="2419"/>
      <c r="G6" s="2419"/>
      <c r="H6" s="2419"/>
      <c r="I6" s="1824"/>
    </row>
    <row r="7" spans="1:12" ht="12.75">
      <c r="A7" s="3135"/>
      <c r="B7" s="3073"/>
      <c r="C7" s="3140"/>
      <c r="D7" s="3158"/>
      <c r="E7" s="140" t="s">
        <v>2116</v>
      </c>
      <c r="F7" s="2419"/>
      <c r="G7" s="2419"/>
      <c r="H7" s="2419"/>
      <c r="I7" s="1824"/>
    </row>
    <row r="8" spans="1:12" ht="12.75">
      <c r="A8" s="3135" t="s">
        <v>2117</v>
      </c>
      <c r="B8" s="3073">
        <v>15</v>
      </c>
      <c r="C8" s="3138"/>
      <c r="D8" s="3158"/>
      <c r="E8" s="140" t="s">
        <v>2118</v>
      </c>
      <c r="F8" s="2419"/>
      <c r="G8" s="2419"/>
      <c r="H8" s="2419"/>
      <c r="I8" s="1824"/>
    </row>
    <row r="9" spans="1:12" ht="12.75">
      <c r="A9" s="3135"/>
      <c r="B9" s="3073"/>
      <c r="C9" s="3140"/>
      <c r="D9" s="3158"/>
      <c r="E9" s="140" t="s">
        <v>2119</v>
      </c>
      <c r="F9" s="2419"/>
      <c r="G9" s="2419"/>
      <c r="H9" s="2419"/>
      <c r="I9" s="1824"/>
    </row>
    <row r="10" spans="1:12" ht="12.75">
      <c r="A10" s="3135" t="s">
        <v>2120</v>
      </c>
      <c r="B10" s="3073">
        <v>15</v>
      </c>
      <c r="C10" s="3138"/>
      <c r="D10" s="3158"/>
      <c r="E10" s="140" t="s">
        <v>2121</v>
      </c>
      <c r="F10" s="2419"/>
      <c r="G10" s="2419"/>
      <c r="H10" s="2419"/>
      <c r="I10" s="1824"/>
    </row>
    <row r="11" spans="1:12" ht="12.75">
      <c r="A11" s="3135"/>
      <c r="B11" s="3073"/>
      <c r="C11" s="3140"/>
      <c r="D11" s="3158"/>
      <c r="E11" s="140" t="s">
        <v>2122</v>
      </c>
      <c r="F11" s="2419"/>
      <c r="G11" s="2419"/>
      <c r="H11" s="2419"/>
      <c r="I11" s="1824"/>
    </row>
    <row r="12" spans="1:12" ht="12.75">
      <c r="A12" s="3135" t="s">
        <v>2123</v>
      </c>
      <c r="B12" s="3073">
        <v>15</v>
      </c>
      <c r="C12" s="3138"/>
      <c r="D12" s="3158"/>
      <c r="E12" s="140" t="s">
        <v>2124</v>
      </c>
      <c r="F12" s="2419"/>
      <c r="G12" s="2419"/>
      <c r="H12" s="2419"/>
      <c r="I12" s="1824"/>
    </row>
    <row r="13" spans="1:12" ht="12.75">
      <c r="A13" s="3135"/>
      <c r="B13" s="3073"/>
      <c r="C13" s="3140"/>
      <c r="D13" s="3158"/>
      <c r="E13" s="140" t="s">
        <v>2125</v>
      </c>
      <c r="F13" s="2419"/>
      <c r="G13" s="2419"/>
      <c r="H13" s="2419"/>
      <c r="I13" s="1824"/>
    </row>
    <row r="14" spans="1:12" ht="12.75">
      <c r="A14" s="3135" t="s">
        <v>2126</v>
      </c>
      <c r="B14" s="3073">
        <v>30</v>
      </c>
      <c r="C14" s="3138">
        <v>4</v>
      </c>
      <c r="D14" s="3158">
        <v>6</v>
      </c>
      <c r="E14" s="140" t="s">
        <v>2127</v>
      </c>
      <c r="F14" s="2419"/>
      <c r="G14" s="2419"/>
      <c r="H14" s="2419"/>
      <c r="I14" s="1824"/>
    </row>
    <row r="15" spans="1:12" ht="12.75">
      <c r="A15" s="3135"/>
      <c r="B15" s="3073"/>
      <c r="C15" s="3139"/>
      <c r="D15" s="3158"/>
      <c r="E15" s="140" t="s">
        <v>2128</v>
      </c>
      <c r="F15" s="2419"/>
      <c r="G15" s="2419"/>
      <c r="H15" s="2419"/>
      <c r="I15" s="1824"/>
    </row>
    <row r="16" spans="1:12" ht="12.75">
      <c r="A16" s="3135"/>
      <c r="B16" s="3073"/>
      <c r="C16" s="3140"/>
      <c r="D16" s="3158"/>
      <c r="E16" s="140" t="s">
        <v>2129</v>
      </c>
      <c r="F16" s="2419"/>
      <c r="G16" s="2419"/>
      <c r="H16" s="2419"/>
      <c r="I16" s="1824"/>
    </row>
    <row r="17" spans="1:35" ht="15">
      <c r="A17" s="2420" t="s">
        <v>2130</v>
      </c>
      <c r="B17" s="64"/>
      <c r="C17" s="141">
        <f>SUM(C5:C16)</f>
        <v>4</v>
      </c>
      <c r="D17" s="141">
        <f>SUM(D5:D16)</f>
        <v>6</v>
      </c>
      <c r="E17" s="138"/>
      <c r="F17" s="138"/>
      <c r="G17" s="138"/>
      <c r="H17" s="138"/>
      <c r="I17" s="138"/>
      <c r="K17" s="2418"/>
      <c r="L17" s="2421" t="s">
        <v>2131</v>
      </c>
      <c r="M17" s="2421" t="s">
        <v>2132</v>
      </c>
    </row>
    <row r="18" spans="1:35" ht="15.75" thickBot="1">
      <c r="A18" s="2422" t="s">
        <v>2133</v>
      </c>
      <c r="B18" s="2423"/>
      <c r="C18" s="142">
        <f>ROUND(C17/SUM(C17:D17),2)</f>
        <v>0.4</v>
      </c>
      <c r="D18" s="142">
        <f>1-C18</f>
        <v>0.6</v>
      </c>
      <c r="E18" s="138"/>
      <c r="F18" s="138"/>
      <c r="G18" s="138"/>
      <c r="H18" s="138"/>
      <c r="I18" s="138"/>
      <c r="K18" s="2418" t="s">
        <v>2134</v>
      </c>
      <c r="L18" s="2418">
        <f>IF(C1="",'数据-汇总表'!E3,SUMIF(项目类型,C1,'数据-汇总表'!E17:E26)+SUMIF(项目类型,C1,'数据-汇总表'!I17:I26))</f>
        <v>138263.03999999998</v>
      </c>
      <c r="M18" s="2418">
        <f>IF(C1="",'数据-汇总表'!E3,SUMIF(项目类型,C1,'数据-汇总表'!E17:E26))</f>
        <v>138263.03999999998</v>
      </c>
    </row>
    <row r="19" spans="1:35" ht="15.75" thickBot="1">
      <c r="A19" s="2424" t="s">
        <v>2135</v>
      </c>
      <c r="B19" s="2425" t="s">
        <v>2136</v>
      </c>
      <c r="C19" s="143">
        <f ca="1">SUMIF(INDIRECT("'"&amp;C4&amp;"'"&amp;"!A:A"),结果表!B19,INDIRECT("'"&amp;C4&amp;"'"&amp;"!B:B"))</f>
        <v>524501</v>
      </c>
      <c r="D19" s="144">
        <f ca="1">SUMIF(INDIRECT("'"&amp;D4&amp;"'"&amp;"!A:A"),结果表!B19,INDIRECT("'"&amp;D4&amp;"'"&amp;"!B:B"))</f>
        <v>403738</v>
      </c>
      <c r="E19" s="2424" t="s">
        <v>2137</v>
      </c>
      <c r="F19" s="2425" t="s">
        <v>2136</v>
      </c>
      <c r="G19" s="145">
        <f ca="1">ROUND(C19*$C$18+D19*$D$18,0)</f>
        <v>452043</v>
      </c>
      <c r="H19" s="2426" t="s">
        <v>2138</v>
      </c>
      <c r="I19" s="138"/>
      <c r="K19" s="2418" t="s">
        <v>2139</v>
      </c>
      <c r="L19" s="2418">
        <f>IF(C1="",'数据-汇总表'!D3,SUMIF(项目类型,C1,'数据-汇总表'!D17:D26)+SUMIF(项目类型,C1,'数据-汇总表'!H17:H27))</f>
        <v>27500</v>
      </c>
      <c r="M19" s="2418">
        <f>IF(C1="",'数据-汇总表'!D3,SUMIF(项目类型,C1,'数据-汇总表'!D17:D26))</f>
        <v>27500</v>
      </c>
    </row>
    <row r="20" spans="1:35" ht="15.75" thickBot="1">
      <c r="A20" s="2427"/>
      <c r="B20" s="1241" t="s">
        <v>2140</v>
      </c>
      <c r="C20" s="146">
        <f ca="1">SUMIF(INDIRECT("'"&amp;C4&amp;"'"&amp;"!A:A"),结果表!B20,INDIRECT("'"&amp;C4&amp;"'"&amp;"!B:B"))</f>
        <v>37935</v>
      </c>
      <c r="D20" s="147">
        <f ca="1">SUMIF(INDIRECT("'"&amp;D4&amp;"'"&amp;"!A:A"),结果表!B20,INDIRECT("'"&amp;D4&amp;"'"&amp;"!B:B"))</f>
        <v>29201</v>
      </c>
      <c r="E20" s="2427"/>
      <c r="F20" s="1241" t="s">
        <v>2140</v>
      </c>
      <c r="G20" s="148">
        <f ca="1">ROUND(C20*$C$18+D20*$D$18,0)</f>
        <v>32695</v>
      </c>
      <c r="H20" s="975" t="s">
        <v>2141</v>
      </c>
      <c r="I20" s="138"/>
      <c r="J20" s="2974">
        <v>42542</v>
      </c>
      <c r="K20" s="2976" t="s">
        <v>3250</v>
      </c>
    </row>
    <row r="21" spans="1:35" ht="15" customHeight="1" thickBot="1">
      <c r="A21" s="995"/>
      <c r="B21" s="2428" t="s">
        <v>2142</v>
      </c>
      <c r="C21" s="785">
        <f ca="1">ROUND(C19*10000/L19,0)</f>
        <v>190728</v>
      </c>
      <c r="D21" s="786">
        <f ca="1">ROUND(D19*10000/L19,0)</f>
        <v>146814</v>
      </c>
      <c r="E21" s="995"/>
      <c r="F21" s="2428" t="s">
        <v>2142</v>
      </c>
      <c r="G21" s="149">
        <f ca="1">ROUND(G19*10000/L19,0)</f>
        <v>164379</v>
      </c>
      <c r="H21" s="2429" t="s">
        <v>2141</v>
      </c>
      <c r="I21" s="138"/>
      <c r="J21" s="2973" t="s">
        <v>3242</v>
      </c>
      <c r="K21" s="2973">
        <v>256389</v>
      </c>
      <c r="L21" s="2973" t="s">
        <v>3243</v>
      </c>
    </row>
    <row r="22" spans="1:35" ht="15" thickBot="1">
      <c r="A22" s="2271" t="s">
        <v>2143</v>
      </c>
      <c r="B22" s="2430"/>
      <c r="C22" s="2431"/>
      <c r="D22" s="787">
        <f ca="1">IF(C19&lt;D19,D19/C19-1,C19/D19-1)</f>
        <v>0.29911229559763997</v>
      </c>
      <c r="E22" s="138"/>
      <c r="F22" s="138"/>
      <c r="G22" s="138"/>
      <c r="H22" s="138"/>
      <c r="I22" s="138"/>
      <c r="J22" s="2973" t="s">
        <v>3244</v>
      </c>
      <c r="K22" s="2973">
        <v>18461</v>
      </c>
      <c r="L22" s="2973" t="s">
        <v>3245</v>
      </c>
    </row>
    <row r="23" spans="1:35" ht="13.5" thickBot="1">
      <c r="A23" s="2408"/>
      <c r="B23" s="2408"/>
      <c r="C23" s="2408"/>
      <c r="D23" s="2408"/>
      <c r="E23" s="138"/>
      <c r="F23" s="138"/>
      <c r="G23" s="138"/>
      <c r="H23" s="138"/>
      <c r="I23" s="138"/>
      <c r="J23" s="2973" t="s">
        <v>3246</v>
      </c>
      <c r="K23" s="2973">
        <v>101365</v>
      </c>
      <c r="L23" s="2973" t="s">
        <v>3245</v>
      </c>
    </row>
    <row r="24" spans="1:35" ht="15" thickBot="1">
      <c r="A24" s="3129" t="s">
        <v>2144</v>
      </c>
      <c r="B24" s="2425" t="s">
        <v>2136</v>
      </c>
      <c r="C24" s="145">
        <f>IF(B30=0,0,D30)</f>
        <v>0</v>
      </c>
      <c r="D24" s="2432"/>
      <c r="E24" s="138"/>
      <c r="F24" s="138"/>
      <c r="G24" s="138"/>
      <c r="H24" s="138"/>
      <c r="I24" s="138"/>
      <c r="J24" s="2973"/>
      <c r="K24" s="2973">
        <v>6758</v>
      </c>
      <c r="L24" s="2973" t="s">
        <v>3247</v>
      </c>
    </row>
    <row r="25" spans="1:35" ht="14.25">
      <c r="A25" s="3130"/>
      <c r="B25" s="1241" t="s">
        <v>2140</v>
      </c>
      <c r="C25" s="150">
        <f>IF(B30=0,0,C30)</f>
        <v>0</v>
      </c>
      <c r="D25" s="2433"/>
      <c r="E25" s="138"/>
      <c r="F25" s="138"/>
      <c r="G25" s="138"/>
      <c r="H25" s="138"/>
      <c r="I25" s="138"/>
      <c r="J25" s="3008">
        <v>43201</v>
      </c>
      <c r="K25" s="3009" t="s">
        <v>3332</v>
      </c>
    </row>
    <row r="26" spans="1:35" ht="13.5" customHeight="1">
      <c r="A26" s="2434"/>
      <c r="B26" s="151"/>
      <c r="C26" s="151"/>
      <c r="D26" s="152"/>
      <c r="E26" s="138"/>
      <c r="F26" s="138"/>
      <c r="G26" s="138"/>
      <c r="H26" s="138"/>
      <c r="I26" s="138"/>
      <c r="J26" s="3010">
        <v>515459</v>
      </c>
      <c r="K26" s="3024">
        <v>1.9750000000000001</v>
      </c>
    </row>
    <row r="27" spans="1:35" ht="14.25">
      <c r="A27" s="2995"/>
      <c r="B27" s="151"/>
      <c r="C27" s="151"/>
      <c r="D27" s="152"/>
      <c r="E27" s="138"/>
      <c r="F27" s="138"/>
      <c r="G27" s="138"/>
      <c r="H27" s="138"/>
      <c r="I27" s="138"/>
      <c r="J27" s="3010">
        <v>0.7</v>
      </c>
      <c r="K27" s="3011">
        <v>0.30000000000000004</v>
      </c>
    </row>
    <row r="28" spans="1:35" ht="15" thickBot="1">
      <c r="A28" s="2995"/>
      <c r="B28" s="151"/>
      <c r="C28" s="151"/>
      <c r="D28" s="152"/>
      <c r="E28" s="138"/>
      <c r="F28" s="138"/>
      <c r="G28" s="138"/>
      <c r="H28" s="138"/>
      <c r="I28" s="138"/>
      <c r="J28" s="3012">
        <v>643658</v>
      </c>
      <c r="K28" s="3013">
        <v>216329</v>
      </c>
    </row>
    <row r="29" spans="1:35" ht="14.25">
      <c r="A29" s="2996"/>
      <c r="B29" s="151"/>
      <c r="C29" s="151"/>
      <c r="D29" s="152"/>
      <c r="E29" s="138"/>
      <c r="F29" s="138"/>
      <c r="G29" s="138"/>
      <c r="H29" s="138"/>
      <c r="I29" s="138"/>
      <c r="J29" s="3015">
        <v>43363</v>
      </c>
      <c r="K29" s="3009" t="s">
        <v>3333</v>
      </c>
    </row>
    <row r="30" spans="1:35" ht="14.25">
      <c r="A30" s="2996"/>
      <c r="B30" s="151"/>
      <c r="C30" s="151"/>
      <c r="D30" s="151"/>
      <c r="E30" s="2917" t="s">
        <v>3016</v>
      </c>
      <c r="F30" s="138"/>
      <c r="G30" s="138"/>
      <c r="H30" s="138"/>
      <c r="I30" s="138"/>
      <c r="J30" s="3016">
        <v>410952</v>
      </c>
      <c r="K30" s="3023">
        <v>1.853</v>
      </c>
    </row>
    <row r="31" spans="1:35" s="2436" customFormat="1" ht="15" thickBot="1">
      <c r="A31" s="2435"/>
      <c r="B31" s="2435"/>
      <c r="C31" s="2435"/>
      <c r="D31" s="2435"/>
      <c r="E31" s="138"/>
      <c r="F31" s="138"/>
      <c r="G31" s="138"/>
      <c r="H31" s="138"/>
      <c r="I31" s="138"/>
      <c r="J31" s="3016">
        <v>0.45</v>
      </c>
      <c r="K31" s="3017">
        <v>0.55000000000000004</v>
      </c>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2145</v>
      </c>
      <c r="B32" s="2438"/>
      <c r="C32" s="153">
        <f ca="1">IF(D32="总价",G19-C24,G20-C25)</f>
        <v>452043</v>
      </c>
      <c r="D32" s="2439" t="s">
        <v>2146</v>
      </c>
      <c r="E32" s="138"/>
      <c r="F32" s="138"/>
      <c r="G32" s="138"/>
      <c r="H32" s="138"/>
      <c r="I32" s="138"/>
      <c r="J32" s="3018">
        <v>639346</v>
      </c>
      <c r="K32" s="3019">
        <v>224084</v>
      </c>
    </row>
    <row r="33" spans="1:17" ht="15">
      <c r="A33" s="952" t="s">
        <v>2147</v>
      </c>
      <c r="B33" s="2440"/>
      <c r="C33" s="2441" t="s">
        <v>3316</v>
      </c>
      <c r="D33" s="2442" t="s">
        <v>3206</v>
      </c>
      <c r="E33" s="2443" t="s">
        <v>2148</v>
      </c>
      <c r="F33" s="2444" t="str">
        <f>IF(D32="楼面单价","取值（单价）","取值（总价）")</f>
        <v>取值（总价）</v>
      </c>
      <c r="G33" s="138"/>
      <c r="H33" s="138"/>
      <c r="I33" s="138"/>
      <c r="J33" s="3007" t="s">
        <v>3334</v>
      </c>
      <c r="K33" s="3014"/>
      <c r="L33" s="3027" t="s">
        <v>3336</v>
      </c>
      <c r="N33" s="3027" t="s">
        <v>3337</v>
      </c>
      <c r="P33" s="3027" t="s">
        <v>3337</v>
      </c>
    </row>
    <row r="34" spans="1:17" ht="15">
      <c r="A34" s="2445"/>
      <c r="B34" s="2446" t="s">
        <v>2149</v>
      </c>
      <c r="C34" s="157">
        <f ca="1">IF(C33="自定义",F34,C32-C35)</f>
        <v>390113</v>
      </c>
      <c r="D34" s="1049">
        <f ca="1">IF(C33="自定义",ROUND(C34/C32,3),IF(C33="收益比率",SUMIF(INDIRECT("'"&amp;D33&amp;"'"&amp;"!b:b"),"土地收益比率",INDIRECT("'"&amp;D33&amp;"'"&amp;"!c:c")),SUMIF(INDIRECT("'"&amp;D33&amp;"'"&amp;"!b:b"),"土地成本比率",INDIRECT("'"&amp;D33&amp;"'"&amp;"!c:c"))))</f>
        <v>0.86299999999999999</v>
      </c>
      <c r="E34" s="2447" t="s">
        <v>2150</v>
      </c>
      <c r="F34" s="1729"/>
      <c r="G34" s="138"/>
      <c r="H34" s="138"/>
      <c r="I34" s="138"/>
      <c r="J34" s="3014">
        <v>437890</v>
      </c>
      <c r="K34" s="3021">
        <v>1.341</v>
      </c>
      <c r="L34" s="3025">
        <v>448572</v>
      </c>
      <c r="M34" s="3026">
        <v>0.754079095127139</v>
      </c>
      <c r="N34" s="3025">
        <v>438200</v>
      </c>
      <c r="O34" s="3026">
        <v>0.67510462918951508</v>
      </c>
      <c r="P34" s="3025">
        <v>454658</v>
      </c>
      <c r="Q34" s="3026">
        <v>0.55174006196671832</v>
      </c>
    </row>
    <row r="35" spans="1:17" ht="15.75" thickBot="1">
      <c r="A35" s="2448"/>
      <c r="B35" s="2449" t="s">
        <v>2151</v>
      </c>
      <c r="C35" s="1435">
        <f ca="1">IF(C33="自定义",F35,ROUND(C32*D35,0))</f>
        <v>61930</v>
      </c>
      <c r="D35" s="1436">
        <f ca="1">IF(C33="自定义",ROUND(C35/C32,3),IF(C33="收益比率",SUMIF(INDIRECT("'"&amp;D33&amp;"'"&amp;"!b:b"),"建筑物收益比率",INDIRECT("'"&amp;D33&amp;"'"&amp;"!c:c")),SUMIF(INDIRECT("'"&amp;D33&amp;"'"&amp;"!b:b"),"建筑物成本比率",INDIRECT("'"&amp;D33&amp;"'"&amp;"!c:c"))))</f>
        <v>0.13700000000000001</v>
      </c>
      <c r="E35" s="2450" t="s">
        <v>2152</v>
      </c>
      <c r="F35" s="160"/>
      <c r="G35" s="138"/>
      <c r="H35" s="138"/>
      <c r="I35" s="138"/>
      <c r="J35" s="3014">
        <v>0.45</v>
      </c>
      <c r="K35" s="3014">
        <v>0.55000000000000004</v>
      </c>
      <c r="L35" s="3025">
        <v>0.4</v>
      </c>
      <c r="M35" s="3025">
        <v>0.6</v>
      </c>
      <c r="N35" s="3025">
        <v>0.4</v>
      </c>
      <c r="O35" s="3025">
        <v>0.6</v>
      </c>
      <c r="P35" s="3025">
        <v>0.4</v>
      </c>
      <c r="Q35" s="3025">
        <v>0.6</v>
      </c>
    </row>
    <row r="36" spans="1:17" ht="15.75" thickBot="1">
      <c r="A36" s="3147" t="s">
        <v>2153</v>
      </c>
      <c r="B36" s="2451" t="s">
        <v>2154</v>
      </c>
      <c r="C36" s="154"/>
      <c r="D36" s="2452"/>
      <c r="E36" s="2453"/>
      <c r="F36" s="2454"/>
      <c r="G36" s="138"/>
      <c r="H36" s="138"/>
      <c r="I36" s="138"/>
      <c r="J36" s="3014">
        <v>639346</v>
      </c>
      <c r="K36" s="3014">
        <v>273062</v>
      </c>
      <c r="L36" s="3025">
        <v>604496</v>
      </c>
      <c r="M36" s="3025">
        <v>344623</v>
      </c>
      <c r="N36" s="3025">
        <v>577958</v>
      </c>
      <c r="O36" s="3025">
        <v>345028</v>
      </c>
      <c r="P36" s="3025">
        <v>577958</v>
      </c>
      <c r="Q36" s="3025">
        <v>372458</v>
      </c>
    </row>
    <row r="37" spans="1:17" ht="15.75" thickBot="1">
      <c r="A37" s="3148"/>
      <c r="B37" s="2257" t="s">
        <v>2155</v>
      </c>
      <c r="C37" s="156">
        <f>ROUND(262910121.94/10000,0)</f>
        <v>26291</v>
      </c>
      <c r="D37" s="1386"/>
      <c r="E37" s="1386"/>
      <c r="F37" s="2454"/>
      <c r="G37" s="138"/>
      <c r="H37" s="138"/>
      <c r="I37" s="138"/>
      <c r="J37" s="3007" t="s">
        <v>3335</v>
      </c>
      <c r="K37" s="3020"/>
    </row>
    <row r="38" spans="1:17" ht="15.75" thickBot="1">
      <c r="A38" s="3149"/>
      <c r="B38" s="2455" t="s">
        <v>2156</v>
      </c>
      <c r="C38" s="723">
        <f>E40+E41+E42</f>
        <v>0</v>
      </c>
      <c r="D38" s="2456" t="s">
        <v>2157</v>
      </c>
      <c r="E38" s="1386"/>
      <c r="F38" s="2454"/>
      <c r="G38" s="138"/>
      <c r="H38" s="138"/>
      <c r="I38" s="138"/>
      <c r="J38" s="3020">
        <v>460320</v>
      </c>
      <c r="K38" s="3022">
        <v>1.0369999999999999</v>
      </c>
    </row>
    <row r="39" spans="1:17" ht="15">
      <c r="A39" s="2427" t="s">
        <v>2158</v>
      </c>
      <c r="B39" s="2457"/>
      <c r="C39" s="2458"/>
      <c r="D39" s="2458"/>
      <c r="E39" s="2459"/>
      <c r="F39" s="2454"/>
      <c r="G39" s="138"/>
      <c r="H39" s="138"/>
      <c r="I39" s="138"/>
      <c r="J39" s="3020">
        <v>0.45</v>
      </c>
      <c r="K39" s="3020">
        <v>0.55000000000000004</v>
      </c>
    </row>
    <row r="40" spans="1:17" ht="14.25">
      <c r="A40" s="2460" t="s">
        <v>2159</v>
      </c>
      <c r="B40" s="151"/>
      <c r="C40" s="151"/>
      <c r="D40" s="3006"/>
      <c r="E40" s="159"/>
      <c r="F40" s="2454"/>
      <c r="G40" s="138"/>
      <c r="H40" s="138"/>
      <c r="I40" s="138"/>
      <c r="J40" s="3020">
        <v>639346</v>
      </c>
      <c r="K40" s="3020">
        <v>313845</v>
      </c>
    </row>
    <row r="41" spans="1:17" ht="14.25">
      <c r="A41" s="2460" t="s">
        <v>2160</v>
      </c>
      <c r="B41" s="151"/>
      <c r="C41" s="151"/>
      <c r="D41" s="3006"/>
      <c r="E41" s="159"/>
      <c r="F41" s="2454"/>
      <c r="G41" s="138"/>
      <c r="H41" s="138"/>
      <c r="I41" s="138"/>
    </row>
    <row r="42" spans="1:17" ht="15" thickBot="1">
      <c r="A42" s="2461"/>
      <c r="B42" s="151"/>
      <c r="C42" s="151"/>
      <c r="D42" s="3006"/>
      <c r="E42" s="159"/>
      <c r="F42" s="2454"/>
      <c r="G42" s="138"/>
      <c r="H42" s="138"/>
      <c r="I42" s="138"/>
    </row>
    <row r="43" spans="1:17" ht="12.75">
      <c r="A43" s="2156"/>
      <c r="B43" s="2156"/>
      <c r="C43" s="2156"/>
      <c r="D43" s="2156"/>
      <c r="E43" s="2156"/>
      <c r="F43" s="2462"/>
      <c r="G43" s="2462"/>
      <c r="H43" s="2462"/>
      <c r="I43" s="2463"/>
    </row>
    <row r="44" spans="1:17" ht="18.75" hidden="1">
      <c r="A44" s="2464" t="s">
        <v>2161</v>
      </c>
      <c r="B44" s="2465"/>
      <c r="C44" s="2465"/>
      <c r="D44" s="2466"/>
      <c r="E44" s="2466"/>
      <c r="F44" s="2467"/>
      <c r="G44" s="2467"/>
      <c r="H44" s="2467"/>
      <c r="I44" s="2467"/>
      <c r="J44" s="2468" t="s">
        <v>2162</v>
      </c>
      <c r="K44" s="2469"/>
      <c r="L44" s="2469"/>
      <c r="M44" s="2469"/>
      <c r="N44" s="2469"/>
      <c r="O44" s="2469"/>
    </row>
    <row r="45" spans="1:17" ht="14.25" hidden="1" customHeight="1" thickBot="1">
      <c r="A45" s="3126" t="s">
        <v>2163</v>
      </c>
      <c r="B45" s="3127"/>
      <c r="C45" s="3128"/>
      <c r="D45" s="161">
        <f ca="1">ROUND(H101*F45,0)</f>
        <v>452043</v>
      </c>
      <c r="E45" s="162" t="s">
        <v>2164</v>
      </c>
      <c r="F45" s="163">
        <v>1</v>
      </c>
      <c r="G45" s="164" t="s">
        <v>2165</v>
      </c>
      <c r="H45" s="138"/>
      <c r="I45" s="138"/>
      <c r="J45" s="3186" t="s">
        <v>2166</v>
      </c>
      <c r="K45" s="3186"/>
      <c r="L45" s="3186"/>
      <c r="M45" s="3186"/>
      <c r="N45" s="3186"/>
      <c r="O45" s="3186"/>
    </row>
    <row r="46" spans="1:17" ht="14.25" hidden="1" customHeight="1">
      <c r="A46" s="3123" t="s">
        <v>2167</v>
      </c>
      <c r="B46" s="3124"/>
      <c r="C46" s="3124"/>
      <c r="D46" s="3124"/>
      <c r="E46" s="3124"/>
      <c r="F46" s="3124"/>
      <c r="G46" s="3125"/>
      <c r="H46" s="2470"/>
      <c r="I46" s="165"/>
      <c r="J46" s="1802">
        <v>1</v>
      </c>
      <c r="K46" s="3186" t="s">
        <v>2168</v>
      </c>
      <c r="L46" s="3186"/>
      <c r="M46" s="3206"/>
      <c r="N46" s="3206"/>
      <c r="O46" s="3206"/>
    </row>
    <row r="47" spans="1:17" ht="12" hidden="1" customHeight="1">
      <c r="A47" s="166" t="s">
        <v>2169</v>
      </c>
      <c r="B47" s="167"/>
      <c r="C47" s="168"/>
      <c r="D47" s="169" t="s">
        <v>2170</v>
      </c>
      <c r="E47" s="24" t="s">
        <v>2171</v>
      </c>
      <c r="F47" s="170" t="s">
        <v>2172</v>
      </c>
      <c r="G47" s="171" t="s">
        <v>2173</v>
      </c>
      <c r="H47" s="2470"/>
      <c r="I47" s="165"/>
      <c r="J47" s="1802">
        <v>2</v>
      </c>
      <c r="K47" s="3186" t="s">
        <v>2174</v>
      </c>
      <c r="L47" s="3186"/>
      <c r="M47" s="3207">
        <f>'数据-取费表'!B2</f>
        <v>43363</v>
      </c>
      <c r="N47" s="3207"/>
      <c r="O47" s="3207"/>
    </row>
    <row r="48" spans="1:17" ht="25.5" hidden="1">
      <c r="A48" s="3154" t="s">
        <v>2175</v>
      </c>
      <c r="B48" s="3137"/>
      <c r="C48" s="3137"/>
      <c r="D48" s="140">
        <f>IF(H48="情况1",0,IF(H48="情况2",D52,IF(H48="情况3",D53,IF(H48="情况4",D54))))</f>
        <v>0</v>
      </c>
      <c r="E48" s="1791" t="str">
        <f>IF(H48="情况4","(销售额-原购置价)×税（费）率","销售额×税（费）率")</f>
        <v>销售额×税（费）率</v>
      </c>
      <c r="F48" s="172" t="str">
        <f>IF(H48="情况1","免征",'数据-取费表'!B41)</f>
        <v>免征</v>
      </c>
      <c r="G48" s="2471" t="s">
        <v>2176</v>
      </c>
      <c r="H48" s="2472" t="s">
        <v>2177</v>
      </c>
      <c r="I48" s="2470"/>
      <c r="J48" s="1802">
        <v>3</v>
      </c>
      <c r="K48" s="3186" t="s">
        <v>2178</v>
      </c>
      <c r="L48" s="3186"/>
      <c r="M48" s="3208">
        <f ca="1">H101</f>
        <v>452043</v>
      </c>
      <c r="N48" s="3208"/>
      <c r="O48" s="3208"/>
    </row>
    <row r="49" spans="1:35" ht="25.5" hidden="1" customHeight="1">
      <c r="A49" s="173" t="s">
        <v>2179</v>
      </c>
      <c r="B49" s="3122" t="s">
        <v>2180</v>
      </c>
      <c r="C49" s="3122"/>
      <c r="D49" s="174">
        <v>0</v>
      </c>
      <c r="E49" s="23" t="s">
        <v>2181</v>
      </c>
      <c r="F49" s="28" t="s">
        <v>34</v>
      </c>
      <c r="G49" s="3192"/>
      <c r="H49" s="138"/>
      <c r="I49" s="2473"/>
      <c r="J49" s="1802">
        <v>4</v>
      </c>
      <c r="K49" s="3186" t="str">
        <f>IF(项目基本情况!E8="房地产抵押价值","房地产抵押价值","抵押担保权已注销时的房地产抵押价值")</f>
        <v>抵押担保权已注销时的房地产抵押价值</v>
      </c>
      <c r="L49" s="3186"/>
      <c r="M49" s="3208">
        <f ca="1">IF(项目基本情况!E8="房地产抵押价值",H107,H109)</f>
        <v>425752</v>
      </c>
      <c r="N49" s="3208"/>
      <c r="O49" s="3208"/>
    </row>
    <row r="50" spans="1:35" ht="25.5" hidden="1" customHeight="1">
      <c r="A50" s="175"/>
      <c r="B50" s="3122" t="s">
        <v>2182</v>
      </c>
      <c r="C50" s="3122"/>
      <c r="D50" s="176"/>
      <c r="E50" s="31"/>
      <c r="F50" s="177"/>
      <c r="G50" s="3193"/>
      <c r="H50" s="138"/>
      <c r="I50" s="2473"/>
      <c r="J50" s="3186" t="s">
        <v>2183</v>
      </c>
      <c r="K50" s="3186"/>
      <c r="L50" s="3186"/>
      <c r="M50" s="3186"/>
      <c r="N50" s="3186"/>
      <c r="O50" s="3186"/>
    </row>
    <row r="51" spans="1:35" ht="12" hidden="1" customHeight="1">
      <c r="A51" s="178"/>
      <c r="B51" s="3122" t="s">
        <v>2184</v>
      </c>
      <c r="C51" s="3122"/>
      <c r="D51" s="179"/>
      <c r="E51" s="30"/>
      <c r="F51" s="177"/>
      <c r="G51" s="3194"/>
      <c r="H51" s="138"/>
      <c r="I51" s="2473"/>
      <c r="J51" s="2474" t="s">
        <v>2185</v>
      </c>
      <c r="K51" s="3186" t="s">
        <v>2186</v>
      </c>
      <c r="L51" s="3186"/>
      <c r="M51" s="2474" t="s">
        <v>2187</v>
      </c>
      <c r="N51" s="2474" t="s">
        <v>2188</v>
      </c>
      <c r="O51" s="2474" t="s">
        <v>2189</v>
      </c>
    </row>
    <row r="52" spans="1:35" ht="24" hidden="1" customHeight="1">
      <c r="A52" s="180" t="s">
        <v>2190</v>
      </c>
      <c r="B52" s="3122" t="s">
        <v>2191</v>
      </c>
      <c r="C52" s="3122"/>
      <c r="D52" s="179">
        <f ca="1">ROUND(D45*'数据-取费表'!B41/(1+'数据-取费表'!C42),0)</f>
        <v>24109</v>
      </c>
      <c r="E52" s="11" t="s">
        <v>2192</v>
      </c>
      <c r="F52" s="181">
        <f>'数据-取费表'!B41</f>
        <v>5.6000000000000001E-2</v>
      </c>
      <c r="G52" s="2475"/>
      <c r="H52" s="138"/>
      <c r="I52" s="2473"/>
      <c r="J52" s="1802">
        <v>1</v>
      </c>
      <c r="K52" s="3187" t="s">
        <v>2193</v>
      </c>
      <c r="L52" s="3187"/>
      <c r="M52" s="1744">
        <f>D48</f>
        <v>0</v>
      </c>
      <c r="N52" s="1802" t="str">
        <f>E48</f>
        <v>销售额×税（费）率</v>
      </c>
      <c r="O52" s="1745" t="str">
        <f>F48</f>
        <v>免征</v>
      </c>
    </row>
    <row r="53" spans="1:35" ht="12" hidden="1" customHeight="1">
      <c r="A53" s="180" t="s">
        <v>2194</v>
      </c>
      <c r="B53" s="3145" t="s">
        <v>2195</v>
      </c>
      <c r="C53" s="3146"/>
      <c r="D53" s="179">
        <f ca="1">ROUND(D45*'数据-取费表'!B41/(1+'数据-取费表'!C42),0)</f>
        <v>24109</v>
      </c>
      <c r="E53" s="11" t="s">
        <v>2192</v>
      </c>
      <c r="F53" s="181">
        <f>'数据-取费表'!B41</f>
        <v>5.6000000000000001E-2</v>
      </c>
      <c r="G53" s="2475"/>
      <c r="H53" s="138"/>
      <c r="I53" s="2473"/>
      <c r="J53" s="1802">
        <v>2</v>
      </c>
      <c r="K53" s="3187" t="s">
        <v>2196</v>
      </c>
      <c r="L53" s="3187"/>
      <c r="M53" s="1744">
        <f t="shared" ref="M53:O54" ca="1" si="0">D55</f>
        <v>226</v>
      </c>
      <c r="N53" s="1802" t="str">
        <f t="shared" si="0"/>
        <v>销售额×税（费）率</v>
      </c>
      <c r="O53" s="1745">
        <f t="shared" si="0"/>
        <v>5.0000000000000001E-4</v>
      </c>
    </row>
    <row r="54" spans="1:35" ht="12" hidden="1" customHeight="1">
      <c r="A54" s="180" t="s">
        <v>2197</v>
      </c>
      <c r="B54" s="3145" t="s">
        <v>2198</v>
      </c>
      <c r="C54" s="3146"/>
      <c r="D54" s="179">
        <f ca="1">C68</f>
        <v>24109</v>
      </c>
      <c r="E54" s="30" t="s">
        <v>2199</v>
      </c>
      <c r="F54" s="181">
        <f>'数据-取费表'!B41</f>
        <v>5.6000000000000001E-2</v>
      </c>
      <c r="G54" s="2475"/>
      <c r="H54" s="2476"/>
      <c r="I54" s="2473"/>
      <c r="J54" s="1802">
        <v>3</v>
      </c>
      <c r="K54" s="3187" t="s">
        <v>2200</v>
      </c>
      <c r="L54" s="3187"/>
      <c r="M54" s="1744">
        <f t="shared" ca="1" si="0"/>
        <v>255856</v>
      </c>
      <c r="N54" s="1802" t="str">
        <f t="shared" si="0"/>
        <v>增值额×税（费）率</v>
      </c>
      <c r="O54" s="1746" t="str">
        <f t="shared" si="0"/>
        <v>——</v>
      </c>
    </row>
    <row r="55" spans="1:35" ht="24" hidden="1" customHeight="1">
      <c r="A55" s="3136" t="s">
        <v>2201</v>
      </c>
      <c r="B55" s="3137"/>
      <c r="C55" s="3137"/>
      <c r="D55" s="182">
        <f ca="1">IF(H55="个人住宅",0,ROUND(D45*I55,0))</f>
        <v>226</v>
      </c>
      <c r="E55" s="11" t="s">
        <v>2202</v>
      </c>
      <c r="F55" s="181">
        <f>IF(H55="正常",I55,"免征")</f>
        <v>5.0000000000000001E-4</v>
      </c>
      <c r="G55" s="2475"/>
      <c r="H55" s="2472" t="s">
        <v>2203</v>
      </c>
      <c r="I55" s="183">
        <f>'数据-取费表'!B49</f>
        <v>5.0000000000000001E-4</v>
      </c>
      <c r="J55" s="1802" t="str">
        <f>IF(H59="非个人房产","",4)</f>
        <v/>
      </c>
      <c r="K55" s="3187" t="str">
        <f>IF(H59="非个人房产","——","个人所得税")</f>
        <v>——</v>
      </c>
      <c r="L55" s="3187"/>
      <c r="M55" s="1747" t="str">
        <f>D59</f>
        <v>——</v>
      </c>
      <c r="N55" s="1800" t="str">
        <f>E59</f>
        <v>——</v>
      </c>
      <c r="O55" s="1748" t="str">
        <f>F59</f>
        <v>——</v>
      </c>
    </row>
    <row r="56" spans="1:35" ht="24.75" hidden="1">
      <c r="A56" s="3136" t="s">
        <v>2204</v>
      </c>
      <c r="B56" s="3137"/>
      <c r="C56" s="3137"/>
      <c r="D56" s="182">
        <f ca="1">IF(H56="个人住宅",D57,D58)</f>
        <v>255856</v>
      </c>
      <c r="E56" s="11" t="s">
        <v>2205</v>
      </c>
      <c r="F56" s="181" t="str">
        <f>IF(H56="正常",F58,"免征")</f>
        <v>——</v>
      </c>
      <c r="G56" s="2477" t="s">
        <v>2206</v>
      </c>
      <c r="H56" s="2478" t="s">
        <v>2203</v>
      </c>
      <c r="I56" s="2479"/>
      <c r="J56" s="1802" t="str">
        <f>IF(项目基本情况!K6="上海银行",IF(J55="",4,J55+1),"")</f>
        <v/>
      </c>
      <c r="K56" s="3210" t="str">
        <f>IF(项目基本情况!K6="上海银行","其他处置费用","")</f>
        <v/>
      </c>
      <c r="L56" s="3211"/>
      <c r="M56" s="1744" t="str">
        <f>IF(项目基本情况!K6="上海银行",M69,"")</f>
        <v/>
      </c>
      <c r="N56" s="3213" t="str">
        <f>IF(项目基本情况!K6="上海银行","包含处置中涉及的律师、诉讼、拍卖、评估等费用","")</f>
        <v/>
      </c>
      <c r="O56" s="3214"/>
    </row>
    <row r="57" spans="1:35" ht="12.75" hidden="1">
      <c r="A57" s="180" t="s">
        <v>2179</v>
      </c>
      <c r="B57" s="3152" t="s">
        <v>2207</v>
      </c>
      <c r="C57" s="3161"/>
      <c r="D57" s="184">
        <v>0</v>
      </c>
      <c r="E57" s="23" t="s">
        <v>2181</v>
      </c>
      <c r="F57" s="155"/>
      <c r="G57" s="2475"/>
      <c r="H57" s="2479"/>
      <c r="I57" s="2479"/>
      <c r="J57" s="3187">
        <f>IF(AND(J55="",J56=""),4,IF(项目基本情况!K6="上海银行",结果表!J56+1,结果表!J55+1))</f>
        <v>4</v>
      </c>
      <c r="K57" s="3187" t="s">
        <v>2208</v>
      </c>
      <c r="L57" s="2480" t="s">
        <v>2209</v>
      </c>
      <c r="M57" s="1749"/>
      <c r="N57" s="1750">
        <f ca="1">SUMIF(M52:M56,"&lt;9e307")</f>
        <v>256082</v>
      </c>
      <c r="O57" s="2481"/>
      <c r="P57" s="1743">
        <f ca="1">N57/M49</f>
        <v>0.60148161370938946</v>
      </c>
    </row>
    <row r="58" spans="1:35" ht="24.75" hidden="1">
      <c r="A58" s="180" t="s">
        <v>2190</v>
      </c>
      <c r="B58" s="3152" t="s">
        <v>2210</v>
      </c>
      <c r="C58" s="3153"/>
      <c r="D58" s="182">
        <f ca="1">IF(H58="转让取得",C81,C97)</f>
        <v>255856</v>
      </c>
      <c r="E58" s="11" t="s">
        <v>2205</v>
      </c>
      <c r="F58" s="24" t="s">
        <v>34</v>
      </c>
      <c r="G58" s="2475"/>
      <c r="H58" s="2478" t="s">
        <v>2211</v>
      </c>
      <c r="I58" s="2479"/>
      <c r="J58" s="3187"/>
      <c r="K58" s="3187"/>
      <c r="L58" s="2480" t="s">
        <v>2212</v>
      </c>
      <c r="M58" s="1751"/>
      <c r="N58" s="2482" t="str">
        <f ca="1">NUMBERSTRING(INT(N57*10000),2)&amp;"元整"</f>
        <v>贰拾伍亿陆仟零捌拾贰万元整</v>
      </c>
      <c r="O58" s="2483"/>
    </row>
    <row r="59" spans="1:35" ht="24.75" hidden="1" thickBot="1">
      <c r="A59" s="3190" t="s">
        <v>2213</v>
      </c>
      <c r="B59" s="3191"/>
      <c r="C59" s="3191"/>
      <c r="D59" s="185" t="str">
        <f>IF(H59="非个人房产","——",IF(H59="个人住宅",0,ROUND(D45*I59,0)))</f>
        <v>——</v>
      </c>
      <c r="E59" s="186" t="str">
        <f>IF(H59="非个人房产","——","销售额×税（费）率")</f>
        <v>——</v>
      </c>
      <c r="F59" s="187" t="str">
        <f>IF(H59="非个人房产","——",IF(H59="个人住宅","免征",I59))</f>
        <v>——</v>
      </c>
      <c r="G59" s="2484" t="s">
        <v>2206</v>
      </c>
      <c r="H59" s="2478" t="s">
        <v>2214</v>
      </c>
      <c r="I59" s="188">
        <v>0.01</v>
      </c>
      <c r="J59" s="3188">
        <f>J57+1</f>
        <v>5</v>
      </c>
      <c r="K59" s="3187" t="s">
        <v>2215</v>
      </c>
      <c r="L59" s="1802" t="s">
        <v>2209</v>
      </c>
      <c r="M59" s="1752"/>
      <c r="N59" s="1753">
        <f ca="1">M49-N57</f>
        <v>169670</v>
      </c>
      <c r="O59" s="2485"/>
    </row>
    <row r="60" spans="1:35" ht="12" hidden="1" customHeight="1">
      <c r="A60" s="2486"/>
      <c r="B60" s="2408"/>
      <c r="C60" s="2408"/>
      <c r="D60" s="2408"/>
      <c r="E60" s="2157"/>
      <c r="F60" s="2479"/>
      <c r="G60" s="2479"/>
      <c r="H60" s="2487"/>
      <c r="I60" s="138"/>
      <c r="J60" s="3189"/>
      <c r="K60" s="3187"/>
      <c r="L60" s="2480" t="s">
        <v>2212</v>
      </c>
      <c r="M60" s="1751"/>
      <c r="N60" s="2482" t="str">
        <f ca="1">NUMBERSTRING(INT(N59*10000),2)&amp;"元整"</f>
        <v>壹拾陆亿玖仟陆佰柒拾万元整</v>
      </c>
      <c r="O60" s="2483"/>
    </row>
    <row r="61" spans="1:35" ht="13.5" hidden="1" thickBot="1">
      <c r="A61" s="3134" t="s">
        <v>2216</v>
      </c>
      <c r="B61" s="3134"/>
      <c r="C61" s="3134"/>
      <c r="D61" s="3134"/>
      <c r="E61" s="3134"/>
      <c r="F61" s="2479"/>
      <c r="G61" s="2479"/>
      <c r="H61" s="2487"/>
      <c r="I61" s="138"/>
      <c r="J61" s="1802">
        <f>J59+1</f>
        <v>6</v>
      </c>
      <c r="K61" s="3187" t="s">
        <v>2217</v>
      </c>
      <c r="L61" s="3187"/>
      <c r="M61" s="1754"/>
      <c r="N61" s="1755">
        <f ca="1">ROUND(N59*10000/'数据-汇总表'!E3,0)</f>
        <v>12272</v>
      </c>
      <c r="O61" s="2488"/>
    </row>
    <row r="62" spans="1:35" ht="12.75" hidden="1">
      <c r="A62" s="3150" t="s">
        <v>2218</v>
      </c>
      <c r="B62" s="3151"/>
      <c r="C62" s="1794"/>
      <c r="D62" s="1794" t="s">
        <v>2219</v>
      </c>
      <c r="E62" s="189" t="s">
        <v>2220</v>
      </c>
      <c r="F62" s="2479"/>
      <c r="G62" s="2479"/>
      <c r="H62" s="2487"/>
      <c r="I62" s="138"/>
    </row>
    <row r="63" spans="1:35" ht="12.75" hidden="1">
      <c r="A63" s="200" t="s">
        <v>775</v>
      </c>
      <c r="B63" s="190" t="s">
        <v>2221</v>
      </c>
      <c r="C63" s="191">
        <f ca="1">ROUND((C64+C65)/(1+'数据-取费表'!C42),0)</f>
        <v>430517</v>
      </c>
      <c r="D63" s="192"/>
      <c r="E63" s="193"/>
      <c r="F63" s="2479"/>
      <c r="G63" s="2479"/>
      <c r="H63" s="2487"/>
      <c r="I63" s="138"/>
      <c r="J63" s="3212" t="s">
        <v>2222</v>
      </c>
      <c r="K63" s="2489" t="s">
        <v>2223</v>
      </c>
      <c r="L63" s="1742">
        <f ca="1">IF(M49&gt;10000,M49*0.5%,IF(AND(M49&gt;1000,M49&lt;=10000),M49*1%,IF(AND(M49&gt;100,M49&lt;=1000),M49*3%,IF(AND(M49&gt;10,M49&lt;=100),M49*5%,M49*8%))))</f>
        <v>2128.7600000000002</v>
      </c>
      <c r="M63" s="24">
        <f ca="1">ROUND(L63,1)</f>
        <v>2128.8000000000002</v>
      </c>
      <c r="Z63" s="2413"/>
      <c r="AI63" s="2414"/>
    </row>
    <row r="64" spans="1:35" ht="14.25" hidden="1" customHeight="1">
      <c r="A64" s="194" t="s">
        <v>770</v>
      </c>
      <c r="B64" s="195" t="s">
        <v>2224</v>
      </c>
      <c r="C64" s="196">
        <f ca="1">D45</f>
        <v>452043</v>
      </c>
      <c r="D64" s="197" t="s">
        <v>32</v>
      </c>
      <c r="E64" s="198"/>
      <c r="F64" s="2479"/>
      <c r="G64" s="2479"/>
      <c r="H64" s="2487"/>
      <c r="I64" s="138"/>
      <c r="J64" s="3212"/>
      <c r="K64" s="2489" t="s">
        <v>2225</v>
      </c>
      <c r="L64" s="1742">
        <f ca="1">IF(M49&gt;2000,M49*0.5%,IF(AND(M49&gt;1000,M49&lt;=2000),M49*0.6%,IF(AND(M49&gt;500,M49&lt;=1000),M49*0.7%,IF(AND(M49&gt;200,M49&lt;=500),M49*0.8%,IF(AND(M49&gt;100,M49&lt;=200),M49*0.9%,IF(AND(M49&gt;50,M49&lt;=100),M49*1%,IF(AND(M49&gt;20,M49&lt;=50),M49*1.5%,IF(AND(M49&gt;10,M49&lt;=20),M49*2%,IF(AND(M49&gt;1,M49&lt;=10),M49*2.5%)))))))))</f>
        <v>2128.7600000000002</v>
      </c>
      <c r="M64" s="24">
        <f t="shared" ref="M64:M65" ca="1" si="1">ROUND(L64,1)</f>
        <v>2128.8000000000002</v>
      </c>
      <c r="N64" s="138" t="s">
        <v>2226</v>
      </c>
      <c r="Z64" s="2413"/>
      <c r="AI64" s="2414"/>
    </row>
    <row r="65" spans="1:35" ht="14.25" hidden="1" customHeight="1">
      <c r="A65" s="194" t="s">
        <v>771</v>
      </c>
      <c r="B65" s="195" t="s">
        <v>2227</v>
      </c>
      <c r="C65" s="199"/>
      <c r="D65" s="197"/>
      <c r="E65" s="198"/>
      <c r="F65" s="2479"/>
      <c r="G65" s="2479"/>
      <c r="H65" s="2487"/>
      <c r="I65" s="138"/>
      <c r="J65" s="3212"/>
      <c r="K65" s="2489" t="s">
        <v>2228</v>
      </c>
      <c r="L65" s="1742">
        <f ca="1">IF(M49&gt;1000,M49*0.1%,IF(AND(M49&gt;500,M49&lt;=1000),M49*0.5%,IF(AND(M49&gt;50,M49&lt;=500),M49*1%,IF(AND(M49&gt;1,M49&lt;=50),M49*1.5%))))</f>
        <v>425.75200000000001</v>
      </c>
      <c r="M65" s="24">
        <f t="shared" ca="1" si="1"/>
        <v>425.8</v>
      </c>
      <c r="N65" s="138" t="s">
        <v>2226</v>
      </c>
      <c r="Z65" s="2413"/>
      <c r="AI65" s="2414"/>
    </row>
    <row r="66" spans="1:35" ht="14.25" hidden="1" customHeight="1">
      <c r="A66" s="200" t="s">
        <v>772</v>
      </c>
      <c r="B66" s="201" t="s">
        <v>2229</v>
      </c>
      <c r="C66" s="202"/>
      <c r="D66" s="203" t="s">
        <v>32</v>
      </c>
      <c r="E66" s="1766" t="s">
        <v>1371</v>
      </c>
      <c r="F66" s="2479"/>
      <c r="G66" s="2479"/>
      <c r="H66" s="2487"/>
      <c r="I66" s="138"/>
      <c r="J66" s="3212"/>
      <c r="K66" s="2489" t="s">
        <v>2230</v>
      </c>
      <c r="L66" s="1742">
        <f ca="1">M49*0.5%</f>
        <v>2128.7600000000002</v>
      </c>
      <c r="M66" s="24">
        <f ca="1">IF(L66&gt;0.5,0.5,ROUND(L66,0))</f>
        <v>0.5</v>
      </c>
      <c r="N66" s="138" t="s">
        <v>2231</v>
      </c>
      <c r="Z66" s="2413"/>
      <c r="AI66" s="2414"/>
    </row>
    <row r="67" spans="1:35" ht="14.25" hidden="1" customHeight="1">
      <c r="A67" s="200" t="s">
        <v>773</v>
      </c>
      <c r="B67" s="201" t="s">
        <v>2232</v>
      </c>
      <c r="C67" s="204">
        <f ca="1">C63-C66</f>
        <v>430517</v>
      </c>
      <c r="D67" s="197" t="s">
        <v>32</v>
      </c>
      <c r="E67" s="198"/>
      <c r="F67" s="2479"/>
      <c r="G67" s="2479"/>
      <c r="H67" s="2487"/>
      <c r="I67" s="138"/>
      <c r="J67" s="3212"/>
      <c r="K67" s="2489" t="s">
        <v>2233</v>
      </c>
      <c r="L67" s="1742">
        <f ca="1">IF(M49&gt;=10000,(8.25+(M49-10000)*0.01%),IF(AND(M49&gt;=8000,M49&lt;10000),(7.85+(M49-8000)*0.02%),IF(AND(M49&gt;=5000,M49&lt;8000),(6.65+(M49-5000)*0.04%),IF(AND(M49&gt;=2000,M49&lt;5000),(4.25+(PM49-2000)*0.08%),IF(AND(M49&gt;=1000,M49&lt;2000),(2.75+(M49-1000)*0.15%),IF(AND(M49&gt;=100,M49&lt;1000),(0.5+(M49-100)*0.25%),IF(AND(M49&gt;0,M49&lt;100),M49*0.5%)))))))</f>
        <v>49.825200000000002</v>
      </c>
      <c r="M67" s="24">
        <f ca="1">ROUND(L67*0.9,1)</f>
        <v>44.8</v>
      </c>
      <c r="Z67" s="2413"/>
      <c r="AI67" s="2414"/>
    </row>
    <row r="68" spans="1:35" ht="14.25" hidden="1" customHeight="1" thickBot="1">
      <c r="A68" s="205" t="s">
        <v>774</v>
      </c>
      <c r="B68" s="206" t="s">
        <v>2234</v>
      </c>
      <c r="C68" s="207">
        <f ca="1">IF(C67&lt;=0,0,ROUND(C67*D68,0))</f>
        <v>24109</v>
      </c>
      <c r="D68" s="208">
        <f>'数据-取费表'!B41</f>
        <v>5.6000000000000001E-2</v>
      </c>
      <c r="E68" s="209"/>
      <c r="F68" s="2479"/>
      <c r="G68" s="2479"/>
      <c r="H68" s="2487"/>
      <c r="I68" s="138"/>
      <c r="J68" s="3212"/>
      <c r="K68" s="2489" t="s">
        <v>2235</v>
      </c>
      <c r="L68" s="1742">
        <f ca="1">IF(M49&gt;10000,M49*0.5%,IF(AND(M49&gt;5000,M49&lt;=10000),M49*1%,IF(AND(M49&gt;1000,M49&lt;=5000),M49*2%,IF(AND(M49&gt;200,M49&lt;=1000),M49*3%,M49*5%))))</f>
        <v>2128.7600000000002</v>
      </c>
      <c r="M68" s="24">
        <f ca="1">ROUND(L68,1)</f>
        <v>2128.8000000000002</v>
      </c>
      <c r="Z68" s="2413"/>
      <c r="AI68" s="2414"/>
    </row>
    <row r="69" spans="1:35" s="2436" customFormat="1" ht="16.5" hidden="1" customHeight="1">
      <c r="A69" s="2490"/>
      <c r="B69" s="2491"/>
      <c r="C69" s="2492"/>
      <c r="D69" s="2493"/>
      <c r="E69" s="2494"/>
      <c r="F69" s="2157"/>
      <c r="G69" s="2157"/>
      <c r="H69" s="2156"/>
      <c r="I69" s="2408"/>
      <c r="J69" s="3212"/>
      <c r="K69" s="2489" t="s">
        <v>2236</v>
      </c>
      <c r="L69" s="2495"/>
      <c r="M69" s="24">
        <f ca="1">ROUND(SUM(M63:M68),0)</f>
        <v>6858</v>
      </c>
      <c r="N69" s="1743">
        <f ca="1">M69/M49</f>
        <v>1.6107968958454687E-2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71" t="s">
        <v>2237</v>
      </c>
      <c r="B70" s="3172"/>
      <c r="C70" s="3172"/>
      <c r="D70" s="3172"/>
      <c r="E70" s="3172"/>
      <c r="F70" s="3172"/>
      <c r="G70" s="3172"/>
      <c r="H70" s="317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50" t="s">
        <v>2218</v>
      </c>
      <c r="B71" s="3151"/>
      <c r="C71" s="1794"/>
      <c r="D71" s="1794" t="s">
        <v>2219</v>
      </c>
      <c r="E71" s="210" t="s">
        <v>2220</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2238</v>
      </c>
      <c r="C72" s="204">
        <f ca="1">ROUND(D45/(1+'数据-取费表'!C42),0)</f>
        <v>430517</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2239</v>
      </c>
      <c r="C73" s="204">
        <f ca="1">C74+C78</f>
        <v>2583</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2240</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2241</v>
      </c>
      <c r="C75" s="215"/>
      <c r="D75" s="197" t="s">
        <v>32</v>
      </c>
      <c r="E75" s="216" t="s">
        <v>2242</v>
      </c>
      <c r="F75" s="2501" t="s">
        <v>2243</v>
      </c>
      <c r="G75" s="216" t="s">
        <v>2244</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2245</v>
      </c>
      <c r="C76" s="197">
        <f>IF(F75="购房发票",ROUND(C75*H75*D76,0),0)</f>
        <v>0</v>
      </c>
      <c r="D76" s="219">
        <v>0.05</v>
      </c>
      <c r="E76" s="3145" t="s">
        <v>2246</v>
      </c>
      <c r="F76" s="3122"/>
      <c r="G76" s="3122"/>
      <c r="H76" s="317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2247</v>
      </c>
      <c r="C77" s="197">
        <f>ROUND(IF(G77="个人住宅",0,IF(G77="2016年5月1日前购买",C75*D77,C75*D77/(1+'数据-取费表'!C42))),0)</f>
        <v>0</v>
      </c>
      <c r="D77" s="220">
        <f>'数据-取费表'!B48+'数据-取费表'!B49</f>
        <v>3.0499999999999999E-2</v>
      </c>
      <c r="E77" s="15" t="s">
        <v>2248</v>
      </c>
      <c r="F77" s="221"/>
      <c r="G77" s="2503" t="s">
        <v>2249</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2250</v>
      </c>
      <c r="C78" s="222">
        <f ca="1">ROUND(D45*D78/(1+'数据-取费表'!C42),0)</f>
        <v>2583</v>
      </c>
      <c r="D78" s="223">
        <f>'数据-取费表'!B43</f>
        <v>6.000000000000001E-3</v>
      </c>
      <c r="E78" s="3131" t="s">
        <v>2251</v>
      </c>
      <c r="F78" s="3132"/>
      <c r="G78" s="3132"/>
      <c r="H78" s="314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2252</v>
      </c>
      <c r="C79" s="204">
        <f ca="1">C72-C73</f>
        <v>427934</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2253</v>
      </c>
      <c r="C80" s="224">
        <f ca="1">IF(C79&lt;=0,0,C79/C73)</f>
        <v>165.67324816105304</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2254</v>
      </c>
      <c r="C81" s="225">
        <f ca="1">ROUND(IF(C79&lt;=0,0,IF(C80&gt;=200%,C79*60%-C73*35%,IF(C80&gt;=100%,C79*50%-C73*15%,IF(C80&gt;=50%,C79*40%-C73*5%,IF(C80&lt;50%,C79*30%,0))))),0)</f>
        <v>255856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71" t="s">
        <v>2255</v>
      </c>
      <c r="B83" s="3172"/>
      <c r="C83" s="3172"/>
      <c r="D83" s="3172"/>
      <c r="E83" s="3172"/>
      <c r="F83" s="3172"/>
      <c r="G83" s="3172"/>
      <c r="H83" s="317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50" t="s">
        <v>2218</v>
      </c>
      <c r="B84" s="3151"/>
      <c r="C84" s="1794"/>
      <c r="D84" s="1794" t="s">
        <v>2219</v>
      </c>
      <c r="E84" s="210" t="s">
        <v>2220</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2238</v>
      </c>
      <c r="C85" s="204">
        <f ca="1">ROUND(D45/(1+'数据-取费表'!C42),0)</f>
        <v>430517</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2239</v>
      </c>
      <c r="C86" s="204">
        <f ca="1">IF(H88="仅含出让金",C87+C90+C91+C92+C93+C94,C87+C91+C92+C93+C94)</f>
        <v>2583</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2256</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2257</v>
      </c>
      <c r="C88" s="233"/>
      <c r="D88" s="223"/>
      <c r="E88" s="234" t="s">
        <v>2258</v>
      </c>
      <c r="F88" s="1790"/>
      <c r="G88" s="235" t="s">
        <v>2259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2247</v>
      </c>
      <c r="C89" s="222">
        <f>ROUND(C88*D89,0)</f>
        <v>0</v>
      </c>
      <c r="D89" s="223">
        <f>'数据-取费表'!B48+'数据-取费表'!B49</f>
        <v>3.0499999999999999E-2</v>
      </c>
      <c r="E89" s="234" t="s">
        <v>2260</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2261</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2262</v>
      </c>
      <c r="B91" s="195" t="s">
        <v>2263</v>
      </c>
      <c r="C91" s="222">
        <f>IF(H91="——",成本法!C33,I91)</f>
        <v>0</v>
      </c>
      <c r="D91" s="223"/>
      <c r="E91" s="3131" t="s">
        <v>2264</v>
      </c>
      <c r="F91" s="3132"/>
      <c r="G91" s="3132"/>
      <c r="H91" s="2508" t="s">
        <v>2265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2266</v>
      </c>
      <c r="B92" s="195" t="s">
        <v>2267</v>
      </c>
      <c r="C92" s="222">
        <f>ROUND((C87+C90+C91)*D92,0)</f>
        <v>0</v>
      </c>
      <c r="D92" s="223">
        <v>0.1</v>
      </c>
      <c r="E92" s="3131" t="s">
        <v>2268</v>
      </c>
      <c r="F92" s="3132"/>
      <c r="G92" s="3132"/>
      <c r="H92" s="314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2269</v>
      </c>
      <c r="B93" s="195" t="s">
        <v>2250</v>
      </c>
      <c r="C93" s="222">
        <f ca="1">ROUND(D45*D93/(1+'数据-取费表'!C42),0)</f>
        <v>2583</v>
      </c>
      <c r="D93" s="223">
        <f>'数据-取费表'!B43</f>
        <v>6.000000000000001E-3</v>
      </c>
      <c r="E93" s="3131" t="s">
        <v>2251</v>
      </c>
      <c r="F93" s="3132"/>
      <c r="G93" s="3132"/>
      <c r="H93" s="314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2270</v>
      </c>
      <c r="B94" s="195" t="s">
        <v>2271</v>
      </c>
      <c r="C94" s="233">
        <f>ROUND((C87+C90+C91)*D94,0)</f>
        <v>0</v>
      </c>
      <c r="D94" s="223">
        <v>0.2</v>
      </c>
      <c r="E94" s="3142" t="s">
        <v>2272</v>
      </c>
      <c r="F94" s="3143"/>
      <c r="G94" s="3143"/>
      <c r="H94" s="314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2252</v>
      </c>
      <c r="C95" s="204">
        <f ca="1">ROUND(C85-C86,0)</f>
        <v>427934</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2253</v>
      </c>
      <c r="C96" s="224">
        <f ca="1">IF(C95&lt;=0,0,C95/C86)</f>
        <v>165.67324816105304</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2254</v>
      </c>
      <c r="C97" s="225">
        <f ca="1">ROUND(IF(C95&lt;=0,0,IF(C96&gt;=200%,C95*60%-C86*35%,IF(C96&gt;=100%,C95*50%-C86*15%,IF(C96&gt;=50%,C95*40%-C86*5%,IF(C96&lt;50%,C95*30%,0))))),0)</f>
        <v>255856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2273</v>
      </c>
      <c r="B99" s="2408"/>
      <c r="C99" s="2408"/>
      <c r="D99" s="2408"/>
      <c r="E99" s="2157"/>
      <c r="F99" s="2157"/>
      <c r="G99" s="2157"/>
      <c r="H99" s="2156"/>
      <c r="I99" s="138"/>
    </row>
    <row r="100" spans="1:35" ht="18.75" customHeight="1">
      <c r="A100" s="3116" t="s">
        <v>2274</v>
      </c>
      <c r="B100" s="3117"/>
      <c r="C100" s="3117"/>
      <c r="D100" s="3133"/>
      <c r="E100" s="3117" t="s">
        <v>2275</v>
      </c>
      <c r="F100" s="3117"/>
      <c r="G100" s="3117"/>
      <c r="H100" s="3133"/>
      <c r="I100" s="138"/>
    </row>
    <row r="101" spans="1:35" ht="18.75" customHeight="1">
      <c r="A101" s="3195" t="s">
        <v>2276</v>
      </c>
      <c r="B101" s="3196"/>
      <c r="C101" s="732" t="str">
        <f>C4</f>
        <v>成本法</v>
      </c>
      <c r="D101" s="733" t="str">
        <f>D4</f>
        <v>收益法（汇总）</v>
      </c>
      <c r="E101" s="3209" t="s">
        <v>2277</v>
      </c>
      <c r="F101" s="3163"/>
      <c r="G101" s="2510" t="s">
        <v>2278</v>
      </c>
      <c r="H101" s="1039">
        <f ca="1">H118</f>
        <v>452043</v>
      </c>
      <c r="I101" s="138"/>
    </row>
    <row r="102" spans="1:35" ht="18.75" customHeight="1">
      <c r="A102" s="3165" t="s">
        <v>2279</v>
      </c>
      <c r="B102" s="2510" t="s">
        <v>2278</v>
      </c>
      <c r="C102" s="732">
        <f ca="1">C19</f>
        <v>524501</v>
      </c>
      <c r="D102" s="733">
        <f ca="1">D19</f>
        <v>403738</v>
      </c>
      <c r="E102" s="3209"/>
      <c r="F102" s="3163"/>
      <c r="G102" s="2510" t="s">
        <v>2280</v>
      </c>
      <c r="H102" s="368">
        <f ca="1">I118</f>
        <v>32694</v>
      </c>
      <c r="I102" s="138"/>
    </row>
    <row r="103" spans="1:35" ht="42.75" customHeight="1">
      <c r="A103" s="3165"/>
      <c r="B103" s="2510" t="s">
        <v>2280</v>
      </c>
      <c r="C103" s="734">
        <f ca="1">C20</f>
        <v>37935</v>
      </c>
      <c r="D103" s="735">
        <f ca="1">D20</f>
        <v>29201</v>
      </c>
      <c r="E103" s="3204" t="s">
        <v>2281</v>
      </c>
      <c r="F103" s="3205"/>
      <c r="G103" s="2511" t="s">
        <v>2282</v>
      </c>
      <c r="H103" s="1039">
        <f>IF(D36="正常操作",H104+H105+H106,H105+H106)</f>
        <v>26291</v>
      </c>
      <c r="I103" s="138"/>
    </row>
    <row r="104" spans="1:35" ht="18.75" customHeight="1">
      <c r="A104" s="3165" t="s">
        <v>2283</v>
      </c>
      <c r="B104" s="2512" t="s">
        <v>2278</v>
      </c>
      <c r="C104" s="736">
        <f ca="1">H118</f>
        <v>452043</v>
      </c>
      <c r="D104" s="737"/>
      <c r="E104" s="2257" t="s">
        <v>2284</v>
      </c>
      <c r="F104" s="2249"/>
      <c r="G104" s="2511" t="s">
        <v>2282</v>
      </c>
      <c r="H104" s="1040">
        <f>IF(D36="同一抵押权人同一抵押物续贷",C36&amp;"（未扣减，详见特别提示）",C36)</f>
        <v>0</v>
      </c>
      <c r="I104" s="138"/>
    </row>
    <row r="105" spans="1:35" ht="18.75" customHeight="1" thickBot="1">
      <c r="A105" s="3166"/>
      <c r="B105" s="2513" t="s">
        <v>2280</v>
      </c>
      <c r="C105" s="738">
        <f ca="1">I118</f>
        <v>32694</v>
      </c>
      <c r="D105" s="739"/>
      <c r="E105" s="2257" t="s">
        <v>2285</v>
      </c>
      <c r="F105" s="2249"/>
      <c r="G105" s="2511" t="s">
        <v>2282</v>
      </c>
      <c r="H105" s="1040">
        <f>C37</f>
        <v>26291</v>
      </c>
      <c r="I105" s="138"/>
    </row>
    <row r="106" spans="1:35" ht="18.75" customHeight="1">
      <c r="A106" s="2408" t="s">
        <v>2286</v>
      </c>
      <c r="B106" s="2408"/>
      <c r="C106" s="2408"/>
      <c r="D106" s="2408"/>
      <c r="E106" s="2514" t="s">
        <v>2287</v>
      </c>
      <c r="F106" s="2249"/>
      <c r="G106" s="2511" t="s">
        <v>2282</v>
      </c>
      <c r="H106" s="1040">
        <f>C38</f>
        <v>0</v>
      </c>
      <c r="I106" s="138"/>
    </row>
    <row r="107" spans="1:35" ht="18.75" customHeight="1">
      <c r="A107" s="138"/>
      <c r="B107" s="138"/>
      <c r="C107" s="138"/>
      <c r="D107" s="138"/>
      <c r="E107" s="3162" t="str">
        <f>IF(项目基本情况!E8="已注销","——","3.房地产抵押价值")</f>
        <v>——</v>
      </c>
      <c r="F107" s="3163"/>
      <c r="G107" s="2510" t="s">
        <v>2278</v>
      </c>
      <c r="H107" s="1039" t="str">
        <f>IF(E107="——","——",H101-H103)</f>
        <v>——</v>
      </c>
      <c r="I107" s="138"/>
    </row>
    <row r="108" spans="1:35" ht="18.75" customHeight="1">
      <c r="A108" s="138"/>
      <c r="B108" s="138"/>
      <c r="C108" s="138"/>
      <c r="D108" s="138"/>
      <c r="E108" s="3162"/>
      <c r="F108" s="3163"/>
      <c r="G108" s="2510" t="s">
        <v>2280</v>
      </c>
      <c r="H108" s="368" t="e">
        <f>ROUND(H107*10000/'数据-汇总表'!E3,0)</f>
        <v>#VALUE!</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3.抵押担保权已注销时的房地产抵押价值</v>
      </c>
      <c r="F109" s="3163"/>
      <c r="G109" s="2510" t="s">
        <v>2278</v>
      </c>
      <c r="H109" s="345">
        <f ca="1">IF(E109="——","——",H101-H105-H106)</f>
        <v>425752</v>
      </c>
      <c r="I109" s="138"/>
    </row>
    <row r="110" spans="1:35" ht="18.75" customHeight="1">
      <c r="A110" s="138"/>
      <c r="B110" s="138"/>
      <c r="C110" s="138"/>
      <c r="D110" s="138"/>
      <c r="E110" s="3162"/>
      <c r="F110" s="3163"/>
      <c r="G110" s="2510" t="s">
        <v>2280</v>
      </c>
      <c r="H110" s="368">
        <f ca="1">IF(H109="——","——",ROUND(H109*10000/'数据-汇总表'!E3,0))</f>
        <v>30793</v>
      </c>
      <c r="I110" s="138"/>
    </row>
    <row r="111" spans="1:35" ht="18.75" customHeight="1">
      <c r="A111" s="138"/>
      <c r="B111" s="138"/>
      <c r="C111" s="138"/>
      <c r="D111" s="138"/>
      <c r="E111" s="3197" t="str">
        <f>IF(项目基本情况!E9="抵押净值",IF(OR(项目基本情况!E8="已注销",项目基本情况!E8="房地产抵押价值"),"4.抵押净值","5.抵押净值"),"——")</f>
        <v>——</v>
      </c>
      <c r="F111" s="3198"/>
      <c r="G111" s="2510" t="s">
        <v>2278</v>
      </c>
      <c r="H111" s="1039" t="str">
        <f>IF(E111="——","——",N59)</f>
        <v>——</v>
      </c>
      <c r="I111" s="138"/>
    </row>
    <row r="112" spans="1:35" ht="18.75" customHeight="1" thickBot="1">
      <c r="A112" s="138"/>
      <c r="B112" s="138"/>
      <c r="C112" s="138"/>
      <c r="D112" s="138"/>
      <c r="E112" s="3199"/>
      <c r="F112" s="3200"/>
      <c r="G112" s="2515" t="s">
        <v>2280</v>
      </c>
      <c r="H112" s="786" t="str">
        <f>IF(E111="——","——",N61)</f>
        <v>——</v>
      </c>
      <c r="I112" s="138"/>
    </row>
    <row r="113" spans="1:11" ht="18.75" customHeight="1">
      <c r="A113" s="138"/>
      <c r="B113" s="138"/>
      <c r="C113" s="138"/>
      <c r="D113" s="138"/>
      <c r="E113" s="3167" t="s">
        <v>2286</v>
      </c>
      <c r="F113" s="3167"/>
      <c r="G113" s="3167"/>
      <c r="H113" s="3167"/>
      <c r="I113" s="138"/>
    </row>
    <row r="114" spans="1:11" ht="3.75" customHeight="1">
      <c r="A114" s="2408"/>
      <c r="B114" s="2408"/>
      <c r="C114" s="2408"/>
      <c r="D114" s="2408"/>
      <c r="E114" s="2486"/>
      <c r="F114" s="2486"/>
      <c r="G114" s="2486"/>
      <c r="H114" s="2486"/>
      <c r="I114" s="2408"/>
    </row>
    <row r="115" spans="1:11" ht="18.75" customHeight="1">
      <c r="A115" s="3180" t="s">
        <v>2288</v>
      </c>
      <c r="B115" s="3181"/>
      <c r="C115" s="3181"/>
      <c r="D115" s="3181"/>
      <c r="E115" s="3181"/>
      <c r="F115" s="3181"/>
      <c r="G115" s="3181"/>
      <c r="H115" s="3181"/>
      <c r="I115" s="3182"/>
    </row>
    <row r="116" spans="1:11" ht="27" customHeight="1">
      <c r="A116" s="3073" t="s">
        <v>2289</v>
      </c>
      <c r="B116" s="3168" t="s">
        <v>3318</v>
      </c>
      <c r="C116" s="3168" t="s">
        <v>3319</v>
      </c>
      <c r="D116" s="3184" t="s">
        <v>2290</v>
      </c>
      <c r="E116" s="3185"/>
      <c r="F116" s="3176" t="s">
        <v>3317</v>
      </c>
      <c r="G116" s="3176"/>
      <c r="H116" s="3073" t="s">
        <v>2291</v>
      </c>
      <c r="I116" s="3073"/>
    </row>
    <row r="117" spans="1:11" ht="18.75" customHeight="1">
      <c r="A117" s="3073"/>
      <c r="B117" s="3169"/>
      <c r="C117" s="3169"/>
      <c r="D117" s="1788" t="s">
        <v>2292</v>
      </c>
      <c r="E117" s="1788" t="s">
        <v>2293</v>
      </c>
      <c r="F117" s="1788" t="s">
        <v>2292</v>
      </c>
      <c r="G117" s="1788" t="s">
        <v>2294</v>
      </c>
      <c r="H117" s="1788" t="s">
        <v>2292</v>
      </c>
      <c r="I117" s="1788" t="s">
        <v>2294</v>
      </c>
    </row>
    <row r="118" spans="1:11" ht="24.75" customHeight="1">
      <c r="A118" s="2516" t="str">
        <f>项目基本情况!S2</f>
        <v>北京市丰台区花乡四合庄（中关村科技园丰台园东区三期）1516-12-A地块房地产</v>
      </c>
      <c r="B118" s="1788">
        <f>M18</f>
        <v>138263.03999999998</v>
      </c>
      <c r="C118" s="1788">
        <f>M19</f>
        <v>27500</v>
      </c>
      <c r="D118" s="1788">
        <f ca="1">ROUND(IF(D32="总价",C34,E118*B118/10000),0)</f>
        <v>390113</v>
      </c>
      <c r="E118" s="1788">
        <f ca="1">ROUND(IF(C33="自定义",IF(D32="楼面单价",C34,D118*10000/B118),I118-G118),0)</f>
        <v>28215</v>
      </c>
      <c r="F118" s="1788">
        <f ca="1">ROUND(IF(D32="总价",C35,G118*B118/10000),0)</f>
        <v>61930</v>
      </c>
      <c r="G118" s="1788">
        <f ca="1">ROUND(IF(D32="楼面单价",C35,F118*10000/B118),0)</f>
        <v>4479</v>
      </c>
      <c r="H118" s="1788">
        <f ca="1">ROUND(IF(D32="总价",C32,I118*B118/10000),0)</f>
        <v>452043</v>
      </c>
      <c r="I118" s="1788">
        <f ca="1">ROUND(IF(D32="楼面单价",C32,H118*10000/B118),0)</f>
        <v>32694</v>
      </c>
    </row>
    <row r="119" spans="1:11" ht="18.75" customHeight="1">
      <c r="A119" s="3073" t="s">
        <v>2295</v>
      </c>
      <c r="B119" s="3073"/>
      <c r="C119" s="3073"/>
      <c r="D119" s="3173" t="str">
        <f ca="1">NUMBERSTRING(INT(D118*10000),2)&amp;"元整"</f>
        <v>叁拾玖亿零壹佰壹拾叁万元整</v>
      </c>
      <c r="E119" s="3175"/>
      <c r="F119" s="3173" t="str">
        <f ca="1">NUMBERSTRING(INT(F118*10000),2)&amp;"元整"</f>
        <v>陆亿壹仟玖佰叁拾万元整</v>
      </c>
      <c r="G119" s="3175"/>
      <c r="H119" s="3173" t="str">
        <f ca="1">NUMBERSTRING(INT(H118*10000),2)&amp;"元整"</f>
        <v>肆拾伍亿贰仟零肆拾叁万元整</v>
      </c>
      <c r="I119" s="3175"/>
    </row>
    <row r="120" spans="1:11" ht="18.75" customHeight="1">
      <c r="A120" s="3201" t="str">
        <f>IF(项目基本情况!B9="房地产市场价值","",MID(E103,3,LEN(E103)-2))</f>
        <v>估价师知悉的法定优先受偿款</v>
      </c>
      <c r="B120" s="3202"/>
      <c r="C120" s="3203"/>
      <c r="D120" s="3201">
        <f>H103</f>
        <v>26291</v>
      </c>
      <c r="E120" s="3202"/>
      <c r="F120" s="3202"/>
      <c r="G120" s="3202"/>
      <c r="H120" s="3202"/>
      <c r="I120" s="3203"/>
      <c r="K120" s="2413" t="str">
        <f>IF(D120=0,"故，本次评估不存在"&amp;A120,"故，本次评估"&amp;A120&amp;"为人民币"&amp;D120&amp;"万元整。")</f>
        <v>故，本次评估估价师知悉的法定优先受偿款为人民币26291万元整。</v>
      </c>
    </row>
    <row r="121" spans="1:11" ht="18.75" customHeight="1">
      <c r="A121" s="3177" t="s">
        <v>2295</v>
      </c>
      <c r="B121" s="3178"/>
      <c r="C121" s="3179"/>
      <c r="D121" s="3173" t="str">
        <f>IF(D120=0,"零元整",NUMBERSTRING(INT(D120*10000),2)&amp;"元整")</f>
        <v>贰亿陆仟贰佰玖拾壹万元整</v>
      </c>
      <c r="E121" s="3174"/>
      <c r="F121" s="3174"/>
      <c r="G121" s="3174"/>
      <c r="H121" s="3174"/>
      <c r="I121" s="3175"/>
    </row>
    <row r="122" spans="1:11" ht="18.75" customHeight="1">
      <c r="A122" s="3164" t="str">
        <f>IF(项目基本情况!B9="房地产市场价值","",MID(E107,3,LEN(E107)-2))</f>
        <v/>
      </c>
      <c r="B122" s="3164"/>
      <c r="C122" s="3164"/>
      <c r="D122" s="3201" t="str">
        <f>H107</f>
        <v>——</v>
      </c>
      <c r="E122" s="3202"/>
      <c r="F122" s="3202"/>
      <c r="G122" s="3202"/>
      <c r="H122" s="3202"/>
      <c r="I122" s="3203"/>
    </row>
    <row r="123" spans="1:11" ht="18.75" customHeight="1">
      <c r="A123" s="3073" t="s">
        <v>2295</v>
      </c>
      <c r="B123" s="3073"/>
      <c r="C123" s="3073"/>
      <c r="D123" s="3173" t="e">
        <f>NUMBERSTRING(INT(D122*10000),2)&amp;"元整"</f>
        <v>#VALUE!</v>
      </c>
      <c r="E123" s="3174"/>
      <c r="F123" s="3174"/>
      <c r="G123" s="3174"/>
      <c r="H123" s="3174"/>
      <c r="I123" s="3175"/>
    </row>
    <row r="124" spans="1:11" ht="18.75" customHeight="1">
      <c r="A124" s="3164" t="str">
        <f>IF(项目基本情况!B9="房地产市场价值","",MID(E109,3,LEN(E109)-2))</f>
        <v>抵押担保权已注销时的房地产抵押价值</v>
      </c>
      <c r="B124" s="3164"/>
      <c r="C124" s="3164"/>
      <c r="D124" s="3201">
        <f ca="1">H109</f>
        <v>425752</v>
      </c>
      <c r="E124" s="3202"/>
      <c r="F124" s="3202"/>
      <c r="G124" s="3202"/>
      <c r="H124" s="3202"/>
      <c r="I124" s="3203"/>
    </row>
    <row r="125" spans="1:11" ht="18.75" customHeight="1">
      <c r="A125" s="3073" t="s">
        <v>2295</v>
      </c>
      <c r="B125" s="3073"/>
      <c r="C125" s="3073"/>
      <c r="D125" s="3173" t="str">
        <f ca="1">NUMBERSTRING(INT(D124*10000),2)&amp;"元整"</f>
        <v>肆拾贰亿伍仟柒佰伍拾贰万元整</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73" t="s">
        <v>2295</v>
      </c>
      <c r="B127" s="3073"/>
      <c r="C127" s="3073"/>
      <c r="D127" s="3173" t="e">
        <f>NUMBERSTRING(INT(D126*10000),2)&amp;"元整"</f>
        <v>#VALUE!</v>
      </c>
      <c r="E127" s="3174"/>
      <c r="F127" s="3174"/>
      <c r="G127" s="3174"/>
      <c r="H127" s="3174"/>
      <c r="I127" s="3175"/>
    </row>
    <row r="128" spans="1:11" ht="21.75" customHeight="1">
      <c r="A128" s="3183" t="s">
        <v>2296</v>
      </c>
      <c r="B128" s="3183"/>
      <c r="C128" s="3183"/>
      <c r="D128" s="3183"/>
      <c r="E128" s="3183"/>
      <c r="F128" s="3183"/>
      <c r="G128" s="3183"/>
      <c r="H128" s="3183"/>
      <c r="I128" s="3183"/>
    </row>
    <row r="129" spans="1:35" ht="21.75" customHeight="1">
      <c r="A129" s="2517" t="s">
        <v>2297</v>
      </c>
      <c r="B129" s="2518"/>
      <c r="C129" s="2519" t="s">
        <v>2298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2299</v>
      </c>
      <c r="G135" s="2534"/>
      <c r="H135" s="2534"/>
      <c r="I135" s="2535" t="s">
        <v>2300</v>
      </c>
    </row>
    <row r="136" spans="1:35" ht="21.75" customHeight="1">
      <c r="A136" s="791"/>
      <c r="B136" s="2536" t="s">
        <v>2301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2302</v>
      </c>
    </row>
    <row r="139" spans="1:35" ht="21.75" customHeight="1">
      <c r="A139" s="791"/>
      <c r="B139" s="2536" t="s">
        <v>2303</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2302</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topLeftCell="A25" workbookViewId="0">
      <selection activeCell="C57" sqref="C5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2304</v>
      </c>
      <c r="B1" s="1930"/>
      <c r="C1" s="239"/>
      <c r="D1" s="239"/>
      <c r="E1" s="239"/>
      <c r="F1" s="239"/>
      <c r="G1" s="1373">
        <f>MATCH(B1,'数据-取费表'!A6:A16,0)+5</f>
        <v>9</v>
      </c>
    </row>
    <row r="2" spans="1:9" s="241" customFormat="1" ht="18" customHeight="1">
      <c r="A2" s="242" t="s">
        <v>2305</v>
      </c>
      <c r="B2" s="243">
        <f ca="1">IF(D2="——",C52,C52-E2)</f>
        <v>524501</v>
      </c>
      <c r="C2" s="240" t="s">
        <v>2306</v>
      </c>
      <c r="D2" s="2539" t="s">
        <v>70</v>
      </c>
      <c r="E2" s="1434" t="e">
        <f ca="1">SUMIF(INDIRECT("'"&amp;G2&amp;"'"&amp;"!A:A"),"承租人权益价值",INDIRECT("'"&amp;G2&amp;"'"&amp;"!c:c"))</f>
        <v>#REF!</v>
      </c>
      <c r="F2" s="2540" t="s">
        <v>2306</v>
      </c>
      <c r="G2" s="2541"/>
    </row>
    <row r="3" spans="1:9" s="241" customFormat="1" ht="18" customHeight="1" thickBot="1">
      <c r="A3" s="244" t="s">
        <v>2307</v>
      </c>
      <c r="B3" s="245">
        <f ca="1">ROUND(B2*10000/(IF(B1="",'数据-汇总表'!E3,INDIRECT("'数据-取费表'!k"&amp;$G$1))),0)</f>
        <v>37935</v>
      </c>
      <c r="C3" s="240" t="s">
        <v>2308</v>
      </c>
      <c r="D3" s="240"/>
      <c r="E3" s="240"/>
      <c r="F3" s="240"/>
      <c r="G3" s="240"/>
    </row>
    <row r="4" spans="1:9" s="249" customFormat="1" ht="15.75">
      <c r="A4" s="246" t="s">
        <v>2309</v>
      </c>
      <c r="B4" s="247"/>
      <c r="C4" s="247"/>
      <c r="D4" s="247"/>
      <c r="E4" s="247"/>
      <c r="F4" s="247"/>
      <c r="G4" s="248"/>
    </row>
    <row r="5" spans="1:9" s="255" customFormat="1" ht="13.5" customHeight="1">
      <c r="A5" s="296" t="s">
        <v>2310</v>
      </c>
      <c r="B5" s="251" t="s">
        <v>2311</v>
      </c>
      <c r="C5" s="252">
        <f>C6+C7+C8</f>
        <v>350144</v>
      </c>
      <c r="D5" s="252" t="s">
        <v>2312</v>
      </c>
      <c r="E5" s="253" t="s">
        <v>2313</v>
      </c>
      <c r="F5" s="253" t="s">
        <v>2314</v>
      </c>
      <c r="G5" s="254"/>
    </row>
    <row r="6" spans="1:9" s="255" customFormat="1" ht="13.5" customHeight="1">
      <c r="A6" s="944" t="s">
        <v>2315</v>
      </c>
      <c r="B6" s="256" t="s">
        <v>2316</v>
      </c>
      <c r="C6" s="257">
        <f>'土地比较法-住宅、综合'!B2</f>
        <v>337098</v>
      </c>
      <c r="D6" s="258"/>
      <c r="E6" s="259"/>
      <c r="F6" s="259"/>
      <c r="G6" s="260"/>
    </row>
    <row r="7" spans="1:9" s="255" customFormat="1" ht="13.5" customHeight="1">
      <c r="A7" s="944" t="s">
        <v>2317</v>
      </c>
      <c r="B7" s="256" t="s">
        <v>2318</v>
      </c>
      <c r="C7" s="261">
        <f>ROUND(C6*F7,0)</f>
        <v>10281</v>
      </c>
      <c r="D7" s="261"/>
      <c r="E7" s="259"/>
      <c r="F7" s="262">
        <f>'数据-取费表'!B48+'数据-取费表'!B49</f>
        <v>3.0499999999999999E-2</v>
      </c>
      <c r="G7" s="260"/>
    </row>
    <row r="8" spans="1:9" s="264" customFormat="1">
      <c r="A8" s="944" t="s">
        <v>2319</v>
      </c>
      <c r="B8" s="256" t="s">
        <v>2320</v>
      </c>
      <c r="C8" s="261">
        <f>IF(G8="已包含在土地购买价格中","0",IF(B1="",'数据-取费表'!B29,IF(G9="全部缴纳",C9+C10,H9)))</f>
        <v>2765</v>
      </c>
      <c r="D8" s="263"/>
      <c r="E8" s="261"/>
      <c r="F8" s="262"/>
      <c r="G8" s="2542" t="s">
        <v>3075</v>
      </c>
    </row>
    <row r="9" spans="1:9" s="255" customFormat="1" ht="13.5" customHeight="1">
      <c r="A9" s="945" t="s">
        <v>800</v>
      </c>
      <c r="B9" s="265" t="s">
        <v>2321</v>
      </c>
      <c r="C9" s="266">
        <f ca="1">ROUND(D9*E9/10000,0)</f>
        <v>0</v>
      </c>
      <c r="D9" s="1027">
        <f ca="1">IF(B1="",'数据-汇总表'!E5,IF(INDIRECT("'数据-取费表'!c"&amp;$G$1)="住宅",INDIRECT("'数据-取费表'!k"&amp;$G$1),0))</f>
        <v>0</v>
      </c>
      <c r="E9" s="266">
        <f>'数据-取费表'!B27</f>
        <v>0</v>
      </c>
      <c r="F9" s="262"/>
      <c r="G9" s="2543" t="s">
        <v>3076</v>
      </c>
      <c r="H9" s="1384"/>
      <c r="I9" s="2544" t="s">
        <v>2322</v>
      </c>
    </row>
    <row r="10" spans="1:9" s="255" customFormat="1" ht="13.5" customHeight="1">
      <c r="A10" s="945" t="s">
        <v>801</v>
      </c>
      <c r="B10" s="265" t="s">
        <v>2323</v>
      </c>
      <c r="C10" s="266">
        <f ca="1">ROUND(D10*E10/10000,0)</f>
        <v>2765</v>
      </c>
      <c r="D10" s="1027">
        <f ca="1">IF(B1="",'数据-汇总表'!E6,IF(INDIRECT("'数据-取费表'!c"&amp;$G$1)="住宅",INDIRECT("'数据-取费表'!s"&amp;$G$1),INDIRECT("'数据-取费表'!k"&amp;$G$1)+INDIRECT("'数据-取费表'!s"&amp;$G$1)))</f>
        <v>138263.03999999998</v>
      </c>
      <c r="E10" s="266">
        <f>'数据-取费表'!B28</f>
        <v>200</v>
      </c>
      <c r="F10" s="262"/>
      <c r="G10" s="267"/>
    </row>
    <row r="11" spans="1:9" s="255" customFormat="1" ht="13.5" hidden="1" customHeight="1">
      <c r="A11" s="268" t="s">
        <v>7</v>
      </c>
      <c r="B11" s="256" t="s">
        <v>2324</v>
      </c>
      <c r="C11" s="252"/>
      <c r="D11" s="1029"/>
      <c r="E11" s="259"/>
      <c r="F11" s="259"/>
      <c r="G11" s="260"/>
    </row>
    <row r="12" spans="1:9" s="255" customFormat="1" ht="13.5" hidden="1" customHeight="1">
      <c r="A12" s="268" t="s">
        <v>8</v>
      </c>
      <c r="B12" s="256" t="s">
        <v>2325</v>
      </c>
      <c r="C12" s="252">
        <v>0</v>
      </c>
      <c r="D12" s="1029"/>
      <c r="E12" s="269"/>
      <c r="F12" s="262">
        <v>3.0499999999999999E-2</v>
      </c>
      <c r="G12" s="260"/>
    </row>
    <row r="13" spans="1:9" s="255" customFormat="1" ht="13.5" hidden="1" customHeight="1">
      <c r="A13" s="268" t="s">
        <v>9</v>
      </c>
      <c r="B13" s="256" t="s">
        <v>2326</v>
      </c>
      <c r="C13" s="252"/>
      <c r="D13" s="1029"/>
      <c r="E13" s="259"/>
      <c r="F13" s="259"/>
      <c r="G13" s="260"/>
    </row>
    <row r="14" spans="1:9" s="255" customFormat="1" ht="13.5" hidden="1" customHeight="1">
      <c r="A14" s="268" t="s">
        <v>10</v>
      </c>
      <c r="B14" s="256" t="s">
        <v>2327</v>
      </c>
      <c r="C14" s="252"/>
      <c r="D14" s="1029"/>
      <c r="E14" s="259"/>
      <c r="F14" s="259"/>
      <c r="G14" s="260" t="s">
        <v>2328</v>
      </c>
    </row>
    <row r="15" spans="1:9" s="255" customFormat="1" ht="13.5" hidden="1" customHeight="1">
      <c r="A15" s="268" t="s">
        <v>11</v>
      </c>
      <c r="B15" s="256" t="s">
        <v>2329</v>
      </c>
      <c r="C15" s="261"/>
      <c r="D15" s="1029"/>
      <c r="E15" s="259"/>
      <c r="F15" s="259"/>
      <c r="G15" s="260" t="s">
        <v>2330</v>
      </c>
    </row>
    <row r="16" spans="1:9" s="255" customFormat="1" ht="13.5" hidden="1" customHeight="1">
      <c r="A16" s="268" t="s">
        <v>12</v>
      </c>
      <c r="B16" s="256" t="s">
        <v>2327</v>
      </c>
      <c r="C16" s="261"/>
      <c r="D16" s="1029"/>
      <c r="E16" s="259"/>
      <c r="F16" s="259"/>
      <c r="G16" s="260"/>
    </row>
    <row r="17" spans="1:7" s="255" customFormat="1" ht="13.5" hidden="1" customHeight="1">
      <c r="A17" s="268" t="s">
        <v>13</v>
      </c>
      <c r="B17" s="256" t="s">
        <v>2331</v>
      </c>
      <c r="C17" s="270"/>
      <c r="D17" s="1030"/>
      <c r="E17" s="270"/>
      <c r="F17" s="270"/>
      <c r="G17" s="260" t="s">
        <v>2330</v>
      </c>
    </row>
    <row r="18" spans="1:7" s="255" customFormat="1" ht="13.5" hidden="1" customHeight="1">
      <c r="A18" s="268" t="s">
        <v>14</v>
      </c>
      <c r="B18" s="256" t="s">
        <v>2332</v>
      </c>
      <c r="C18" s="261">
        <v>0</v>
      </c>
      <c r="D18" s="1029"/>
      <c r="E18" s="259"/>
      <c r="F18" s="262">
        <v>3.0499999999999999E-2</v>
      </c>
      <c r="G18" s="260" t="s">
        <v>2333</v>
      </c>
    </row>
    <row r="19" spans="1:7" s="264" customFormat="1" ht="13.5" customHeight="1">
      <c r="A19" s="296" t="s">
        <v>2334</v>
      </c>
      <c r="B19" s="251" t="s">
        <v>2335</v>
      </c>
      <c r="C19" s="252" t="str">
        <f>IF(G19="已包含在土地取得成本中","0",ROUND(D19*E19/10000,0))</f>
        <v>0</v>
      </c>
      <c r="D19" s="1031">
        <f ca="1">D9+D10</f>
        <v>138263.03999999998</v>
      </c>
      <c r="E19" s="252">
        <f>'数据-取费表'!B31</f>
        <v>200</v>
      </c>
      <c r="F19" s="272"/>
      <c r="G19" s="2542" t="s">
        <v>3074</v>
      </c>
    </row>
    <row r="20" spans="1:7" s="255" customFormat="1" ht="13.5" customHeight="1">
      <c r="A20" s="296" t="s">
        <v>2336</v>
      </c>
      <c r="B20" s="251" t="s">
        <v>2337</v>
      </c>
      <c r="C20" s="273">
        <f>ROUND((C5+C19)*F20,0)</f>
        <v>3501</v>
      </c>
      <c r="D20" s="273"/>
      <c r="E20" s="273"/>
      <c r="F20" s="274">
        <f>'数据-取费表'!B37</f>
        <v>0.01</v>
      </c>
      <c r="G20" s="275" t="s">
        <v>2338</v>
      </c>
    </row>
    <row r="21" spans="1:7" s="255" customFormat="1" ht="13.5" customHeight="1">
      <c r="A21" s="296" t="s">
        <v>2339</v>
      </c>
      <c r="B21" s="251" t="s">
        <v>2340</v>
      </c>
      <c r="C21" s="276">
        <f>F21</f>
        <v>0.01</v>
      </c>
      <c r="D21" s="277" t="s">
        <v>2341</v>
      </c>
      <c r="E21" s="273"/>
      <c r="F21" s="274">
        <f>'数据-取费表'!B38</f>
        <v>0.01</v>
      </c>
      <c r="G21" s="275" t="s">
        <v>2342</v>
      </c>
    </row>
    <row r="22" spans="1:7" s="255" customFormat="1" ht="13.5" customHeight="1">
      <c r="A22" s="296" t="s">
        <v>2343</v>
      </c>
      <c r="B22" s="251" t="s">
        <v>2344</v>
      </c>
      <c r="C22" s="1348">
        <f ca="1">ROUND(SUM(C23:C25),0)</f>
        <v>34220</v>
      </c>
      <c r="D22" s="276">
        <f ca="1">C26</f>
        <v>5.0000000000000001E-4</v>
      </c>
      <c r="E22" s="277" t="s">
        <v>2341</v>
      </c>
      <c r="F22" s="278">
        <f ca="1">'数据-取费表'!B40</f>
        <v>4.7500000000000001E-2</v>
      </c>
      <c r="G22" s="275" t="str">
        <f>IF('数据-取费表'!B22&lt;=1,"单利计息","复利计息")</f>
        <v>复利计息</v>
      </c>
    </row>
    <row r="23" spans="1:7" s="255" customFormat="1" ht="13.5" customHeight="1">
      <c r="A23" s="946" t="s">
        <v>2345</v>
      </c>
      <c r="B23" s="256" t="s">
        <v>2346</v>
      </c>
      <c r="C23" s="1349">
        <f ca="1">ROUND(IF('数据-取费表'!B22&lt;=1,C5*F22*'数据-取费表'!B23,C5*(POWER((1+F22),'数据-取费表'!B23)-1)),0)</f>
        <v>34054</v>
      </c>
      <c r="D23" s="279"/>
      <c r="E23" s="279"/>
      <c r="F23" s="280"/>
      <c r="G23" s="281" t="s">
        <v>2347</v>
      </c>
    </row>
    <row r="24" spans="1:7" s="255" customFormat="1" ht="13.5" customHeight="1">
      <c r="A24" s="946" t="s">
        <v>2348</v>
      </c>
      <c r="B24" s="256" t="s">
        <v>2349</v>
      </c>
      <c r="C24" s="1349">
        <f ca="1">ROUND(IF('数据-取费表'!B22&lt;=1,C19*F22*('数据-取费表'!B19/2+'数据-取费表'!B21),C19*(POWER((1+F22),('数据-取费表'!B19/2+'数据-取费表'!B21))-1)),0)</f>
        <v>0</v>
      </c>
      <c r="D24" s="279"/>
      <c r="E24" s="279"/>
      <c r="F24" s="280"/>
      <c r="G24" s="281" t="s">
        <v>2350</v>
      </c>
    </row>
    <row r="25" spans="1:7" s="255" customFormat="1" ht="24">
      <c r="A25" s="946" t="s">
        <v>2351</v>
      </c>
      <c r="B25" s="256" t="s">
        <v>2352</v>
      </c>
      <c r="C25" s="1349">
        <f ca="1">ROUND(IF('数据-取费表'!B22&lt;=1,C20*F22*'数据-取费表'!B23/2,C20*(POWER((1+F22),'数据-取费表'!B23/2)-1)),0)</f>
        <v>166</v>
      </c>
      <c r="D25" s="279"/>
      <c r="E25" s="282"/>
      <c r="F25" s="280"/>
      <c r="G25" s="283" t="s">
        <v>2353</v>
      </c>
    </row>
    <row r="26" spans="1:7" s="255" customFormat="1">
      <c r="A26" s="946" t="s">
        <v>795</v>
      </c>
      <c r="B26" s="256" t="s">
        <v>2354</v>
      </c>
      <c r="C26" s="279">
        <f ca="1">ROUND(IF('数据-取费表'!B22&lt;=1,F21*F22*'数据-取费表'!B23/2,F21*(POWER((1+F22),'数据-取费表'!B23/2)-1)),4)</f>
        <v>5.0000000000000001E-4</v>
      </c>
      <c r="D26" s="279"/>
      <c r="E26" s="282"/>
      <c r="F26" s="280"/>
      <c r="G26" s="284"/>
    </row>
    <row r="27" spans="1:7" s="255" customFormat="1" ht="24.75">
      <c r="A27" s="296" t="s">
        <v>2355</v>
      </c>
      <c r="B27" s="285" t="s">
        <v>2356</v>
      </c>
      <c r="C27" s="286">
        <f ca="1">C28</f>
        <v>35365</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ROUND((C5+C19+C20)*F27*'数据-取费表'!B21/'数据-取费表'!B20,0)</f>
        <v>35365</v>
      </c>
      <c r="D28" s="276"/>
      <c r="E28" s="277"/>
      <c r="F28" s="287"/>
      <c r="G28" s="288"/>
    </row>
    <row r="29" spans="1:7" s="255" customFormat="1" ht="13.5" customHeight="1">
      <c r="A29" s="946" t="s">
        <v>792</v>
      </c>
      <c r="B29" s="289" t="s">
        <v>2360</v>
      </c>
      <c r="C29" s="279">
        <f ca="1">ROUND(C21*F27*'数据-取费表'!B21/'数据-取费表'!B20,4)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452556</v>
      </c>
      <c r="D31" s="271"/>
      <c r="E31" s="252"/>
      <c r="F31" s="291"/>
      <c r="G31" s="275" t="s">
        <v>2365</v>
      </c>
    </row>
    <row r="32" spans="1:7" s="249" customFormat="1" ht="15.75">
      <c r="A32" s="293" t="s">
        <v>2366</v>
      </c>
      <c r="B32" s="294"/>
      <c r="C32" s="294"/>
      <c r="D32" s="294"/>
      <c r="E32" s="294"/>
      <c r="F32" s="294"/>
      <c r="G32" s="295"/>
    </row>
    <row r="33" spans="1:7" s="255" customFormat="1" ht="13.5" customHeight="1">
      <c r="A33" s="296" t="s">
        <v>782</v>
      </c>
      <c r="B33" s="251" t="s">
        <v>2367</v>
      </c>
      <c r="C33" s="297">
        <f ca="1">SUM(C34:C38)</f>
        <v>59239</v>
      </c>
      <c r="D33" s="273"/>
      <c r="E33" s="253"/>
      <c r="F33" s="282"/>
      <c r="G33" s="275"/>
    </row>
    <row r="34" spans="1:7" s="299" customFormat="1" ht="13.5" customHeight="1">
      <c r="A34" s="946" t="s">
        <v>791</v>
      </c>
      <c r="B34" s="256" t="s">
        <v>2368</v>
      </c>
      <c r="C34" s="261">
        <f ca="1">IF(B1="",IF(F34=100%,'数据-取费表'!M16,'数据-取费表'!O16),IF(F34=100%,INDIRECT("'数据-取费表'!m"&amp;$G$1)+INDIRECT("'数据-取费表'!t"&amp;$G$1),INDIRECT("'数据-取费表'!o"&amp;$G$1)+INDIRECT("'数据-取费表'!aq"&amp;$G$1)))</f>
        <v>53028</v>
      </c>
      <c r="D34" s="258"/>
      <c r="E34" s="261"/>
      <c r="F34" s="298">
        <f ca="1">IF('数据-取费表'!B24=0,1,IF(B1="",'数据-取费表'!N16,INDIRECT("'数据-取费表'!n"&amp;$G$1)))</f>
        <v>1</v>
      </c>
      <c r="G34" s="260" t="s">
        <v>2369</v>
      </c>
    </row>
    <row r="35" spans="1:7" ht="13.5" customHeight="1">
      <c r="A35" s="946" t="s">
        <v>796</v>
      </c>
      <c r="B35" s="256" t="s">
        <v>2370</v>
      </c>
      <c r="C35" s="261">
        <f ca="1">ROUND(C34*F35,0)</f>
        <v>2651</v>
      </c>
      <c r="D35" s="261"/>
      <c r="E35" s="261"/>
      <c r="F35" s="300">
        <f>'数据-取费表'!B33</f>
        <v>0.05</v>
      </c>
      <c r="G35" s="260" t="s">
        <v>2371</v>
      </c>
    </row>
    <row r="36" spans="1:7" ht="24">
      <c r="A36" s="946" t="s">
        <v>797</v>
      </c>
      <c r="B36" s="256" t="s">
        <v>2372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2373</v>
      </c>
    </row>
    <row r="37" spans="1:7" s="299" customFormat="1" ht="13.5" customHeight="1">
      <c r="A37" s="946" t="s">
        <v>798</v>
      </c>
      <c r="B37" s="256" t="s">
        <v>2374</v>
      </c>
      <c r="C37" s="290">
        <f ca="1">ROUND(E37*D37*F34/10000,0)</f>
        <v>2765</v>
      </c>
      <c r="D37" s="258">
        <f ca="1">D19</f>
        <v>138263.03999999998</v>
      </c>
      <c r="E37" s="290">
        <f>'数据-取费表'!B35</f>
        <v>200</v>
      </c>
      <c r="F37" s="300"/>
      <c r="G37" s="302" t="s">
        <v>2375</v>
      </c>
    </row>
    <row r="38" spans="1:7" ht="13.5" customHeight="1">
      <c r="A38" s="946" t="s">
        <v>799</v>
      </c>
      <c r="B38" s="256" t="s">
        <v>2376</v>
      </c>
      <c r="C38" s="261">
        <f ca="1">ROUND(C34*F38,0)</f>
        <v>795</v>
      </c>
      <c r="D38" s="261"/>
      <c r="E38" s="261"/>
      <c r="F38" s="300">
        <f>'数据-取费表'!B36</f>
        <v>1.4999999999999999E-2</v>
      </c>
      <c r="G38" s="260" t="s">
        <v>2371</v>
      </c>
    </row>
    <row r="39" spans="1:7" s="255" customFormat="1" ht="13.5" customHeight="1">
      <c r="A39" s="296" t="s">
        <v>2377</v>
      </c>
      <c r="B39" s="251" t="s">
        <v>2378</v>
      </c>
      <c r="C39" s="273">
        <f ca="1">ROUND(C33*F20,0)</f>
        <v>592</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ROUND(IF('数据-取费表'!B22&lt;=1,C33*F22*'数据-取费表'!B21/2,C33*(POWER((1+F22),'数据-取费表'!B21/2)-1)),0)</f>
        <v>2814</v>
      </c>
      <c r="D42" s="279"/>
      <c r="E42" s="279"/>
      <c r="F42" s="280"/>
      <c r="G42" s="3215" t="s">
        <v>2387</v>
      </c>
    </row>
    <row r="43" spans="1:7" ht="13.5" customHeight="1">
      <c r="A43" s="946" t="s">
        <v>792</v>
      </c>
      <c r="B43" s="256" t="s">
        <v>2388</v>
      </c>
      <c r="C43" s="279">
        <f ca="1">ROUND(IF('数据-取费表'!B22&lt;=1,C39*F22*'数据-取费表'!B21/2,C39*(POWER((1+F22),'数据-取费表'!B21/2)-1)),0)</f>
        <v>28</v>
      </c>
      <c r="D43" s="279"/>
      <c r="E43" s="279"/>
      <c r="F43" s="280"/>
      <c r="G43" s="3216"/>
    </row>
    <row r="44" spans="1:7" ht="13.5" customHeight="1">
      <c r="A44" s="946" t="s">
        <v>793</v>
      </c>
      <c r="B44" s="256" t="s">
        <v>2389</v>
      </c>
      <c r="C44" s="279">
        <f ca="1">ROUND(IF('数据-取费表'!B22&lt;=1,C40*F22*'数据-取费表'!B21/2,C40*(POWER((1+F22),'数据-取费表'!B21/2)-1)),4)</f>
        <v>5.0000000000000001E-4</v>
      </c>
      <c r="D44" s="279"/>
      <c r="E44" s="279"/>
      <c r="F44" s="280"/>
      <c r="G44" s="3217"/>
    </row>
    <row r="45" spans="1:7" s="255" customFormat="1" ht="13.5" customHeight="1">
      <c r="A45" s="296" t="s">
        <v>2390</v>
      </c>
      <c r="B45" s="285" t="s">
        <v>2356</v>
      </c>
      <c r="C45" s="286">
        <f ca="1">C46</f>
        <v>5983</v>
      </c>
      <c r="D45" s="276">
        <f ca="1">C47</f>
        <v>1E-3</v>
      </c>
      <c r="E45" s="277" t="s">
        <v>2382</v>
      </c>
      <c r="F45" s="287"/>
      <c r="G45" s="288" t="s">
        <v>2391</v>
      </c>
    </row>
    <row r="46" spans="1:7" s="255" customFormat="1" ht="13.5" customHeight="1">
      <c r="A46" s="946" t="s">
        <v>791</v>
      </c>
      <c r="B46" s="289" t="s">
        <v>2392</v>
      </c>
      <c r="C46" s="290">
        <f ca="1">ROUND((C33+C39)*F27,0)</f>
        <v>5983</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1721">
        <f>ROUND(F30/(1+'数据-取费表'!C42),4)</f>
        <v>5.33E-2</v>
      </c>
      <c r="D48" s="277" t="s">
        <v>2382</v>
      </c>
      <c r="E48" s="273"/>
      <c r="F48" s="278"/>
      <c r="G48" s="275" t="s">
        <v>2395</v>
      </c>
    </row>
    <row r="49" spans="1:7" ht="16.5" customHeight="1">
      <c r="A49" s="296" t="s">
        <v>2361</v>
      </c>
      <c r="B49" s="251" t="s">
        <v>2396</v>
      </c>
      <c r="C49" s="273">
        <f ca="1">ROUND((C33+C39+C41+C45)/(1-C40-D41-D45-C48),0)</f>
        <v>73413</v>
      </c>
      <c r="D49" s="273"/>
      <c r="E49" s="273"/>
      <c r="F49" s="305"/>
      <c r="G49" s="275" t="s">
        <v>2397</v>
      </c>
    </row>
    <row r="50" spans="1:7" s="299" customFormat="1" ht="24">
      <c r="A50" s="296" t="s">
        <v>2398</v>
      </c>
      <c r="B50" s="251" t="s">
        <v>2399</v>
      </c>
      <c r="C50" s="273"/>
      <c r="D50" s="273"/>
      <c r="E50" s="273"/>
      <c r="F50" s="305">
        <f>IF('数据-取费表'!B24=0,'数据-取费表'!N16,1)</f>
        <v>0.98</v>
      </c>
      <c r="G50" s="288" t="s">
        <v>2400</v>
      </c>
    </row>
    <row r="51" spans="1:7" ht="16.5" customHeight="1">
      <c r="A51" s="296" t="s">
        <v>2401</v>
      </c>
      <c r="B51" s="251" t="s">
        <v>2402</v>
      </c>
      <c r="C51" s="273">
        <f ca="1">ROUND(C49*F50,0)</f>
        <v>71945</v>
      </c>
      <c r="D51" s="273"/>
      <c r="E51" s="273"/>
      <c r="F51" s="305"/>
      <c r="G51" s="275" t="s">
        <v>2403</v>
      </c>
    </row>
    <row r="52" spans="1:7" s="249" customFormat="1" ht="16.5" thickBot="1">
      <c r="A52" s="306" t="s">
        <v>2404</v>
      </c>
      <c r="B52" s="307"/>
      <c r="C52" s="308">
        <f ca="1">C31+C51</f>
        <v>524501</v>
      </c>
      <c r="D52" s="307"/>
      <c r="E52" s="307"/>
      <c r="F52" s="307"/>
      <c r="G52" s="309"/>
    </row>
    <row r="55" spans="1:7" ht="15">
      <c r="B55" s="311" t="s">
        <v>2405</v>
      </c>
      <c r="C55" s="312"/>
    </row>
    <row r="56" spans="1:7">
      <c r="B56" s="314" t="s">
        <v>1513</v>
      </c>
      <c r="C56" s="316">
        <f ca="1">1-C57</f>
        <v>0.86299999999999999</v>
      </c>
    </row>
    <row r="57" spans="1:7">
      <c r="B57" s="314" t="s">
        <v>1514</v>
      </c>
      <c r="C57" s="315">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29" t="str">
        <f>项目基本情况!B1</f>
        <v>北京市丰台区花乡四合庄（中关村科技园丰台园东区三期）1516-12-A地块房地产抵押价值预评估</v>
      </c>
      <c r="C37" s="3029"/>
      <c r="D37" s="3029"/>
      <c r="E37" s="3029"/>
      <c r="F37" s="3029"/>
      <c r="G37" s="3029"/>
      <c r="H37" s="3029"/>
      <c r="I37" s="302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K52" sqref="K52"/>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2722</v>
      </c>
      <c r="B1" s="392"/>
      <c r="C1" s="393" t="s">
        <v>2723</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2305</v>
      </c>
      <c r="B2" s="667">
        <f>F66</f>
        <v>337098</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2307</v>
      </c>
      <c r="B3" s="606">
        <f>ROUND(IF(D3="",B2*10000/'数据-汇总表'!E3,B2*10000/D3),0)</f>
        <v>24381</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3" t="s">
        <v>2626</v>
      </c>
      <c r="AC4" s="3232" t="s">
        <v>2627</v>
      </c>
    </row>
    <row r="5" spans="1:30" ht="47.25" customHeight="1">
      <c r="A5" s="401"/>
      <c r="B5" s="402"/>
      <c r="C5" s="3252" t="s">
        <v>2520</v>
      </c>
      <c r="D5" s="3253"/>
      <c r="E5" s="3259" t="str">
        <f>'土地案例+位置图'!A2</f>
        <v>丰台区丽泽金融商务区南区D-07、D-08地块</v>
      </c>
      <c r="F5" s="3260"/>
      <c r="G5" s="3252" t="str">
        <f>'土地案例+位置图'!A3</f>
        <v>丰台区花乡四合庄(中关村科技园丰台园东区三期)1516-28-B地块</v>
      </c>
      <c r="H5" s="3253"/>
      <c r="I5" s="3252" t="str">
        <f>'土地案例+位置图'!A4</f>
        <v>丰台区花乡四合庄(中关村科技园丰台园东区三期)1516-28-A地块</v>
      </c>
      <c r="J5" s="3253"/>
      <c r="K5" s="607"/>
      <c r="L5" s="1124"/>
      <c r="M5" s="1125"/>
      <c r="N5" s="1125"/>
      <c r="O5" s="1125"/>
      <c r="P5" s="3240"/>
      <c r="Q5" s="3241"/>
      <c r="R5" s="3246"/>
      <c r="S5" s="3247"/>
      <c r="T5" s="3246"/>
      <c r="U5" s="3247"/>
      <c r="V5" s="3231"/>
      <c r="W5" s="3231"/>
      <c r="X5" s="1806"/>
      <c r="Y5" s="3246"/>
      <c r="Z5" s="3247"/>
      <c r="AA5" s="3233"/>
      <c r="AB5" s="3233"/>
      <c r="AC5" s="3233"/>
    </row>
    <row r="6" spans="1:30" ht="15.75" thickBot="1">
      <c r="A6" s="403"/>
      <c r="B6" s="404"/>
      <c r="C6" s="3250" t="s">
        <v>2524</v>
      </c>
      <c r="D6" s="3251"/>
      <c r="E6" s="3257" t="s">
        <v>2524</v>
      </c>
      <c r="F6" s="3258"/>
      <c r="G6" s="3250" t="s">
        <v>2524</v>
      </c>
      <c r="H6" s="3251"/>
      <c r="I6" s="3250" t="s">
        <v>2524</v>
      </c>
      <c r="J6" s="3251"/>
      <c r="K6" s="607" t="s">
        <v>2525</v>
      </c>
      <c r="L6" s="1124"/>
      <c r="M6" s="1125"/>
      <c r="N6" s="1125"/>
      <c r="O6" s="1125"/>
      <c r="P6" s="3242"/>
      <c r="Q6" s="3243"/>
      <c r="R6" s="3246"/>
      <c r="S6" s="3247"/>
      <c r="T6" s="3248"/>
      <c r="U6" s="3249"/>
      <c r="V6" s="3231"/>
      <c r="W6" s="3231"/>
      <c r="X6" s="1806"/>
      <c r="Y6" s="3248"/>
      <c r="Z6" s="3249"/>
      <c r="AA6" s="3234"/>
      <c r="AB6" s="3234"/>
      <c r="AC6" s="3234"/>
    </row>
    <row r="7" spans="1:30" s="117" customFormat="1" ht="15.75" thickBot="1">
      <c r="A7" s="405" t="s">
        <v>2526</v>
      </c>
      <c r="B7" s="406"/>
      <c r="C7" s="407">
        <f>'数据-取费表'!B2</f>
        <v>43363</v>
      </c>
      <c r="D7" s="408">
        <v>100</v>
      </c>
      <c r="E7" s="409" t="str">
        <f>'土地案例+位置图'!AA2</f>
        <v>2017-05-18</v>
      </c>
      <c r="F7" s="410">
        <f>SUMIF(70:70,YEAR(E7)&amp;"-"&amp;INT((MONTH(E7)+2)/3),71:71)</f>
        <v>97.5</v>
      </c>
      <c r="G7" s="2688" t="str">
        <f>'土地案例+位置图'!AA3</f>
        <v>2015-10-21</v>
      </c>
      <c r="H7" s="408">
        <f>SUMIF(70:70,YEAR(G7)&amp;"-"&amp;INT((MONTH(G7)+2)/3),71:71)</f>
        <v>94.5</v>
      </c>
      <c r="I7" s="2688" t="str">
        <f>'土地案例+位置图'!AA4</f>
        <v>2015-10-21</v>
      </c>
      <c r="J7" s="408">
        <f>SUMIF(70:70,YEAR(I7)&amp;"-"&amp;INT((MONTH(I7)+2)/3),71:71)</f>
        <v>94.5</v>
      </c>
      <c r="K7" s="608"/>
      <c r="L7" s="1126"/>
      <c r="M7" s="1127"/>
      <c r="N7" s="1127"/>
      <c r="O7" s="1127"/>
      <c r="P7" s="3254" t="s">
        <v>2527</v>
      </c>
      <c r="Q7" s="3256"/>
      <c r="R7" s="766" t="s">
        <v>17</v>
      </c>
      <c r="S7" s="767">
        <f t="shared" ref="S7:S15" si="0">F7</f>
        <v>97.5</v>
      </c>
      <c r="T7" s="766" t="s">
        <v>17</v>
      </c>
      <c r="U7" s="767">
        <f t="shared" ref="U7:U15" si="1">H7</f>
        <v>94.5</v>
      </c>
      <c r="V7" s="766" t="s">
        <v>17</v>
      </c>
      <c r="W7" s="767">
        <f t="shared" ref="W7:W15" si="2">J7</f>
        <v>94.5</v>
      </c>
      <c r="X7" s="768"/>
      <c r="Y7" s="3254" t="s">
        <v>2527</v>
      </c>
      <c r="Z7" s="3255"/>
      <c r="AA7" s="769">
        <f>D7/F7</f>
        <v>1.0256410256410255</v>
      </c>
      <c r="AB7" s="769">
        <f>D7/H7</f>
        <v>1.0582010582010581</v>
      </c>
      <c r="AC7" s="769">
        <f>D7/J7</f>
        <v>1.0582010582010581</v>
      </c>
    </row>
    <row r="8" spans="1:30" s="117" customFormat="1" ht="15.75" thickBot="1">
      <c r="A8" s="405" t="s">
        <v>2528</v>
      </c>
      <c r="B8" s="406"/>
      <c r="C8" s="411" t="s">
        <v>2529</v>
      </c>
      <c r="D8" s="408">
        <v>100</v>
      </c>
      <c r="E8" s="411" t="s">
        <v>2529</v>
      </c>
      <c r="F8" s="410">
        <f>SUMIF(73:73,E8,74:74)-SUMIF(73:73,C8,74:74)+100</f>
        <v>100</v>
      </c>
      <c r="G8" s="411" t="s">
        <v>2529</v>
      </c>
      <c r="H8" s="408">
        <f>SUMIF(73:73,G8,74:74)-SUMIF(73:73,C8,74:74)+100</f>
        <v>100</v>
      </c>
      <c r="I8" s="411" t="s">
        <v>2529</v>
      </c>
      <c r="J8" s="408">
        <f>SUMIF(73:73,I8,74:74)-SUMIF(73:73,C8,74:74)+100</f>
        <v>100</v>
      </c>
      <c r="K8" s="608"/>
      <c r="L8" s="1126"/>
      <c r="M8" s="1127"/>
      <c r="N8" s="1127"/>
      <c r="O8" s="1127"/>
      <c r="P8" s="3254" t="s">
        <v>2530</v>
      </c>
      <c r="Q8" s="3255"/>
      <c r="R8" s="766" t="s">
        <v>17</v>
      </c>
      <c r="S8" s="767">
        <f t="shared" si="0"/>
        <v>100</v>
      </c>
      <c r="T8" s="766" t="s">
        <v>17</v>
      </c>
      <c r="U8" s="767">
        <f t="shared" si="1"/>
        <v>100</v>
      </c>
      <c r="V8" s="766" t="s">
        <v>17</v>
      </c>
      <c r="W8" s="767">
        <f t="shared" si="2"/>
        <v>100</v>
      </c>
      <c r="X8" s="768"/>
      <c r="Y8" s="3254" t="s">
        <v>2530</v>
      </c>
      <c r="Z8" s="3255"/>
      <c r="AA8" s="769">
        <f t="shared" ref="AA8:AA45" si="3">D8/F8</f>
        <v>1</v>
      </c>
      <c r="AB8" s="769">
        <f t="shared" ref="AB8:AB45" si="4">D8/H8</f>
        <v>1</v>
      </c>
      <c r="AC8" s="769">
        <f t="shared" ref="AC8:AC45" si="5">D8/J8</f>
        <v>1</v>
      </c>
    </row>
    <row r="9" spans="1:30" s="117" customFormat="1">
      <c r="A9" s="412" t="s">
        <v>2531</v>
      </c>
      <c r="B9" s="71" t="s">
        <v>2532</v>
      </c>
      <c r="C9" s="2691" t="s">
        <v>3180</v>
      </c>
      <c r="D9" s="135">
        <v>100</v>
      </c>
      <c r="E9" s="2691" t="s">
        <v>3180</v>
      </c>
      <c r="F9" s="135">
        <f>SUMIF(75:75,E9,76:76)-SUMIF(75:75,C9,76:76)+100</f>
        <v>100</v>
      </c>
      <c r="G9" s="2691" t="s">
        <v>3180</v>
      </c>
      <c r="H9" s="135">
        <f>SUMIF(75:75,G9,76:76)-SUMIF(75:75,C9,76:76)+100</f>
        <v>100</v>
      </c>
      <c r="I9" s="2691" t="s">
        <v>3180</v>
      </c>
      <c r="J9" s="135">
        <f>SUMIF(75:75,I9,76:76)-SUMIF(75:75,C9,76:76)+100</f>
        <v>100</v>
      </c>
      <c r="K9" s="608"/>
      <c r="L9" s="1126"/>
      <c r="M9" s="1127"/>
      <c r="N9" s="1127"/>
      <c r="O9" s="1128"/>
      <c r="P9" s="3225"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769">
        <f t="shared" si="5"/>
        <v>1</v>
      </c>
    </row>
    <row r="10" spans="1:30" s="424" customFormat="1" ht="27">
      <c r="A10" s="418"/>
      <c r="B10" s="419" t="s">
        <v>2535</v>
      </c>
      <c r="C10" s="429" t="str">
        <f>项目基本情况!F16</f>
        <v>37.3、47.3</v>
      </c>
      <c r="D10" s="136">
        <v>100</v>
      </c>
      <c r="E10" s="462" t="s">
        <v>3182</v>
      </c>
      <c r="F10" s="136">
        <f>ROUND(100/'数据-取费表'!G16,0)</f>
        <v>101</v>
      </c>
      <c r="G10" s="462" t="s">
        <v>3182</v>
      </c>
      <c r="H10" s="136">
        <f>ROUND(100/'数据-取费表'!G16,0)</f>
        <v>101</v>
      </c>
      <c r="I10" s="462" t="s">
        <v>3182</v>
      </c>
      <c r="J10" s="136">
        <f>ROUND(100/'数据-取费表'!G16,0)</f>
        <v>101</v>
      </c>
      <c r="K10" s="668"/>
      <c r="L10" s="1129"/>
      <c r="M10" s="1130"/>
      <c r="N10" s="1130"/>
      <c r="O10" s="1131"/>
      <c r="P10" s="3225"/>
      <c r="Q10" s="1788" t="str">
        <f t="shared" si="6"/>
        <v>土地使用年限（年）</v>
      </c>
      <c r="R10" s="766" t="s">
        <v>17</v>
      </c>
      <c r="S10" s="767">
        <f t="shared" si="0"/>
        <v>101</v>
      </c>
      <c r="T10" s="766" t="s">
        <v>17</v>
      </c>
      <c r="U10" s="767">
        <f t="shared" si="1"/>
        <v>101</v>
      </c>
      <c r="V10" s="766" t="s">
        <v>17</v>
      </c>
      <c r="W10" s="767">
        <f t="shared" si="2"/>
        <v>101</v>
      </c>
      <c r="X10" s="768"/>
      <c r="Y10" s="3073"/>
      <c r="Z10" s="55" t="str">
        <f t="shared" si="7"/>
        <v>土地使用年限（年）</v>
      </c>
      <c r="AA10" s="769">
        <f t="shared" si="3"/>
        <v>0.99009900990099009</v>
      </c>
      <c r="AB10" s="769">
        <f t="shared" si="4"/>
        <v>0.99009900990099009</v>
      </c>
      <c r="AC10" s="769">
        <f t="shared" si="5"/>
        <v>0.99009900990099009</v>
      </c>
    </row>
    <row r="11" spans="1:30" ht="15">
      <c r="A11" s="425"/>
      <c r="B11" s="419" t="s">
        <v>2536</v>
      </c>
      <c r="C11" s="2963">
        <v>4</v>
      </c>
      <c r="D11" s="136">
        <v>100</v>
      </c>
      <c r="E11" s="426">
        <f>ROUND('土地案例+位置图'!L2,1)</f>
        <v>5.8</v>
      </c>
      <c r="F11" s="136">
        <f>LOOKUP(E11,80:80,81:81)-LOOKUP(C11,80:80,81:81)+100</f>
        <v>99.5</v>
      </c>
      <c r="G11" s="427">
        <f>'土地案例+位置图'!L3</f>
        <v>4</v>
      </c>
      <c r="H11" s="136">
        <f>LOOKUP(G11,80:80,81:81)-LOOKUP(C11,80:80,81:81)+100</f>
        <v>100</v>
      </c>
      <c r="I11" s="426">
        <f>'土地案例+位置图'!L4</f>
        <v>4</v>
      </c>
      <c r="J11" s="136">
        <f>LOOKUP(I11,80:80,81:81)-LOOKUP(C11,80:80,81:81)+100</f>
        <v>100</v>
      </c>
      <c r="K11" s="669">
        <v>0.5</v>
      </c>
      <c r="L11" s="1132"/>
      <c r="M11" s="1125"/>
      <c r="N11" s="1125"/>
      <c r="O11" s="1133"/>
      <c r="P11" s="3225"/>
      <c r="Q11" s="1788" t="str">
        <f t="shared" si="6"/>
        <v>容积率</v>
      </c>
      <c r="R11" s="766" t="s">
        <v>17</v>
      </c>
      <c r="S11" s="767">
        <f t="shared" si="0"/>
        <v>99.5</v>
      </c>
      <c r="T11" s="766" t="s">
        <v>17</v>
      </c>
      <c r="U11" s="767">
        <f t="shared" si="1"/>
        <v>100</v>
      </c>
      <c r="V11" s="766" t="s">
        <v>17</v>
      </c>
      <c r="W11" s="767">
        <f t="shared" si="2"/>
        <v>100</v>
      </c>
      <c r="X11" s="768"/>
      <c r="Y11" s="3073"/>
      <c r="Z11" s="55" t="str">
        <f t="shared" si="7"/>
        <v>容积率</v>
      </c>
      <c r="AA11" s="769">
        <f t="shared" si="3"/>
        <v>1.0050251256281406</v>
      </c>
      <c r="AB11" s="769">
        <f t="shared" si="4"/>
        <v>1</v>
      </c>
      <c r="AC11" s="769">
        <f t="shared" si="5"/>
        <v>1</v>
      </c>
    </row>
    <row r="12" spans="1:30" s="117" customFormat="1" ht="15">
      <c r="A12" s="428"/>
      <c r="B12" s="2592" t="s">
        <v>2725</v>
      </c>
      <c r="C12" s="2964" t="s">
        <v>3184</v>
      </c>
      <c r="D12" s="430">
        <v>100</v>
      </c>
      <c r="E12" s="2964" t="s">
        <v>3184</v>
      </c>
      <c r="F12" s="136">
        <f>SUMIF(82:82,E12,83:83)-SUMIF(82:82,C12,83:83)+100</f>
        <v>100</v>
      </c>
      <c r="G12" s="2964" t="s">
        <v>3184</v>
      </c>
      <c r="H12" s="136">
        <f>SUMIF(82:82,G12,83:83)-SUMIF(82:82,C12,83:83)+100</f>
        <v>100</v>
      </c>
      <c r="I12" s="2964" t="s">
        <v>3184</v>
      </c>
      <c r="J12" s="136">
        <f>SUMIF(82:82,I12,83:83)-SUMIF(82:82,C12,83:83)+100</f>
        <v>100</v>
      </c>
      <c r="K12" s="668"/>
      <c r="L12" s="1126"/>
      <c r="M12" s="1127"/>
      <c r="N12" s="1127"/>
      <c r="O12" s="1128"/>
      <c r="P12" s="3225"/>
      <c r="Q12" s="1788" t="str">
        <f t="shared" si="6"/>
        <v>配建</v>
      </c>
      <c r="R12" s="766" t="s">
        <v>17</v>
      </c>
      <c r="S12" s="767">
        <f t="shared" si="0"/>
        <v>100</v>
      </c>
      <c r="T12" s="766" t="s">
        <v>17</v>
      </c>
      <c r="U12" s="767">
        <f t="shared" si="1"/>
        <v>100</v>
      </c>
      <c r="V12" s="766" t="s">
        <v>17</v>
      </c>
      <c r="W12" s="767">
        <f t="shared" si="2"/>
        <v>100</v>
      </c>
      <c r="X12" s="768"/>
      <c r="Y12" s="3073"/>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25"/>
      <c r="Q13" s="1788">
        <f t="shared" si="6"/>
        <v>111</v>
      </c>
      <c r="R13" s="766" t="s">
        <v>17</v>
      </c>
      <c r="S13" s="767">
        <f t="shared" si="0"/>
        <v>100</v>
      </c>
      <c r="T13" s="766" t="s">
        <v>17</v>
      </c>
      <c r="U13" s="767">
        <f t="shared" si="1"/>
        <v>100</v>
      </c>
      <c r="V13" s="766" t="s">
        <v>17</v>
      </c>
      <c r="W13" s="767">
        <f t="shared" si="2"/>
        <v>100</v>
      </c>
      <c r="X13" s="768"/>
      <c r="Y13" s="3073"/>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25"/>
      <c r="Q14" s="1788">
        <f t="shared" si="6"/>
        <v>111</v>
      </c>
      <c r="R14" s="766" t="s">
        <v>17</v>
      </c>
      <c r="S14" s="767">
        <f t="shared" si="0"/>
        <v>100</v>
      </c>
      <c r="T14" s="766" t="s">
        <v>17</v>
      </c>
      <c r="U14" s="767">
        <f t="shared" si="1"/>
        <v>100</v>
      </c>
      <c r="V14" s="766" t="s">
        <v>17</v>
      </c>
      <c r="W14" s="767">
        <f t="shared" si="2"/>
        <v>100</v>
      </c>
      <c r="X14" s="768"/>
      <c r="Y14" s="3073"/>
      <c r="Z14" s="55">
        <f t="shared" si="7"/>
        <v>111</v>
      </c>
      <c r="AA14" s="769">
        <f>D14/F14</f>
        <v>1</v>
      </c>
      <c r="AB14" s="769">
        <f>D14/H14</f>
        <v>1</v>
      </c>
      <c r="AC14" s="769">
        <f>D14/J14</f>
        <v>1</v>
      </c>
    </row>
    <row r="15" spans="1:30" ht="15" hidden="1">
      <c r="A15" s="437" t="s">
        <v>2537</v>
      </c>
      <c r="B15" s="69" t="s">
        <v>2083</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27" t="s">
        <v>2538</v>
      </c>
      <c r="Q15" s="1803" t="str">
        <f t="shared" si="6"/>
        <v>居住社区成熟度</v>
      </c>
      <c r="R15" s="770" t="s">
        <v>17</v>
      </c>
      <c r="S15" s="771">
        <f t="shared" si="0"/>
        <v>100</v>
      </c>
      <c r="T15" s="770" t="s">
        <v>17</v>
      </c>
      <c r="U15" s="771">
        <f t="shared" si="1"/>
        <v>100</v>
      </c>
      <c r="V15" s="770" t="s">
        <v>17</v>
      </c>
      <c r="W15" s="771">
        <f t="shared" si="2"/>
        <v>100</v>
      </c>
      <c r="X15" s="1806"/>
      <c r="Y15" s="3227" t="s">
        <v>2538</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28"/>
      <c r="Q16" s="1803"/>
      <c r="R16" s="770"/>
      <c r="S16" s="771"/>
      <c r="T16" s="770"/>
      <c r="U16" s="771"/>
      <c r="V16" s="770"/>
      <c r="W16" s="771"/>
      <c r="X16" s="1806"/>
      <c r="Y16" s="3228"/>
      <c r="Z16" s="1807"/>
      <c r="AA16" s="1804">
        <v>1</v>
      </c>
      <c r="AB16" s="1804">
        <v>1</v>
      </c>
      <c r="AC16" s="1804">
        <v>1</v>
      </c>
    </row>
    <row r="17" spans="1:29" ht="15">
      <c r="A17" s="425"/>
      <c r="B17" s="448" t="s">
        <v>2631</v>
      </c>
      <c r="C17" s="2656" t="str">
        <f>估价对象房地状况!C16</f>
        <v>较好</v>
      </c>
      <c r="D17" s="447">
        <v>100</v>
      </c>
      <c r="E17" s="2977" t="s">
        <v>3321</v>
      </c>
      <c r="F17" s="447">
        <f>SUMIF(90:90,E18,91:91)-SUMIF(90:90,C18,91:91)+100</f>
        <v>100</v>
      </c>
      <c r="G17" s="2977" t="s">
        <v>3321</v>
      </c>
      <c r="H17" s="452">
        <f>SUMIF(90:90,G18,91:91)-SUMIF(90:90,C18,91:91)+100</f>
        <v>100</v>
      </c>
      <c r="I17" s="2977" t="s">
        <v>3321</v>
      </c>
      <c r="J17" s="452">
        <f>SUMIF(90:90,I18,91:91)-SUMIF(90:90,C18,91:91)+100</f>
        <v>100</v>
      </c>
      <c r="K17" s="669">
        <v>2</v>
      </c>
      <c r="L17" s="1134"/>
      <c r="M17" s="1125"/>
      <c r="N17" s="1125"/>
      <c r="O17" s="1133"/>
      <c r="P17" s="3228"/>
      <c r="Q17" s="1803" t="str">
        <f>B17</f>
        <v>商业繁华度</v>
      </c>
      <c r="R17" s="770" t="s">
        <v>17</v>
      </c>
      <c r="S17" s="771">
        <f>F17</f>
        <v>100</v>
      </c>
      <c r="T17" s="770" t="s">
        <v>17</v>
      </c>
      <c r="U17" s="771">
        <f>H17</f>
        <v>100</v>
      </c>
      <c r="V17" s="770" t="s">
        <v>17</v>
      </c>
      <c r="W17" s="771">
        <f>J17</f>
        <v>100</v>
      </c>
      <c r="X17" s="1806"/>
      <c r="Y17" s="3228"/>
      <c r="Z17" s="1807" t="str">
        <f>Q17</f>
        <v>商业繁华度</v>
      </c>
      <c r="AA17" s="1804">
        <f t="shared" si="3"/>
        <v>1</v>
      </c>
      <c r="AB17" s="1804">
        <f t="shared" si="4"/>
        <v>1</v>
      </c>
      <c r="AC17" s="1804">
        <f t="shared" si="5"/>
        <v>1</v>
      </c>
    </row>
    <row r="18" spans="1:29" ht="15">
      <c r="A18" s="425"/>
      <c r="B18" s="453"/>
      <c r="C18" s="2600" t="s">
        <v>3066</v>
      </c>
      <c r="D18" s="447"/>
      <c r="E18" s="2600" t="s">
        <v>3066</v>
      </c>
      <c r="F18" s="447"/>
      <c r="G18" s="2600" t="s">
        <v>3066</v>
      </c>
      <c r="H18" s="445"/>
      <c r="I18" s="2600" t="s">
        <v>3066</v>
      </c>
      <c r="J18" s="445"/>
      <c r="K18" s="668"/>
      <c r="L18" s="1134"/>
      <c r="M18" s="1125"/>
      <c r="N18" s="1125"/>
      <c r="O18" s="1133"/>
      <c r="P18" s="3228"/>
      <c r="Q18" s="1803"/>
      <c r="R18" s="770"/>
      <c r="S18" s="771"/>
      <c r="T18" s="770"/>
      <c r="U18" s="771"/>
      <c r="V18" s="770"/>
      <c r="W18" s="771"/>
      <c r="X18" s="1806"/>
      <c r="Y18" s="3228"/>
      <c r="Z18" s="1807"/>
      <c r="AA18" s="1804">
        <v>1</v>
      </c>
      <c r="AB18" s="1804">
        <v>1</v>
      </c>
      <c r="AC18" s="1804">
        <v>1</v>
      </c>
    </row>
    <row r="19" spans="1:29" ht="15">
      <c r="A19" s="425"/>
      <c r="B19" s="448" t="s">
        <v>2665</v>
      </c>
      <c r="C19" s="2656" t="str">
        <f>估价对象房地状况!C17</f>
        <v>较好</v>
      </c>
      <c r="D19" s="452">
        <v>100</v>
      </c>
      <c r="E19" s="2977" t="s">
        <v>3321</v>
      </c>
      <c r="F19" s="452">
        <f>SUMIF(92:92,E20,93:93)-SUMIF(92:92,C20,93:93)+100</f>
        <v>100</v>
      </c>
      <c r="G19" s="2977" t="s">
        <v>3321</v>
      </c>
      <c r="H19" s="447">
        <f>SUMIF(92:92,G20,93:93)-SUMIF(92:92,C20,93:93)+100</f>
        <v>100</v>
      </c>
      <c r="I19" s="2977" t="s">
        <v>3321</v>
      </c>
      <c r="J19" s="447">
        <f>SUMIF(92:92,I20,93:93)-SUMIF(92:92,C20,93:93)+100</f>
        <v>100</v>
      </c>
      <c r="K19" s="669">
        <v>2</v>
      </c>
      <c r="L19" s="1134"/>
      <c r="M19" s="1125"/>
      <c r="N19" s="1125"/>
      <c r="O19" s="1133"/>
      <c r="P19" s="3228"/>
      <c r="Q19" s="1803" t="str">
        <f>B19</f>
        <v>办公集聚程度</v>
      </c>
      <c r="R19" s="770" t="s">
        <v>17</v>
      </c>
      <c r="S19" s="771">
        <f>F19</f>
        <v>100</v>
      </c>
      <c r="T19" s="770" t="s">
        <v>17</v>
      </c>
      <c r="U19" s="771">
        <f>H19</f>
        <v>100</v>
      </c>
      <c r="V19" s="770" t="s">
        <v>17</v>
      </c>
      <c r="W19" s="771">
        <f>J19</f>
        <v>100</v>
      </c>
      <c r="X19" s="1806"/>
      <c r="Y19" s="3228"/>
      <c r="Z19" s="1807" t="str">
        <f>Q19</f>
        <v>办公集聚程度</v>
      </c>
      <c r="AA19" s="1804">
        <f t="shared" si="3"/>
        <v>1</v>
      </c>
      <c r="AB19" s="1804">
        <f t="shared" si="4"/>
        <v>1</v>
      </c>
      <c r="AC19" s="1804">
        <f t="shared" si="5"/>
        <v>1</v>
      </c>
    </row>
    <row r="20" spans="1:29" ht="15">
      <c r="A20" s="425"/>
      <c r="B20" s="453"/>
      <c r="C20" s="2600" t="s">
        <v>3066</v>
      </c>
      <c r="D20" s="445"/>
      <c r="E20" s="2600" t="s">
        <v>3066</v>
      </c>
      <c r="F20" s="445"/>
      <c r="G20" s="2600" t="s">
        <v>3066</v>
      </c>
      <c r="H20" s="445"/>
      <c r="I20" s="2600" t="s">
        <v>3066</v>
      </c>
      <c r="J20" s="445"/>
      <c r="K20" s="668"/>
      <c r="L20" s="1134"/>
      <c r="M20" s="1125"/>
      <c r="N20" s="1125"/>
      <c r="O20" s="1133"/>
      <c r="P20" s="3228"/>
      <c r="Q20" s="1803"/>
      <c r="R20" s="770"/>
      <c r="S20" s="771"/>
      <c r="T20" s="770"/>
      <c r="U20" s="771"/>
      <c r="V20" s="770"/>
      <c r="W20" s="771"/>
      <c r="X20" s="1806"/>
      <c r="Y20" s="3228"/>
      <c r="Z20" s="1807"/>
      <c r="AA20" s="1804">
        <v>1</v>
      </c>
      <c r="AB20" s="1804">
        <v>1</v>
      </c>
      <c r="AC20" s="1804">
        <v>1</v>
      </c>
    </row>
    <row r="21" spans="1:29" ht="15">
      <c r="A21" s="425"/>
      <c r="B21" s="448" t="s">
        <v>2687</v>
      </c>
      <c r="C21" s="2599" t="str">
        <f>估价对象房地状况!C18</f>
        <v>较好</v>
      </c>
      <c r="D21" s="447">
        <v>100</v>
      </c>
      <c r="E21" s="2977" t="s">
        <v>3322</v>
      </c>
      <c r="F21" s="452">
        <f>SUMIF(94:94,E22,95:95)-SUMIF(94:94,C22,95:95)+100</f>
        <v>99</v>
      </c>
      <c r="G21" s="2977" t="s">
        <v>3321</v>
      </c>
      <c r="H21" s="447">
        <f>SUMIF(94:94,G22,95:95)-SUMIF(94:94,C22,95:95)+100</f>
        <v>100</v>
      </c>
      <c r="I21" s="2977" t="s">
        <v>3321</v>
      </c>
      <c r="J21" s="447">
        <f>SUMIF(94:94,I22,95:95)-SUMIF(94:94,C22,95:95)+100</f>
        <v>100</v>
      </c>
      <c r="K21" s="669">
        <v>1</v>
      </c>
      <c r="L21" s="1134"/>
      <c r="M21" s="1125"/>
      <c r="N21" s="1125"/>
      <c r="O21" s="1133"/>
      <c r="P21" s="3228"/>
      <c r="Q21" s="1803" t="str">
        <f>B21</f>
        <v>交通便捷度</v>
      </c>
      <c r="R21" s="770" t="s">
        <v>17</v>
      </c>
      <c r="S21" s="771">
        <f>F21</f>
        <v>99</v>
      </c>
      <c r="T21" s="770" t="s">
        <v>17</v>
      </c>
      <c r="U21" s="771">
        <f>H21</f>
        <v>100</v>
      </c>
      <c r="V21" s="770" t="s">
        <v>17</v>
      </c>
      <c r="W21" s="771">
        <f>J21</f>
        <v>100</v>
      </c>
      <c r="X21" s="1806"/>
      <c r="Y21" s="3228"/>
      <c r="Z21" s="1807" t="str">
        <f>Q21</f>
        <v>交通便捷度</v>
      </c>
      <c r="AA21" s="1804">
        <f t="shared" si="3"/>
        <v>1.0101010101010102</v>
      </c>
      <c r="AB21" s="1804">
        <f t="shared" si="4"/>
        <v>1</v>
      </c>
      <c r="AC21" s="1804">
        <f t="shared" si="5"/>
        <v>1</v>
      </c>
    </row>
    <row r="22" spans="1:29" ht="15">
      <c r="A22" s="425"/>
      <c r="B22" s="1378"/>
      <c r="C22" s="444" t="s">
        <v>3066</v>
      </c>
      <c r="D22" s="447"/>
      <c r="E22" s="444" t="s">
        <v>3199</v>
      </c>
      <c r="F22" s="445"/>
      <c r="G22" s="444" t="s">
        <v>3066</v>
      </c>
      <c r="H22" s="445"/>
      <c r="I22" s="444" t="s">
        <v>3066</v>
      </c>
      <c r="J22" s="445"/>
      <c r="K22" s="668"/>
      <c r="L22" s="1134"/>
      <c r="M22" s="1125"/>
      <c r="N22" s="1125"/>
      <c r="O22" s="1133"/>
      <c r="P22" s="3228"/>
      <c r="Q22" s="1803"/>
      <c r="R22" s="770"/>
      <c r="S22" s="771"/>
      <c r="T22" s="770"/>
      <c r="U22" s="771"/>
      <c r="V22" s="770"/>
      <c r="W22" s="771"/>
      <c r="X22" s="1806"/>
      <c r="Y22" s="3228"/>
      <c r="Z22" s="1807"/>
      <c r="AA22" s="1804">
        <v>1</v>
      </c>
      <c r="AB22" s="1804">
        <v>1</v>
      </c>
      <c r="AC22" s="1804">
        <v>1</v>
      </c>
    </row>
    <row r="23" spans="1:29" ht="15">
      <c r="A23" s="401"/>
      <c r="B23" s="448" t="s">
        <v>2726</v>
      </c>
      <c r="C23" s="1383" t="str">
        <f>估价对象房地状况!C19</f>
        <v>较好</v>
      </c>
      <c r="D23" s="452">
        <v>100</v>
      </c>
      <c r="E23" s="2977" t="s">
        <v>3321</v>
      </c>
      <c r="F23" s="452">
        <f>SUMIF(96:96,E24,97:97)-SUMIF(96:96,C24,97:97)+100</f>
        <v>100</v>
      </c>
      <c r="G23" s="2977" t="s">
        <v>3321</v>
      </c>
      <c r="H23" s="452">
        <f>SUMIF(96:96,G24,97:97)-SUMIF(96:96,C24,97:97)+100</f>
        <v>100</v>
      </c>
      <c r="I23" s="2977" t="s">
        <v>3321</v>
      </c>
      <c r="J23" s="452">
        <f>SUMIF(96:96,I24,97:97)-SUMIF(96:96,C24,97:97)+100</f>
        <v>100</v>
      </c>
      <c r="K23" s="669">
        <v>2</v>
      </c>
      <c r="L23" s="1134"/>
      <c r="M23" s="1125"/>
      <c r="N23" s="1125"/>
      <c r="O23" s="1133"/>
      <c r="P23" s="3228"/>
      <c r="Q23" s="1803" t="str">
        <f t="shared" ref="Q23:Q37" si="8">B23</f>
        <v>区域土地利用方向</v>
      </c>
      <c r="R23" s="770" t="s">
        <v>17</v>
      </c>
      <c r="S23" s="771">
        <f>F23</f>
        <v>100</v>
      </c>
      <c r="T23" s="770" t="s">
        <v>17</v>
      </c>
      <c r="U23" s="771">
        <f>H23</f>
        <v>100</v>
      </c>
      <c r="V23" s="770" t="s">
        <v>17</v>
      </c>
      <c r="W23" s="771">
        <f>J23</f>
        <v>100</v>
      </c>
      <c r="X23" s="1806"/>
      <c r="Y23" s="3228"/>
      <c r="Z23" s="1807" t="str">
        <f>Q23</f>
        <v>区域土地利用方向</v>
      </c>
      <c r="AA23" s="1804">
        <f t="shared" si="3"/>
        <v>1</v>
      </c>
      <c r="AB23" s="1804">
        <f t="shared" si="4"/>
        <v>1</v>
      </c>
      <c r="AC23" s="1804">
        <f t="shared" si="5"/>
        <v>1</v>
      </c>
    </row>
    <row r="24" spans="1:29" ht="15">
      <c r="A24" s="401"/>
      <c r="B24" s="453"/>
      <c r="C24" s="613" t="s">
        <v>3066</v>
      </c>
      <c r="D24" s="445"/>
      <c r="E24" s="613" t="s">
        <v>3066</v>
      </c>
      <c r="F24" s="445"/>
      <c r="G24" s="613" t="s">
        <v>3066</v>
      </c>
      <c r="H24" s="445"/>
      <c r="I24" s="613" t="s">
        <v>3066</v>
      </c>
      <c r="J24" s="445"/>
      <c r="K24" s="804"/>
      <c r="L24" s="1134"/>
      <c r="M24" s="1125"/>
      <c r="N24" s="1125"/>
      <c r="O24" s="1133"/>
      <c r="P24" s="3228"/>
      <c r="Q24" s="1803"/>
      <c r="R24" s="770"/>
      <c r="S24" s="771"/>
      <c r="T24" s="770"/>
      <c r="U24" s="771"/>
      <c r="V24" s="770"/>
      <c r="W24" s="771"/>
      <c r="X24" s="1806"/>
      <c r="Y24" s="3228"/>
      <c r="Z24" s="1807"/>
      <c r="AA24" s="1804"/>
      <c r="AB24" s="1804"/>
      <c r="AC24" s="1804"/>
    </row>
    <row r="25" spans="1:29" ht="27">
      <c r="A25" s="401"/>
      <c r="B25" s="1378" t="s">
        <v>2727</v>
      </c>
      <c r="C25" s="2656" t="str">
        <f>估价对象房地状况!C20</f>
        <v>较好</v>
      </c>
      <c r="D25" s="447">
        <v>100</v>
      </c>
      <c r="E25" s="2977" t="s">
        <v>3321</v>
      </c>
      <c r="F25" s="447">
        <f>SUMIF(98:98,E26,99:99)-SUMIF(98:98,C26,99:99)+100</f>
        <v>100</v>
      </c>
      <c r="G25" s="2977" t="s">
        <v>3321</v>
      </c>
      <c r="H25" s="447">
        <f>SUMIF(98:98,G26,99:99)-SUMIF(98:98,C26,99:99)+100</f>
        <v>100</v>
      </c>
      <c r="I25" s="2977" t="s">
        <v>3321</v>
      </c>
      <c r="J25" s="447">
        <f>SUMIF(98:98,I26,99:99)-SUMIF(98:98,C26,99:99)+100</f>
        <v>100</v>
      </c>
      <c r="K25" s="669">
        <v>2</v>
      </c>
      <c r="L25" s="1134"/>
      <c r="M25" s="1125"/>
      <c r="N25" s="1125"/>
      <c r="O25" s="1133"/>
      <c r="P25" s="3228"/>
      <c r="Q25" s="1803" t="str">
        <f t="shared" si="8"/>
        <v>自然及人文环境状况</v>
      </c>
      <c r="R25" s="770" t="s">
        <v>17</v>
      </c>
      <c r="S25" s="771">
        <f>F25</f>
        <v>100</v>
      </c>
      <c r="T25" s="770" t="s">
        <v>17</v>
      </c>
      <c r="U25" s="771">
        <f>H25</f>
        <v>100</v>
      </c>
      <c r="V25" s="770" t="s">
        <v>17</v>
      </c>
      <c r="W25" s="771">
        <f>J25</f>
        <v>100</v>
      </c>
      <c r="X25" s="1806"/>
      <c r="Y25" s="3228"/>
      <c r="Z25" s="1807" t="str">
        <f>Q25</f>
        <v>自然及人文环境状况</v>
      </c>
      <c r="AA25" s="1804">
        <f t="shared" si="3"/>
        <v>1</v>
      </c>
      <c r="AB25" s="1804">
        <f t="shared" si="4"/>
        <v>1</v>
      </c>
      <c r="AC25" s="1804">
        <f t="shared" si="5"/>
        <v>1</v>
      </c>
    </row>
    <row r="26" spans="1:29" ht="15">
      <c r="A26" s="401"/>
      <c r="B26" s="453"/>
      <c r="C26" s="444" t="s">
        <v>3066</v>
      </c>
      <c r="D26" s="445"/>
      <c r="E26" s="444" t="s">
        <v>3066</v>
      </c>
      <c r="F26" s="445"/>
      <c r="G26" s="444" t="s">
        <v>3066</v>
      </c>
      <c r="H26" s="445"/>
      <c r="I26" s="444" t="s">
        <v>3066</v>
      </c>
      <c r="J26" s="445"/>
      <c r="K26" s="668"/>
      <c r="L26" s="1134"/>
      <c r="M26" s="1125"/>
      <c r="N26" s="1125"/>
      <c r="O26" s="1133"/>
      <c r="P26" s="3228"/>
      <c r="Q26" s="1803"/>
      <c r="R26" s="770"/>
      <c r="S26" s="771"/>
      <c r="T26" s="770"/>
      <c r="U26" s="771"/>
      <c r="V26" s="770"/>
      <c r="W26" s="771"/>
      <c r="X26" s="1806"/>
      <c r="Y26" s="3228"/>
      <c r="Z26" s="1807"/>
      <c r="AA26" s="1804">
        <v>1</v>
      </c>
      <c r="AB26" s="1804">
        <v>1</v>
      </c>
      <c r="AC26" s="1804">
        <v>1</v>
      </c>
    </row>
    <row r="27" spans="1:29" s="117" customFormat="1" ht="15">
      <c r="A27" s="645"/>
      <c r="B27" s="1378" t="s">
        <v>2632</v>
      </c>
      <c r="C27" s="2599" t="str">
        <f>估价对象房地状况!C21</f>
        <v>一般</v>
      </c>
      <c r="D27" s="447">
        <v>100</v>
      </c>
      <c r="E27" s="2977" t="s">
        <v>3321</v>
      </c>
      <c r="F27" s="447">
        <f>SUMIF(100:100,E28,101:101)-SUMIF(100:100,C28,101:101)+100</f>
        <v>102</v>
      </c>
      <c r="G27" s="2977" t="s">
        <v>3323</v>
      </c>
      <c r="H27" s="447">
        <f>SUMIF(100:100,G28,101:101)-SUMIF(100:100,C28,101:101)+100</f>
        <v>100</v>
      </c>
      <c r="I27" s="2978" t="s">
        <v>3323</v>
      </c>
      <c r="J27" s="447">
        <f>SUMIF(100:100,I28,101:101)-SUMIF(100:100,C28,101:101)+100</f>
        <v>100</v>
      </c>
      <c r="K27" s="669">
        <v>2</v>
      </c>
      <c r="L27" s="1126"/>
      <c r="M27" s="1127"/>
      <c r="N27" s="1127"/>
      <c r="O27" s="1128"/>
      <c r="P27" s="3228"/>
      <c r="Q27" s="1788" t="str">
        <f t="shared" si="8"/>
        <v>公共配套设施</v>
      </c>
      <c r="R27" s="766" t="s">
        <v>17</v>
      </c>
      <c r="S27" s="767">
        <f>F27</f>
        <v>102</v>
      </c>
      <c r="T27" s="766" t="s">
        <v>17</v>
      </c>
      <c r="U27" s="767">
        <f>H27</f>
        <v>100</v>
      </c>
      <c r="V27" s="766" t="s">
        <v>17</v>
      </c>
      <c r="W27" s="767">
        <f>J27</f>
        <v>100</v>
      </c>
      <c r="X27" s="768"/>
      <c r="Y27" s="3228"/>
      <c r="Z27" s="55" t="str">
        <f>Q27</f>
        <v>公共配套设施</v>
      </c>
      <c r="AA27" s="1804">
        <f>D27/F27</f>
        <v>0.98039215686274506</v>
      </c>
      <c r="AB27" s="1804">
        <f>D27/H27</f>
        <v>1</v>
      </c>
      <c r="AC27" s="1804">
        <f>D27/J27</f>
        <v>1</v>
      </c>
    </row>
    <row r="28" spans="1:29" s="117" customFormat="1" ht="15">
      <c r="A28" s="645"/>
      <c r="B28" s="453"/>
      <c r="C28" s="2692" t="s">
        <v>3199</v>
      </c>
      <c r="D28" s="445"/>
      <c r="E28" s="2692" t="s">
        <v>3066</v>
      </c>
      <c r="F28" s="445"/>
      <c r="G28" s="2692" t="s">
        <v>3199</v>
      </c>
      <c r="H28" s="445"/>
      <c r="I28" s="2692" t="s">
        <v>3199</v>
      </c>
      <c r="J28" s="445"/>
      <c r="K28" s="668"/>
      <c r="L28" s="1126"/>
      <c r="M28" s="1127"/>
      <c r="N28" s="1127"/>
      <c r="O28" s="1128"/>
      <c r="P28" s="3228"/>
      <c r="Q28" s="1788"/>
      <c r="R28" s="766"/>
      <c r="S28" s="767"/>
      <c r="T28" s="766"/>
      <c r="U28" s="767"/>
      <c r="V28" s="766"/>
      <c r="W28" s="767"/>
      <c r="X28" s="768"/>
      <c r="Y28" s="3228"/>
      <c r="Z28" s="55"/>
      <c r="AA28" s="1804">
        <v>1</v>
      </c>
      <c r="AB28" s="1804">
        <v>1</v>
      </c>
      <c r="AC28" s="1804">
        <v>1</v>
      </c>
    </row>
    <row r="29" spans="1:29" s="117" customFormat="1" ht="15">
      <c r="A29" s="645"/>
      <c r="B29" s="1378" t="s">
        <v>2633</v>
      </c>
      <c r="C29" s="2599" t="str">
        <f>估价对象房地状况!C22</f>
        <v>七通</v>
      </c>
      <c r="D29" s="447">
        <v>100</v>
      </c>
      <c r="E29" s="2977" t="s">
        <v>3324</v>
      </c>
      <c r="F29" s="447">
        <f>SUMIF(102:102,E30,103:103)-SUMIF(102:102,C30,103:103)+100</f>
        <v>100</v>
      </c>
      <c r="G29" s="2977" t="s">
        <v>3324</v>
      </c>
      <c r="H29" s="447">
        <f>SUMIF(102:102,G30,103:103)-SUMIF(102:102,C30,103:103)+100</f>
        <v>100</v>
      </c>
      <c r="I29" s="2977" t="s">
        <v>3324</v>
      </c>
      <c r="J29" s="447">
        <f>SUMIF(102:102,I30,103:103)-SUMIF(102:102,C30,103:103)+100</f>
        <v>100</v>
      </c>
      <c r="K29" s="669">
        <v>0.5</v>
      </c>
      <c r="L29" s="1126"/>
      <c r="M29" s="1127"/>
      <c r="N29" s="1127"/>
      <c r="O29" s="1128"/>
      <c r="P29" s="3228"/>
      <c r="Q29" s="1788" t="str">
        <f t="shared" ref="Q29" si="9">B29</f>
        <v>基础设施水平</v>
      </c>
      <c r="R29" s="766" t="s">
        <v>17</v>
      </c>
      <c r="S29" s="767">
        <f>F29</f>
        <v>100</v>
      </c>
      <c r="T29" s="766" t="s">
        <v>17</v>
      </c>
      <c r="U29" s="767">
        <f>H29</f>
        <v>100</v>
      </c>
      <c r="V29" s="766" t="s">
        <v>17</v>
      </c>
      <c r="W29" s="767">
        <f>J29</f>
        <v>100</v>
      </c>
      <c r="X29" s="768"/>
      <c r="Y29" s="3228"/>
      <c r="Z29" s="55" t="str">
        <f>Q29</f>
        <v>基础设施水平</v>
      </c>
      <c r="AA29" s="1804">
        <f>D29/F29</f>
        <v>1</v>
      </c>
      <c r="AB29" s="1804">
        <f>D29/H29</f>
        <v>1</v>
      </c>
      <c r="AC29" s="1804">
        <f>D29/J29</f>
        <v>1</v>
      </c>
    </row>
    <row r="30" spans="1:29" s="117" customFormat="1" ht="15">
      <c r="A30" s="645"/>
      <c r="B30" s="453"/>
      <c r="C30" s="2692" t="s">
        <v>3070</v>
      </c>
      <c r="D30" s="445"/>
      <c r="E30" s="2692" t="s">
        <v>3070</v>
      </c>
      <c r="F30" s="445"/>
      <c r="G30" s="2692" t="s">
        <v>3070</v>
      </c>
      <c r="H30" s="445"/>
      <c r="I30" s="2692" t="s">
        <v>3070</v>
      </c>
      <c r="J30" s="445"/>
      <c r="K30" s="668"/>
      <c r="L30" s="1126"/>
      <c r="M30" s="1127"/>
      <c r="N30" s="1127"/>
      <c r="O30" s="1128"/>
      <c r="P30" s="3228"/>
      <c r="Q30" s="1788"/>
      <c r="R30" s="766"/>
      <c r="S30" s="767"/>
      <c r="T30" s="766"/>
      <c r="U30" s="767"/>
      <c r="V30" s="766"/>
      <c r="W30" s="767"/>
      <c r="X30" s="768"/>
      <c r="Y30" s="3228"/>
      <c r="Z30" s="55"/>
      <c r="AA30" s="1804">
        <v>1</v>
      </c>
      <c r="AB30" s="1804">
        <v>1</v>
      </c>
      <c r="AC30" s="1804">
        <v>1</v>
      </c>
    </row>
    <row r="31" spans="1:29" ht="15">
      <c r="A31" s="425"/>
      <c r="B31" s="453" t="s">
        <v>2634</v>
      </c>
      <c r="C31" s="613" t="s">
        <v>3073</v>
      </c>
      <c r="D31" s="432">
        <v>100</v>
      </c>
      <c r="E31" s="630" t="s">
        <v>3073</v>
      </c>
      <c r="F31" s="432">
        <f>SUMIF(104:104,E31,105:105)-SUMIF(104:104,C31,105:105)+100</f>
        <v>100</v>
      </c>
      <c r="G31" s="630" t="s">
        <v>3073</v>
      </c>
      <c r="H31" s="432">
        <f>SUMIF(104:104,G31,105:105)-SUMIF(104:104,C31,105:105)+100</f>
        <v>100</v>
      </c>
      <c r="I31" s="630" t="s">
        <v>3073</v>
      </c>
      <c r="J31" s="432">
        <f>SUMIF(104:104,I31,105:105)-SUMIF(104:104,C31,105:105)+100</f>
        <v>100</v>
      </c>
      <c r="K31" s="669">
        <v>2</v>
      </c>
      <c r="L31" s="1134"/>
      <c r="M31" s="1125"/>
      <c r="N31" s="1125"/>
      <c r="O31" s="1133"/>
      <c r="P31" s="3228"/>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28"/>
      <c r="Z31" s="1807" t="str">
        <f t="shared" ref="Z31:Z45" si="13">Q31</f>
        <v>临街状况</v>
      </c>
      <c r="AA31" s="1804">
        <f t="shared" si="3"/>
        <v>1</v>
      </c>
      <c r="AB31" s="1804">
        <f t="shared" si="4"/>
        <v>1</v>
      </c>
      <c r="AC31" s="1804">
        <f t="shared" si="5"/>
        <v>1</v>
      </c>
    </row>
    <row r="32" spans="1:29" ht="27">
      <c r="A32" s="425"/>
      <c r="B32" s="1378" t="s">
        <v>2669</v>
      </c>
      <c r="C32" s="2978" t="s">
        <v>3252</v>
      </c>
      <c r="D32" s="447">
        <v>100</v>
      </c>
      <c r="E32" s="2977" t="s">
        <v>3338</v>
      </c>
      <c r="F32" s="447">
        <f>SUMIF(106:106,E33,107:107)-SUMIF(106:106,C33,107:107)+100</f>
        <v>99</v>
      </c>
      <c r="G32" s="2977" t="s">
        <v>3251</v>
      </c>
      <c r="H32" s="447">
        <f>SUMIF(106:106,G33,107:107)-SUMIF(106:106,C33,107:107)+100</f>
        <v>99</v>
      </c>
      <c r="I32" s="2978" t="s">
        <v>3251</v>
      </c>
      <c r="J32" s="447">
        <f>SUMIF(106:106,I33,107:107)-SUMIF(106:106,C33,107:107)+100</f>
        <v>99</v>
      </c>
      <c r="K32" s="669">
        <v>0.5</v>
      </c>
      <c r="L32" s="1134"/>
      <c r="M32" s="1125"/>
      <c r="N32" s="1125"/>
      <c r="O32" s="1133"/>
      <c r="P32" s="3228"/>
      <c r="Q32" s="1803" t="str">
        <f t="shared" si="8"/>
        <v>毗邻道路的类型与等级</v>
      </c>
      <c r="R32" s="770" t="s">
        <v>17</v>
      </c>
      <c r="S32" s="771">
        <f t="shared" si="10"/>
        <v>99</v>
      </c>
      <c r="T32" s="770" t="s">
        <v>17</v>
      </c>
      <c r="U32" s="771">
        <f t="shared" si="11"/>
        <v>99</v>
      </c>
      <c r="V32" s="770" t="s">
        <v>17</v>
      </c>
      <c r="W32" s="771">
        <f t="shared" si="12"/>
        <v>99</v>
      </c>
      <c r="X32" s="1806"/>
      <c r="Y32" s="3228"/>
      <c r="Z32" s="1807" t="str">
        <f t="shared" si="13"/>
        <v>毗邻道路的类型与等级</v>
      </c>
      <c r="AA32" s="1804">
        <f t="shared" si="3"/>
        <v>1.0101010101010102</v>
      </c>
      <c r="AB32" s="1804">
        <f t="shared" si="4"/>
        <v>1.0101010101010102</v>
      </c>
      <c r="AC32" s="1804">
        <f t="shared" si="5"/>
        <v>1.0101010101010102</v>
      </c>
    </row>
    <row r="33" spans="1:29" ht="15.75" thickBot="1">
      <c r="A33" s="425"/>
      <c r="B33" s="453"/>
      <c r="C33" s="444" t="s">
        <v>3254</v>
      </c>
      <c r="D33" s="445"/>
      <c r="E33" s="3028" t="s">
        <v>3339</v>
      </c>
      <c r="F33" s="445"/>
      <c r="G33" s="2603" t="s">
        <v>3257</v>
      </c>
      <c r="H33" s="445"/>
      <c r="I33" s="444" t="s">
        <v>3257</v>
      </c>
      <c r="J33" s="445"/>
      <c r="K33" s="610"/>
      <c r="L33" s="1134"/>
      <c r="M33" s="1125"/>
      <c r="N33" s="1125"/>
      <c r="O33" s="1133"/>
      <c r="P33" s="3228"/>
      <c r="Q33" s="1803"/>
      <c r="R33" s="770"/>
      <c r="S33" s="771"/>
      <c r="T33" s="770"/>
      <c r="U33" s="771"/>
      <c r="V33" s="770"/>
      <c r="W33" s="771"/>
      <c r="X33" s="1806"/>
      <c r="Y33" s="3228"/>
      <c r="Z33" s="1807"/>
      <c r="AA33" s="1804">
        <v>1</v>
      </c>
      <c r="AB33" s="1804">
        <v>1</v>
      </c>
      <c r="AC33" s="1804">
        <v>1</v>
      </c>
    </row>
    <row r="34" spans="1:29" ht="15.75" hidden="1" thickBot="1">
      <c r="A34" s="425"/>
      <c r="B34" s="419" t="s">
        <v>2728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28"/>
      <c r="Q34" s="1803" t="str">
        <f t="shared" si="8"/>
        <v>土地级别</v>
      </c>
      <c r="R34" s="770" t="s">
        <v>17</v>
      </c>
      <c r="S34" s="771">
        <f t="shared" si="10"/>
        <v>100</v>
      </c>
      <c r="T34" s="770" t="s">
        <v>17</v>
      </c>
      <c r="U34" s="771">
        <f t="shared" si="11"/>
        <v>100</v>
      </c>
      <c r="V34" s="770" t="s">
        <v>17</v>
      </c>
      <c r="W34" s="771">
        <f t="shared" si="12"/>
        <v>100</v>
      </c>
      <c r="X34" s="1806"/>
      <c r="Y34" s="3228"/>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28"/>
      <c r="Q35" s="1803">
        <f t="shared" si="8"/>
        <v>111</v>
      </c>
      <c r="R35" s="770" t="s">
        <v>17</v>
      </c>
      <c r="S35" s="771">
        <f t="shared" si="10"/>
        <v>100</v>
      </c>
      <c r="T35" s="770" t="s">
        <v>17</v>
      </c>
      <c r="U35" s="771">
        <f t="shared" si="11"/>
        <v>100</v>
      </c>
      <c r="V35" s="770" t="s">
        <v>17</v>
      </c>
      <c r="W35" s="771">
        <f t="shared" si="12"/>
        <v>100</v>
      </c>
      <c r="X35" s="1806"/>
      <c r="Y35" s="3228"/>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29" t="s">
        <v>2543</v>
      </c>
      <c r="Q36" s="1803">
        <f t="shared" si="8"/>
        <v>111</v>
      </c>
      <c r="R36" s="770" t="s">
        <v>17</v>
      </c>
      <c r="S36" s="771">
        <f t="shared" si="10"/>
        <v>100</v>
      </c>
      <c r="T36" s="770" t="s">
        <v>17</v>
      </c>
      <c r="U36" s="771">
        <f t="shared" si="11"/>
        <v>100</v>
      </c>
      <c r="V36" s="770" t="s">
        <v>17</v>
      </c>
      <c r="W36" s="771">
        <f t="shared" si="12"/>
        <v>100</v>
      </c>
      <c r="X36" s="1806"/>
      <c r="Y36" s="3230" t="s">
        <v>2543</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30"/>
      <c r="Q37" s="1803">
        <f t="shared" si="8"/>
        <v>111</v>
      </c>
      <c r="R37" s="773" t="s">
        <v>17</v>
      </c>
      <c r="S37" s="774">
        <f t="shared" si="10"/>
        <v>100</v>
      </c>
      <c r="T37" s="773" t="s">
        <v>17</v>
      </c>
      <c r="U37" s="774">
        <f t="shared" si="11"/>
        <v>100</v>
      </c>
      <c r="V37" s="773" t="s">
        <v>17</v>
      </c>
      <c r="W37" s="774">
        <f t="shared" si="12"/>
        <v>100</v>
      </c>
      <c r="X37" s="775"/>
      <c r="Y37" s="3230"/>
      <c r="Z37" s="776">
        <f t="shared" si="13"/>
        <v>111</v>
      </c>
      <c r="AA37" s="1804">
        <f t="shared" si="3"/>
        <v>1</v>
      </c>
      <c r="AB37" s="1804">
        <f t="shared" si="4"/>
        <v>1</v>
      </c>
      <c r="AC37" s="1804">
        <f t="shared" si="5"/>
        <v>1</v>
      </c>
    </row>
    <row r="38" spans="1:29" ht="15">
      <c r="A38" s="469" t="s">
        <v>2541</v>
      </c>
      <c r="B38" s="453" t="s">
        <v>2729</v>
      </c>
      <c r="C38" s="675">
        <f>'数据-基础表'!A3</f>
        <v>27500</v>
      </c>
      <c r="D38" s="464">
        <v>100</v>
      </c>
      <c r="E38" s="675">
        <f>'土地案例+位置图'!J2</f>
        <v>27295.08</v>
      </c>
      <c r="F38" s="464">
        <f>LOOKUP(E38,117:117,118:118)-LOOKUP(C38,117:117,118:118)+100</f>
        <v>100</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30"/>
      <c r="Q38" s="1803" t="str">
        <f>B38</f>
        <v>宗地面积</v>
      </c>
      <c r="R38" s="770" t="s">
        <v>17</v>
      </c>
      <c r="S38" s="771">
        <f t="shared" si="10"/>
        <v>100</v>
      </c>
      <c r="T38" s="770" t="s">
        <v>17</v>
      </c>
      <c r="U38" s="771">
        <f t="shared" si="11"/>
        <v>99</v>
      </c>
      <c r="V38" s="770" t="s">
        <v>17</v>
      </c>
      <c r="W38" s="771">
        <f t="shared" si="12"/>
        <v>100</v>
      </c>
      <c r="X38" s="1806"/>
      <c r="Y38" s="3230"/>
      <c r="Z38" s="1807" t="str">
        <f t="shared" si="13"/>
        <v>宗地面积</v>
      </c>
      <c r="AA38" s="1804">
        <f t="shared" si="3"/>
        <v>1</v>
      </c>
      <c r="AB38" s="1804">
        <f t="shared" si="4"/>
        <v>1.0101010101010102</v>
      </c>
      <c r="AC38" s="1804">
        <f t="shared" si="5"/>
        <v>1</v>
      </c>
    </row>
    <row r="39" spans="1:29" ht="15">
      <c r="A39" s="469"/>
      <c r="B39" s="419" t="s">
        <v>2730</v>
      </c>
      <c r="C39" s="2605" t="s">
        <v>3186</v>
      </c>
      <c r="D39" s="432">
        <v>100</v>
      </c>
      <c r="E39" s="2605" t="s">
        <v>3186</v>
      </c>
      <c r="F39" s="432">
        <f>SUMIF(119:119,E39,120:120)-SUMIF(119:119,C39,120:120)+100</f>
        <v>100</v>
      </c>
      <c r="G39" s="2605" t="s">
        <v>3186</v>
      </c>
      <c r="H39" s="432">
        <f>SUMIF(119:119,G39,120:120)-SUMIF(119:119,C39,120:120)+100</f>
        <v>100</v>
      </c>
      <c r="I39" s="2605" t="s">
        <v>3186</v>
      </c>
      <c r="J39" s="432">
        <f>SUMIF(119:119,I39,120:120)-SUMIF(119:119,C39,120:120)+100</f>
        <v>100</v>
      </c>
      <c r="K39" s="609">
        <v>2</v>
      </c>
      <c r="L39" s="1134"/>
      <c r="M39" s="1125"/>
      <c r="N39" s="1125"/>
      <c r="O39" s="1133"/>
      <c r="P39" s="3230"/>
      <c r="Q39" s="1803" t="str">
        <f t="shared" ref="Q39:Q45" si="14">B39</f>
        <v>宗地形状</v>
      </c>
      <c r="R39" s="770" t="s">
        <v>17</v>
      </c>
      <c r="S39" s="771">
        <f t="shared" si="10"/>
        <v>100</v>
      </c>
      <c r="T39" s="770" t="s">
        <v>17</v>
      </c>
      <c r="U39" s="771">
        <f t="shared" si="11"/>
        <v>100</v>
      </c>
      <c r="V39" s="770" t="s">
        <v>17</v>
      </c>
      <c r="W39" s="771">
        <f t="shared" si="12"/>
        <v>100</v>
      </c>
      <c r="X39" s="1806"/>
      <c r="Y39" s="3230"/>
      <c r="Z39" s="1807" t="str">
        <f t="shared" si="13"/>
        <v>宗地形状</v>
      </c>
      <c r="AA39" s="1804">
        <f t="shared" si="3"/>
        <v>1</v>
      </c>
      <c r="AB39" s="1804">
        <f t="shared" si="4"/>
        <v>1</v>
      </c>
      <c r="AC39" s="1804">
        <f t="shared" si="5"/>
        <v>1</v>
      </c>
    </row>
    <row r="40" spans="1:29" ht="15">
      <c r="A40" s="469"/>
      <c r="B40" s="419" t="s">
        <v>2731</v>
      </c>
      <c r="C40" s="2605" t="s">
        <v>3191</v>
      </c>
      <c r="D40" s="432">
        <v>100</v>
      </c>
      <c r="E40" s="2605" t="s">
        <v>3191</v>
      </c>
      <c r="F40" s="432">
        <f>SUMIF(121:121,E40,122:122)-SUMIF(121:121,C40,122:122)+100</f>
        <v>100</v>
      </c>
      <c r="G40" s="2605" t="s">
        <v>3191</v>
      </c>
      <c r="H40" s="432">
        <f>SUMIF(121:121,G40,122:122)-SUMIF(121:121,C40,122:122)+100</f>
        <v>100</v>
      </c>
      <c r="I40" s="2605" t="s">
        <v>3191</v>
      </c>
      <c r="J40" s="432">
        <f>SUMIF(121:121,I40,122:122)-SUMIF(121:121,C40,122:122)+100</f>
        <v>100</v>
      </c>
      <c r="K40" s="609">
        <v>2</v>
      </c>
      <c r="L40" s="1134"/>
      <c r="M40" s="1125"/>
      <c r="N40" s="1125"/>
      <c r="O40" s="1133"/>
      <c r="P40" s="3230"/>
      <c r="Q40" s="1803" t="str">
        <f t="shared" si="14"/>
        <v>临街宽度及深度</v>
      </c>
      <c r="R40" s="770" t="s">
        <v>17</v>
      </c>
      <c r="S40" s="771">
        <f t="shared" si="10"/>
        <v>100</v>
      </c>
      <c r="T40" s="770" t="s">
        <v>17</v>
      </c>
      <c r="U40" s="771">
        <f t="shared" si="11"/>
        <v>100</v>
      </c>
      <c r="V40" s="770" t="s">
        <v>17</v>
      </c>
      <c r="W40" s="771">
        <f t="shared" si="12"/>
        <v>100</v>
      </c>
      <c r="X40" s="1806"/>
      <c r="Y40" s="3230"/>
      <c r="Z40" s="1807" t="str">
        <f t="shared" si="13"/>
        <v>临街宽度及深度</v>
      </c>
      <c r="AA40" s="1804">
        <f t="shared" si="3"/>
        <v>1</v>
      </c>
      <c r="AB40" s="1804">
        <f t="shared" si="4"/>
        <v>1</v>
      </c>
      <c r="AC40" s="1804">
        <f t="shared" si="5"/>
        <v>1</v>
      </c>
    </row>
    <row r="41" spans="1:29" s="117" customFormat="1" ht="15">
      <c r="A41" s="470"/>
      <c r="B41" s="419" t="s">
        <v>2732</v>
      </c>
      <c r="C41" s="2694" t="s">
        <v>3195</v>
      </c>
      <c r="D41" s="136">
        <v>100</v>
      </c>
      <c r="E41" s="2694" t="s">
        <v>3198</v>
      </c>
      <c r="F41" s="432">
        <f>SUMIF(123:123,E41,124:124)-SUMIF(123:123,C41,124:124)+100</f>
        <v>98.5</v>
      </c>
      <c r="G41" s="2694" t="s">
        <v>3196</v>
      </c>
      <c r="H41" s="432">
        <f>SUMIF(123:123,G41,124:124)-SUMIF(123:123,C41,124:124)+100</f>
        <v>99.5</v>
      </c>
      <c r="I41" s="2694" t="s">
        <v>3196</v>
      </c>
      <c r="J41" s="432">
        <f>SUMIF(123:123,I41,124:124)-SUMIF(123:123,C41,124:124)+100</f>
        <v>99.5</v>
      </c>
      <c r="K41" s="609">
        <v>0.5</v>
      </c>
      <c r="L41" s="1126"/>
      <c r="M41" s="1127"/>
      <c r="N41" s="1127"/>
      <c r="O41" s="1128"/>
      <c r="P41" s="3230"/>
      <c r="Q41" s="1803" t="str">
        <f t="shared" si="14"/>
        <v>宗地开发程度</v>
      </c>
      <c r="R41" s="766" t="s">
        <v>17</v>
      </c>
      <c r="S41" s="767">
        <f t="shared" si="10"/>
        <v>98.5</v>
      </c>
      <c r="T41" s="766" t="s">
        <v>17</v>
      </c>
      <c r="U41" s="767">
        <f t="shared" si="11"/>
        <v>99.5</v>
      </c>
      <c r="V41" s="766" t="s">
        <v>17</v>
      </c>
      <c r="W41" s="767">
        <f t="shared" si="12"/>
        <v>99.5</v>
      </c>
      <c r="X41" s="768"/>
      <c r="Y41" s="3230"/>
      <c r="Z41" s="55" t="str">
        <f t="shared" si="13"/>
        <v>宗地开发程度</v>
      </c>
      <c r="AA41" s="769">
        <f t="shared" si="3"/>
        <v>1.015228426395939</v>
      </c>
      <c r="AB41" s="769">
        <f t="shared" si="4"/>
        <v>1.0050251256281406</v>
      </c>
      <c r="AC41" s="769">
        <f t="shared" si="5"/>
        <v>1.0050251256281406</v>
      </c>
    </row>
    <row r="42" spans="1:29" ht="15.75" thickBot="1">
      <c r="A42" s="469"/>
      <c r="B42" s="419" t="s">
        <v>2733</v>
      </c>
      <c r="C42" s="2605" t="s">
        <v>3066</v>
      </c>
      <c r="D42" s="432">
        <v>100</v>
      </c>
      <c r="E42" s="2605" t="s">
        <v>3066</v>
      </c>
      <c r="F42" s="432">
        <f>SUMIF(125:125,E42,126:126)-SUMIF(125:125,C42,126:126)+100</f>
        <v>100</v>
      </c>
      <c r="G42" s="2605" t="s">
        <v>3066</v>
      </c>
      <c r="H42" s="432">
        <f>SUMIF(125:125,G42,126:126)-SUMIF(125:125,C42,126:126)+100</f>
        <v>100</v>
      </c>
      <c r="I42" s="2605" t="s">
        <v>3066</v>
      </c>
      <c r="J42" s="432">
        <f>SUMIF(125:125,I42,126:126)-SUMIF(125:125,C42,126:126)+100</f>
        <v>100</v>
      </c>
      <c r="K42" s="609">
        <v>2</v>
      </c>
      <c r="L42" s="1134"/>
      <c r="M42" s="1125"/>
      <c r="N42" s="1125"/>
      <c r="O42" s="1133"/>
      <c r="P42" s="3230" t="s">
        <v>2543</v>
      </c>
      <c r="Q42" s="1803" t="str">
        <f t="shared" si="14"/>
        <v>工程地质条件</v>
      </c>
      <c r="R42" s="770" t="s">
        <v>17</v>
      </c>
      <c r="S42" s="771">
        <f t="shared" si="10"/>
        <v>100</v>
      </c>
      <c r="T42" s="770" t="s">
        <v>17</v>
      </c>
      <c r="U42" s="771">
        <f t="shared" si="11"/>
        <v>100</v>
      </c>
      <c r="V42" s="770" t="s">
        <v>17</v>
      </c>
      <c r="W42" s="771">
        <f t="shared" si="12"/>
        <v>100</v>
      </c>
      <c r="X42" s="1806"/>
      <c r="Y42" s="3230" t="s">
        <v>2543</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30"/>
      <c r="Q43" s="1803">
        <f t="shared" si="14"/>
        <v>111</v>
      </c>
      <c r="R43" s="770" t="s">
        <v>17</v>
      </c>
      <c r="S43" s="771">
        <f t="shared" si="10"/>
        <v>100</v>
      </c>
      <c r="T43" s="770" t="s">
        <v>17</v>
      </c>
      <c r="U43" s="771">
        <f t="shared" si="11"/>
        <v>100</v>
      </c>
      <c r="V43" s="770" t="s">
        <v>17</v>
      </c>
      <c r="W43" s="771">
        <f t="shared" si="12"/>
        <v>100</v>
      </c>
      <c r="X43" s="1806"/>
      <c r="Y43" s="3230"/>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30"/>
      <c r="Q44" s="1803">
        <f t="shared" si="14"/>
        <v>111</v>
      </c>
      <c r="R44" s="770" t="s">
        <v>17</v>
      </c>
      <c r="S44" s="771">
        <f t="shared" si="10"/>
        <v>100</v>
      </c>
      <c r="T44" s="770" t="s">
        <v>17</v>
      </c>
      <c r="U44" s="771">
        <f t="shared" si="11"/>
        <v>100</v>
      </c>
      <c r="V44" s="770" t="s">
        <v>17</v>
      </c>
      <c r="W44" s="771">
        <f t="shared" si="12"/>
        <v>100</v>
      </c>
      <c r="X44" s="1806"/>
      <c r="Y44" s="3230"/>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30"/>
      <c r="Q45" s="1803">
        <f t="shared" si="14"/>
        <v>111</v>
      </c>
      <c r="R45" s="773" t="s">
        <v>17</v>
      </c>
      <c r="S45" s="774">
        <f t="shared" si="10"/>
        <v>100</v>
      </c>
      <c r="T45" s="773" t="s">
        <v>17</v>
      </c>
      <c r="U45" s="774">
        <f t="shared" si="11"/>
        <v>100</v>
      </c>
      <c r="V45" s="773" t="s">
        <v>17</v>
      </c>
      <c r="W45" s="774">
        <f t="shared" si="12"/>
        <v>100</v>
      </c>
      <c r="X45" s="775"/>
      <c r="Y45" s="3230"/>
      <c r="Z45" s="776">
        <f t="shared" si="13"/>
        <v>111</v>
      </c>
      <c r="AA45" s="1804">
        <f t="shared" si="3"/>
        <v>1</v>
      </c>
      <c r="AB45" s="1804">
        <f t="shared" si="4"/>
        <v>1</v>
      </c>
      <c r="AC45" s="1804">
        <f t="shared" si="5"/>
        <v>1</v>
      </c>
    </row>
    <row r="46" spans="1:29" ht="15">
      <c r="A46" s="476" t="s">
        <v>2698</v>
      </c>
      <c r="B46" s="2696" t="s">
        <v>2734</v>
      </c>
      <c r="C46" s="678" t="s">
        <v>1</v>
      </c>
      <c r="D46" s="478"/>
      <c r="E46" s="479">
        <f>ROUND('土地案例+位置图'!AK2,0)</f>
        <v>27125</v>
      </c>
      <c r="F46" s="480"/>
      <c r="G46" s="481">
        <f>ROUND('土地案例+位置图'!AK3,0)</f>
        <v>29753</v>
      </c>
      <c r="H46" s="482"/>
      <c r="I46" s="479">
        <f>ROUND('土地案例+位置图'!AK4,0)</f>
        <v>28983</v>
      </c>
      <c r="J46" s="482"/>
      <c r="K46" s="779"/>
      <c r="L46" s="1137"/>
      <c r="M46" s="1138"/>
      <c r="N46" s="1125"/>
      <c r="O46" s="1138"/>
      <c r="P46" s="3225" t="str">
        <f>A46</f>
        <v>成交单价</v>
      </c>
      <c r="Q46" s="3225"/>
      <c r="R46" s="3231">
        <f>E46</f>
        <v>27125</v>
      </c>
      <c r="S46" s="3231"/>
      <c r="T46" s="3231">
        <f>G46</f>
        <v>29753</v>
      </c>
      <c r="U46" s="3231"/>
      <c r="V46" s="3231">
        <f>I46</f>
        <v>28983</v>
      </c>
      <c r="W46" s="3231"/>
      <c r="X46" s="755"/>
      <c r="Y46" s="777"/>
      <c r="Z46" s="755"/>
      <c r="AA46" s="755"/>
      <c r="AB46" s="755"/>
      <c r="AC46" s="755"/>
    </row>
    <row r="47" spans="1:29" ht="15.75" thickBot="1">
      <c r="A47" s="483" t="s">
        <v>2647</v>
      </c>
      <c r="B47" s="679"/>
      <c r="C47" s="487">
        <f>R48</f>
        <v>30302</v>
      </c>
      <c r="D47" s="486"/>
      <c r="E47" s="487">
        <f>R47</f>
        <v>28113</v>
      </c>
      <c r="F47" s="488"/>
      <c r="G47" s="485">
        <f>T47</f>
        <v>31966</v>
      </c>
      <c r="H47" s="486"/>
      <c r="I47" s="487">
        <f>V47</f>
        <v>30827</v>
      </c>
      <c r="J47" s="486"/>
      <c r="K47" s="780"/>
      <c r="L47" s="1137"/>
      <c r="M47" s="1138"/>
      <c r="N47" s="1138"/>
      <c r="O47" s="1138"/>
      <c r="P47" s="3225" t="str">
        <f>A47</f>
        <v>比较价值（元/平方米）</v>
      </c>
      <c r="Q47" s="3225"/>
      <c r="R47" s="3218">
        <f>ROUND(PRODUCT(R46,AA7:AA45),0)</f>
        <v>28113</v>
      </c>
      <c r="S47" s="3218"/>
      <c r="T47" s="3218">
        <f>ROUND(PRODUCT(T46,AB7:AB45),0)</f>
        <v>31966</v>
      </c>
      <c r="U47" s="3218"/>
      <c r="V47" s="3218">
        <f>ROUND(PRODUCT(V46,AC7:AC45),0)</f>
        <v>30827</v>
      </c>
      <c r="W47" s="3218"/>
      <c r="X47" s="755"/>
      <c r="Y47" s="755"/>
      <c r="Z47" s="755"/>
      <c r="AA47" s="755"/>
      <c r="AB47" s="755"/>
      <c r="AC47" s="755"/>
    </row>
    <row r="48" spans="1:29" ht="15.75" thickBot="1">
      <c r="A48" s="489" t="s">
        <v>2735</v>
      </c>
      <c r="B48" s="490"/>
      <c r="C48" s="491">
        <f>R48</f>
        <v>30302</v>
      </c>
      <c r="D48" s="491"/>
      <c r="E48" s="491"/>
      <c r="F48" s="491"/>
      <c r="G48" s="491"/>
      <c r="H48" s="491"/>
      <c r="I48" s="491"/>
      <c r="J48" s="491"/>
      <c r="K48" s="781"/>
      <c r="L48" s="1137"/>
      <c r="M48" s="1138"/>
      <c r="N48" s="1138"/>
      <c r="O48" s="1138"/>
      <c r="P48" s="3219" t="str">
        <f>A48</f>
        <v>估价对象XX用房的比较价值（楼面单价，元/平方米）</v>
      </c>
      <c r="Q48" s="3220"/>
      <c r="R48" s="3221">
        <f>ROUND(AVERAGE(R47:V47),0)</f>
        <v>30302</v>
      </c>
      <c r="S48" s="3221"/>
      <c r="T48" s="3221"/>
      <c r="U48" s="3221"/>
      <c r="V48" s="3221"/>
      <c r="W48" s="3221"/>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2649</v>
      </c>
      <c r="D51" s="495"/>
      <c r="E51" s="496">
        <f>IF(E46&lt;E47,E47/E46-1,E46/E47-1)</f>
        <v>3.6423963133640491E-2</v>
      </c>
      <c r="F51" s="497" t="str">
        <f>IF(OR(E51&gt;=0.3,E51&lt;=-0.3),"超过30%","")</f>
        <v/>
      </c>
      <c r="G51" s="496">
        <f>IF(G46&lt;G47,G47/G46-1,G46/G47-1)</f>
        <v>7.437905421302049E-2</v>
      </c>
      <c r="H51" s="497" t="str">
        <f>IF(OR(G51&gt;=0.3,G51&lt;=-0.3),"超过30%","")</f>
        <v/>
      </c>
      <c r="I51" s="496">
        <f>IF(I46&lt;I47,I47/I46-1,I46/I47-1)</f>
        <v>6.3623503433047013E-2</v>
      </c>
      <c r="J51" s="497" t="str">
        <f>IF(OR(I51&gt;=0.3,I51&lt;=-0.3),"超过30%","")</f>
        <v/>
      </c>
      <c r="K51" s="1099"/>
      <c r="L51" s="1100"/>
      <c r="M51" s="1138"/>
      <c r="N51" s="1138"/>
      <c r="O51" s="1138"/>
    </row>
    <row r="52" spans="1:15" ht="13.5" customHeight="1">
      <c r="A52" s="1138"/>
      <c r="B52" s="1138"/>
      <c r="C52" s="494" t="s">
        <v>2650</v>
      </c>
      <c r="D52" s="498"/>
      <c r="E52" s="496">
        <f>IF(E47&lt;G47,G47/E47-1,E47/G47-1)</f>
        <v>0.13705403194251775</v>
      </c>
      <c r="F52" s="497" t="str">
        <f>IF(OR(E52&gt;=0.2,E52&lt;=-0.2),"超过20%","")</f>
        <v/>
      </c>
      <c r="G52" s="496">
        <f>IF(G47&lt;I47,I47/G47-1,G47/I47-1)</f>
        <v>3.6948129886138714E-2</v>
      </c>
      <c r="H52" s="497" t="str">
        <f>IF(OR(G52&gt;=0.2,G52&lt;=-0.2),"超过20%","")</f>
        <v/>
      </c>
      <c r="I52" s="496">
        <f>IF(I47&lt;E47,E47/I47-1,I47/E47-1)</f>
        <v>9.6538967737345605E-2</v>
      </c>
      <c r="J52" s="497" t="str">
        <f>IF(OR(I52&gt;=0.2,I52&lt;=-0.2),"超过20%","")</f>
        <v/>
      </c>
      <c r="K52" s="1099"/>
      <c r="L52" s="1100"/>
      <c r="M52" s="1138"/>
      <c r="N52" s="1138"/>
      <c r="O52" s="1138"/>
    </row>
    <row r="53" spans="1:15" s="499" customFormat="1" ht="13.5" customHeight="1">
      <c r="A53" s="1139"/>
      <c r="B53" s="1139"/>
      <c r="C53" s="494" t="s">
        <v>2651</v>
      </c>
      <c r="D53" s="498"/>
      <c r="E53" s="496">
        <f>IF(E46&lt;G46,G46/E46-1,E46/G46-1)</f>
        <v>9.6884792626728E-2</v>
      </c>
      <c r="F53" s="497" t="str">
        <f>IF(OR(E53&gt;=0.3,E53&lt;=-0.3),"超过30%","")</f>
        <v/>
      </c>
      <c r="G53" s="496">
        <f>IF(G46&lt;I46,I46/G46-1,G46/I46-1)</f>
        <v>2.6567298071283219E-2</v>
      </c>
      <c r="H53" s="497" t="str">
        <f>IF(OR(G53&gt;=0.3,G53&lt;=-0.3),"超过30%","")</f>
        <v/>
      </c>
      <c r="I53" s="496">
        <f>IF(I46&lt;E46,E46/I46-1,I46/E46-1)</f>
        <v>6.8497695852534513E-2</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2736</v>
      </c>
      <c r="B55" s="681" t="s">
        <v>2737</v>
      </c>
      <c r="C55" s="2697" t="s">
        <v>2738</v>
      </c>
      <c r="D55" s="2698" t="s">
        <v>2739</v>
      </c>
      <c r="E55" s="682" t="s">
        <v>2740</v>
      </c>
      <c r="F55" s="1101" t="s">
        <v>2741</v>
      </c>
      <c r="G55" s="3222" t="s">
        <v>2742</v>
      </c>
      <c r="H55" s="3223"/>
      <c r="I55" s="144" t="s">
        <v>2743</v>
      </c>
      <c r="J55" s="2699">
        <f>项目基本情况!F35</f>
        <v>0</v>
      </c>
      <c r="K55" s="2700" t="s">
        <v>2744</v>
      </c>
      <c r="L55" s="1100"/>
      <c r="M55" s="1138"/>
      <c r="N55" s="1138"/>
      <c r="O55" s="1138"/>
    </row>
    <row r="56" spans="1:15" s="688" customFormat="1">
      <c r="A56" s="684" t="s">
        <v>2745</v>
      </c>
      <c r="B56" s="685">
        <f>C48</f>
        <v>30302</v>
      </c>
      <c r="C56" s="686">
        <v>1</v>
      </c>
      <c r="D56" s="1157">
        <v>1</v>
      </c>
      <c r="E56" s="686">
        <f>'数据-汇总表'!E8+'数据-汇总表'!E9</f>
        <v>109309.91</v>
      </c>
      <c r="F56" s="1097">
        <f t="shared" ref="F56:F65" si="15">ROUND(B56*E56/10000,0)</f>
        <v>331231</v>
      </c>
      <c r="G56" s="3224"/>
      <c r="H56" s="3225"/>
      <c r="I56" s="1102">
        <v>1</v>
      </c>
      <c r="J56" s="1105">
        <v>1</v>
      </c>
      <c r="K56" s="1139"/>
      <c r="L56" s="936"/>
      <c r="M56" s="936"/>
      <c r="N56" s="936"/>
      <c r="O56" s="936"/>
    </row>
    <row r="57" spans="1:15" s="688" customFormat="1">
      <c r="A57" s="689" t="s">
        <v>2746</v>
      </c>
      <c r="B57" s="259">
        <f>ROUND($C$48*C57*D57,0)</f>
        <v>5303</v>
      </c>
      <c r="C57" s="197">
        <f t="shared" ref="C57:C65" si="16">IF($C$55="北京市系数",I57,J57)</f>
        <v>0.7</v>
      </c>
      <c r="D57" s="1158">
        <v>0.25</v>
      </c>
      <c r="E57" s="690">
        <f>'数据-汇总表'!G20</f>
        <v>6182.89</v>
      </c>
      <c r="F57" s="1097">
        <f t="shared" si="15"/>
        <v>3279</v>
      </c>
      <c r="G57" s="3226" t="s">
        <v>2747</v>
      </c>
      <c r="H57" s="1098" t="str">
        <f>项目基本情况!B37</f>
        <v>五级</v>
      </c>
      <c r="I57" s="1102">
        <f>SUMIF(修正!A45:A56,H57,修正!B45:B56)</f>
        <v>0.7</v>
      </c>
      <c r="J57" s="1106"/>
      <c r="K57" s="1138"/>
      <c r="L57" s="936"/>
      <c r="M57" s="936"/>
      <c r="N57" s="936"/>
      <c r="O57" s="936"/>
    </row>
    <row r="58" spans="1:15" s="688" customFormat="1">
      <c r="A58" s="689" t="s">
        <v>2748</v>
      </c>
      <c r="B58" s="259">
        <f t="shared" ref="B58:B65" si="17">ROUND($C$48*C58*D58,0)</f>
        <v>3030</v>
      </c>
      <c r="C58" s="197">
        <f t="shared" si="16"/>
        <v>0.4</v>
      </c>
      <c r="D58" s="1158">
        <v>0.25</v>
      </c>
      <c r="E58" s="690"/>
      <c r="F58" s="1097">
        <f t="shared" si="15"/>
        <v>0</v>
      </c>
      <c r="G58" s="3226"/>
      <c r="H58" s="1098" t="str">
        <f>项目基本情况!B37</f>
        <v>五级</v>
      </c>
      <c r="I58" s="1102">
        <f>SUMIF(修正!A45:A56,H58,修正!C45:C56)</f>
        <v>0.4</v>
      </c>
      <c r="J58" s="1106"/>
      <c r="K58" s="1139"/>
      <c r="L58" s="936"/>
      <c r="M58" s="936"/>
      <c r="N58" s="936"/>
      <c r="O58" s="936"/>
    </row>
    <row r="59" spans="1:15" s="688" customFormat="1">
      <c r="A59" s="689" t="s">
        <v>2749</v>
      </c>
      <c r="B59" s="259">
        <f t="shared" si="17"/>
        <v>2121</v>
      </c>
      <c r="C59" s="197">
        <f t="shared" si="16"/>
        <v>0.28000000000000003</v>
      </c>
      <c r="D59" s="1158">
        <v>0.25</v>
      </c>
      <c r="E59" s="690"/>
      <c r="F59" s="1097">
        <f t="shared" si="15"/>
        <v>0</v>
      </c>
      <c r="G59" s="3226"/>
      <c r="H59" s="1098" t="str">
        <f>项目基本情况!B37</f>
        <v>五级</v>
      </c>
      <c r="I59" s="1102">
        <f>SUMIF(修正!A45:A56,H59,修正!D45:D56)</f>
        <v>0.28000000000000003</v>
      </c>
      <c r="J59" s="1106"/>
      <c r="K59" s="1138"/>
      <c r="L59" s="936"/>
      <c r="M59" s="936"/>
      <c r="N59" s="936"/>
      <c r="O59" s="936"/>
    </row>
    <row r="60" spans="1:15" s="688" customFormat="1">
      <c r="A60" s="689" t="s">
        <v>2750</v>
      </c>
      <c r="B60" s="259">
        <f t="shared" si="17"/>
        <v>1894</v>
      </c>
      <c r="C60" s="197">
        <f t="shared" si="16"/>
        <v>0.25</v>
      </c>
      <c r="D60" s="1158">
        <v>0.25</v>
      </c>
      <c r="E60" s="690"/>
      <c r="F60" s="1097">
        <f t="shared" si="15"/>
        <v>0</v>
      </c>
      <c r="G60" s="3226"/>
      <c r="H60" s="1098" t="str">
        <f>项目基本情况!B37</f>
        <v>五级</v>
      </c>
      <c r="I60" s="1102">
        <f>SUMIF(修正!A45:A56,H60,修正!E45:E56)</f>
        <v>0.25</v>
      </c>
      <c r="J60" s="1106"/>
      <c r="K60" s="1139"/>
      <c r="L60" s="936"/>
      <c r="M60" s="936"/>
      <c r="N60" s="936"/>
      <c r="O60" s="936"/>
    </row>
    <row r="61" spans="1:15" s="688" customFormat="1">
      <c r="A61" s="689" t="s">
        <v>2751</v>
      </c>
      <c r="B61" s="259">
        <f t="shared" si="17"/>
        <v>1894</v>
      </c>
      <c r="C61" s="197">
        <f t="shared" si="16"/>
        <v>0.25</v>
      </c>
      <c r="D61" s="1158">
        <v>0.25</v>
      </c>
      <c r="E61" s="258">
        <f>'数据-汇总表'!E11</f>
        <v>0</v>
      </c>
      <c r="F61" s="1097">
        <f t="shared" si="15"/>
        <v>0</v>
      </c>
      <c r="G61" s="2701" t="s">
        <v>2752</v>
      </c>
      <c r="H61" s="1098" t="str">
        <f>项目基本情况!C37</f>
        <v>五级</v>
      </c>
      <c r="I61" s="1102">
        <f>SUMIF(修正!A45:A56,H61,修正!F45:F56)</f>
        <v>0.25</v>
      </c>
      <c r="J61" s="1106"/>
      <c r="K61" s="1138"/>
      <c r="L61" s="936"/>
      <c r="M61" s="936"/>
      <c r="N61" s="936"/>
      <c r="O61" s="936"/>
    </row>
    <row r="62" spans="1:15" s="688" customFormat="1">
      <c r="A62" s="689" t="s">
        <v>2753</v>
      </c>
      <c r="B62" s="259">
        <f t="shared" si="17"/>
        <v>1894</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2755</v>
      </c>
      <c r="B63" s="259">
        <f t="shared" si="17"/>
        <v>1515</v>
      </c>
      <c r="C63" s="197">
        <f t="shared" si="16"/>
        <v>0.2</v>
      </c>
      <c r="D63" s="1158">
        <v>0.25</v>
      </c>
      <c r="E63" s="258">
        <f>'数据-汇总表'!E13</f>
        <v>17080</v>
      </c>
      <c r="F63" s="1097">
        <f t="shared" si="15"/>
        <v>2588</v>
      </c>
      <c r="G63" s="1103" t="s">
        <v>3306</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2757</v>
      </c>
      <c r="B64" s="259">
        <f t="shared" si="17"/>
        <v>1515</v>
      </c>
      <c r="C64" s="197">
        <f t="shared" si="16"/>
        <v>0.2</v>
      </c>
      <c r="D64" s="1158">
        <v>0.25</v>
      </c>
      <c r="E64" s="258">
        <f>'数据-汇总表'!E14</f>
        <v>0</v>
      </c>
      <c r="F64" s="1097">
        <f t="shared" si="15"/>
        <v>0</v>
      </c>
      <c r="G64" s="2701" t="s">
        <v>2747</v>
      </c>
      <c r="H64" s="1098" t="str">
        <f>项目基本情况!B37</f>
        <v>五级</v>
      </c>
      <c r="I64" s="1102">
        <f>SUMIF(修正!A45:A56,H64,修正!H45:H56)</f>
        <v>0.2</v>
      </c>
      <c r="J64" s="1106"/>
      <c r="K64" s="1139"/>
      <c r="L64" s="936"/>
      <c r="M64" s="936"/>
      <c r="N64" s="936"/>
      <c r="O64" s="936"/>
    </row>
    <row r="65" spans="1:17" s="688" customFormat="1" ht="15" thickBot="1">
      <c r="A65" s="689" t="s">
        <v>2758</v>
      </c>
      <c r="B65" s="259">
        <f t="shared" si="17"/>
        <v>1515</v>
      </c>
      <c r="C65" s="197">
        <f t="shared" si="16"/>
        <v>0.2</v>
      </c>
      <c r="D65" s="1158">
        <v>0.25</v>
      </c>
      <c r="E65" s="258">
        <f>'数据-汇总表'!E15</f>
        <v>0</v>
      </c>
      <c r="F65" s="1097">
        <f t="shared" si="15"/>
        <v>0</v>
      </c>
      <c r="G65" s="2702" t="s">
        <v>2752</v>
      </c>
      <c r="H65" s="1108" t="str">
        <f>项目基本情况!C37</f>
        <v>五级</v>
      </c>
      <c r="I65" s="1104">
        <f>SUMIF(修正!A45:A56,H65,修正!H45:H56)</f>
        <v>0.2</v>
      </c>
      <c r="J65" s="1107"/>
      <c r="K65" s="1138"/>
      <c r="L65" s="936"/>
      <c r="M65" s="936"/>
      <c r="N65" s="936"/>
      <c r="O65" s="936"/>
    </row>
    <row r="66" spans="1:17" s="688" customFormat="1" ht="13.5" thickBot="1">
      <c r="A66" s="691" t="s">
        <v>2759</v>
      </c>
      <c r="B66" s="692" t="s">
        <v>28</v>
      </c>
      <c r="C66" s="692" t="s">
        <v>29</v>
      </c>
      <c r="D66" s="692" t="s">
        <v>1029</v>
      </c>
      <c r="E66" s="692">
        <f>IF(B46="楼面地价",SUM(E56:E65),'数据-汇总表'!D3)</f>
        <v>132572.79999999999</v>
      </c>
      <c r="F66" s="693">
        <f>IF(B46="楼面地价",SUM(F56:F65),ROUND(C48*E66/10000,0))</f>
        <v>337098</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2652</v>
      </c>
      <c r="B69" s="755"/>
      <c r="C69" s="760"/>
      <c r="D69" s="760"/>
      <c r="E69" s="760"/>
      <c r="F69" s="761"/>
      <c r="G69" s="761"/>
      <c r="H69" s="760"/>
      <c r="I69" s="760"/>
      <c r="J69" s="1153"/>
      <c r="K69" s="1154"/>
      <c r="L69" s="1155"/>
      <c r="M69" s="1153"/>
      <c r="N69" s="1153"/>
      <c r="O69" s="1153"/>
      <c r="P69" s="500"/>
      <c r="Q69" s="501"/>
    </row>
    <row r="70" spans="1:17" s="505" customFormat="1" ht="15">
      <c r="A70" s="2703" t="s">
        <v>2760</v>
      </c>
      <c r="B70" s="1353"/>
      <c r="C70" s="1565" t="str">
        <f>YEAR(C68)&amp;"-"&amp;ROUNDUP(MONTH(C68)/3,0)</f>
        <v>2018-3</v>
      </c>
      <c r="D70" s="1565" t="str">
        <f>YEAR(D68)&amp;"-"&amp;ROUNDUP(MONTH(D68)/3,0)</f>
        <v>2018-2</v>
      </c>
      <c r="E70" s="1565" t="str">
        <f t="shared" ref="E70:O70" si="19">YEAR(E68)&amp;"-"&amp;ROUNDUP(MONTH(E68)/3,0)</f>
        <v>2018-1</v>
      </c>
      <c r="F70" s="1565" t="str">
        <f t="shared" si="19"/>
        <v>2017-4</v>
      </c>
      <c r="G70" s="1565" t="str">
        <f t="shared" si="19"/>
        <v>2017-3</v>
      </c>
      <c r="H70" s="1565" t="str">
        <f t="shared" si="19"/>
        <v>2017-2</v>
      </c>
      <c r="I70" s="1565" t="str">
        <f t="shared" si="19"/>
        <v>2017-1</v>
      </c>
      <c r="J70" s="1565" t="str">
        <f t="shared" si="19"/>
        <v>2016-4</v>
      </c>
      <c r="K70" s="1565" t="str">
        <f t="shared" si="19"/>
        <v>2016-3</v>
      </c>
      <c r="L70" s="1565" t="str">
        <f t="shared" si="19"/>
        <v>2016-2</v>
      </c>
      <c r="M70" s="1565" t="str">
        <f t="shared" si="19"/>
        <v>2016-1</v>
      </c>
      <c r="N70" s="1565" t="str">
        <f t="shared" si="19"/>
        <v>2015-4</v>
      </c>
      <c r="O70" s="1565" t="str">
        <f t="shared" si="19"/>
        <v>2015-3</v>
      </c>
      <c r="P70" s="504"/>
    </row>
    <row r="71" spans="1:17" s="117" customFormat="1" ht="30" customHeight="1">
      <c r="A71" s="2704" t="s">
        <v>2761</v>
      </c>
      <c r="B71" s="329" t="str">
        <f>"北京市平均增长率"&amp;TEXT(SUMIF(基准地价修正!N21:N25,A71,基准地价修正!P21:P25),"0.00%")</f>
        <v>北京市平均增长率0.00%</v>
      </c>
      <c r="C71" s="600">
        <v>100</v>
      </c>
      <c r="D71" s="592">
        <f>C71-0.5</f>
        <v>99.5</v>
      </c>
      <c r="E71" s="592">
        <f t="shared" ref="E71:O71" si="20">D71-0.5</f>
        <v>99</v>
      </c>
      <c r="F71" s="592">
        <f t="shared" si="20"/>
        <v>98.5</v>
      </c>
      <c r="G71" s="592">
        <f t="shared" si="20"/>
        <v>98</v>
      </c>
      <c r="H71" s="592">
        <f t="shared" si="20"/>
        <v>97.5</v>
      </c>
      <c r="I71" s="592">
        <f t="shared" si="20"/>
        <v>97</v>
      </c>
      <c r="J71" s="592">
        <f t="shared" si="20"/>
        <v>96.5</v>
      </c>
      <c r="K71" s="592">
        <f t="shared" si="20"/>
        <v>96</v>
      </c>
      <c r="L71" s="592">
        <f t="shared" si="20"/>
        <v>95.5</v>
      </c>
      <c r="M71" s="592">
        <f t="shared" si="20"/>
        <v>95</v>
      </c>
      <c r="N71" s="592">
        <f t="shared" si="20"/>
        <v>94.5</v>
      </c>
      <c r="O71" s="592">
        <f t="shared" si="20"/>
        <v>94</v>
      </c>
      <c r="P71" s="501"/>
    </row>
    <row r="72" spans="1:17" s="117" customFormat="1" ht="15.75" thickBot="1">
      <c r="A72" s="512" t="s">
        <v>2563</v>
      </c>
      <c r="B72" s="513"/>
      <c r="C72" s="514"/>
      <c r="D72" s="515"/>
      <c r="E72" s="515"/>
      <c r="F72" s="515"/>
      <c r="G72" s="515"/>
      <c r="H72" s="515"/>
      <c r="I72" s="515"/>
      <c r="J72" s="515"/>
      <c r="K72" s="515"/>
      <c r="L72" s="515"/>
      <c r="M72" s="516"/>
      <c r="N72" s="515"/>
      <c r="O72" s="1156"/>
      <c r="P72" s="501"/>
      <c r="Q72" s="501"/>
    </row>
    <row r="73" spans="1:17" s="117" customFormat="1" ht="15">
      <c r="A73" s="518" t="s">
        <v>2528</v>
      </c>
      <c r="B73" s="507"/>
      <c r="C73" s="519" t="s">
        <v>2630</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2566</v>
      </c>
      <c r="B75" s="525" t="s">
        <v>2532</v>
      </c>
      <c r="C75" s="2962" t="s">
        <v>3181</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2535</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2536</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99.5</v>
      </c>
      <c r="E81" s="541">
        <f t="shared" si="22"/>
        <v>99</v>
      </c>
      <c r="F81" s="541">
        <f t="shared" si="22"/>
        <v>98.5</v>
      </c>
      <c r="G81" s="541">
        <f t="shared" si="22"/>
        <v>98</v>
      </c>
      <c r="H81" s="541">
        <f t="shared" si="22"/>
        <v>97.5</v>
      </c>
      <c r="I81" s="541">
        <f t="shared" si="22"/>
        <v>97</v>
      </c>
      <c r="J81" s="541">
        <f t="shared" si="22"/>
        <v>96.5</v>
      </c>
      <c r="K81" s="541">
        <f t="shared" si="22"/>
        <v>96</v>
      </c>
      <c r="L81" s="541">
        <f t="shared" si="22"/>
        <v>95.5</v>
      </c>
      <c r="M81" s="541">
        <f t="shared" si="22"/>
        <v>95</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2537</v>
      </c>
      <c r="B88" s="525" t="s">
        <v>2574</v>
      </c>
      <c r="C88" s="570" t="s">
        <v>2575</v>
      </c>
      <c r="D88" s="570" t="s">
        <v>2576</v>
      </c>
      <c r="E88" s="570" t="s">
        <v>2577</v>
      </c>
      <c r="F88" s="570" t="s">
        <v>2578</v>
      </c>
      <c r="G88" s="570" t="s">
        <v>2579</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2762</v>
      </c>
      <c r="C90" s="575" t="s">
        <v>2575</v>
      </c>
      <c r="D90" s="575" t="s">
        <v>2576</v>
      </c>
      <c r="E90" s="575" t="s">
        <v>2577</v>
      </c>
      <c r="F90" s="575" t="s">
        <v>2578</v>
      </c>
      <c r="G90" s="575" t="s">
        <v>2579</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2675</v>
      </c>
      <c r="C92" s="575" t="s">
        <v>2575</v>
      </c>
      <c r="D92" s="575" t="s">
        <v>2576</v>
      </c>
      <c r="E92" s="575" t="s">
        <v>2577</v>
      </c>
      <c r="F92" s="575" t="s">
        <v>2578</v>
      </c>
      <c r="G92" s="575" t="s">
        <v>2579</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2580</v>
      </c>
      <c r="C94" s="575" t="s">
        <v>2575</v>
      </c>
      <c r="D94" s="575" t="s">
        <v>2576</v>
      </c>
      <c r="E94" s="575" t="s">
        <v>2577</v>
      </c>
      <c r="F94" s="575" t="s">
        <v>2578</v>
      </c>
      <c r="G94" s="575" t="s">
        <v>2579</v>
      </c>
      <c r="H94" s="536"/>
      <c r="I94" s="536"/>
      <c r="J94" s="536"/>
      <c r="K94" s="537"/>
      <c r="L94" s="538"/>
      <c r="M94" s="539"/>
      <c r="N94" s="1146"/>
      <c r="O94" s="1146"/>
      <c r="P94" s="45"/>
      <c r="Q94" s="501"/>
    </row>
    <row r="95" spans="1:17" ht="15.75" thickBot="1">
      <c r="A95" s="531"/>
      <c r="B95" s="540"/>
      <c r="C95" s="541">
        <v>100</v>
      </c>
      <c r="D95" s="541">
        <f>C95-$K21</f>
        <v>99</v>
      </c>
      <c r="E95" s="541">
        <f>D95-$K21</f>
        <v>98</v>
      </c>
      <c r="F95" s="541">
        <f>E95-$K21</f>
        <v>97</v>
      </c>
      <c r="G95" s="541">
        <f>F95-$K21</f>
        <v>96</v>
      </c>
      <c r="H95" s="541"/>
      <c r="I95" s="541"/>
      <c r="J95" s="541"/>
      <c r="K95" s="541"/>
      <c r="L95" s="541"/>
      <c r="M95" s="542"/>
      <c r="N95" s="1147"/>
      <c r="O95" s="1147"/>
      <c r="P95" s="45"/>
      <c r="Q95" s="501"/>
    </row>
    <row r="96" spans="1:17" s="117" customFormat="1" ht="15.75" thickTop="1">
      <c r="A96" s="576"/>
      <c r="B96" s="535" t="s">
        <v>2763</v>
      </c>
      <c r="C96" s="575" t="s">
        <v>2575</v>
      </c>
      <c r="D96" s="575" t="s">
        <v>2576</v>
      </c>
      <c r="E96" s="575" t="s">
        <v>2577</v>
      </c>
      <c r="F96" s="575" t="s">
        <v>2578</v>
      </c>
      <c r="G96" s="575" t="s">
        <v>2579</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2764</v>
      </c>
      <c r="C98" s="570" t="s">
        <v>2575</v>
      </c>
      <c r="D98" s="570" t="s">
        <v>2576</v>
      </c>
      <c r="E98" s="570" t="s">
        <v>2577</v>
      </c>
      <c r="F98" s="570" t="s">
        <v>2578</v>
      </c>
      <c r="G98" s="570" t="s">
        <v>2579</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2632</v>
      </c>
      <c r="C100" s="570" t="s">
        <v>2575</v>
      </c>
      <c r="D100" s="570" t="s">
        <v>2576</v>
      </c>
      <c r="E100" s="570" t="s">
        <v>2577</v>
      </c>
      <c r="F100" s="570" t="s">
        <v>2578</v>
      </c>
      <c r="G100" s="570" t="s">
        <v>2579</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2633</v>
      </c>
      <c r="C102" s="656" t="s">
        <v>2653</v>
      </c>
      <c r="D102" s="656" t="s">
        <v>2654</v>
      </c>
      <c r="E102" s="656" t="s">
        <v>2655</v>
      </c>
      <c r="F102" s="656" t="s">
        <v>2656</v>
      </c>
      <c r="G102" s="656" t="s">
        <v>2657</v>
      </c>
      <c r="H102" s="597"/>
      <c r="I102" s="597"/>
      <c r="J102" s="597"/>
      <c r="K102" s="597"/>
      <c r="L102" s="597"/>
      <c r="M102" s="1379"/>
      <c r="N102" s="1148"/>
      <c r="O102" s="1148"/>
      <c r="P102" s="555"/>
      <c r="Q102" s="556"/>
    </row>
    <row r="103" spans="1:17" s="468" customFormat="1" ht="15.75" thickBot="1">
      <c r="A103" s="550"/>
      <c r="B103" s="543"/>
      <c r="C103" s="541">
        <v>100</v>
      </c>
      <c r="D103" s="541">
        <f>C103-$K29</f>
        <v>99.5</v>
      </c>
      <c r="E103" s="541">
        <f>D103-$K29</f>
        <v>99</v>
      </c>
      <c r="F103" s="541">
        <f>E103-$K29</f>
        <v>98.5</v>
      </c>
      <c r="G103" s="541">
        <f>F103-$K29</f>
        <v>98</v>
      </c>
      <c r="H103" s="545"/>
      <c r="I103" s="545"/>
      <c r="J103" s="545"/>
      <c r="K103" s="545"/>
      <c r="L103" s="545"/>
      <c r="M103" s="1379"/>
      <c r="N103" s="1148"/>
      <c r="O103" s="1148"/>
      <c r="P103" s="555"/>
      <c r="Q103" s="556"/>
    </row>
    <row r="104" spans="1:17" ht="15.75" thickTop="1">
      <c r="A104" s="531"/>
      <c r="B104" s="535" t="str">
        <f>B31</f>
        <v>临街状况</v>
      </c>
      <c r="C104" s="536" t="s">
        <v>2765</v>
      </c>
      <c r="D104" s="536" t="s">
        <v>2766</v>
      </c>
      <c r="E104" s="536" t="s">
        <v>2767</v>
      </c>
      <c r="F104" s="536" t="s">
        <v>2768</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2669</v>
      </c>
      <c r="C106" s="2966" t="s">
        <v>3253</v>
      </c>
      <c r="D106" s="2966" t="s">
        <v>3255</v>
      </c>
      <c r="E106" s="2966" t="s">
        <v>3256</v>
      </c>
      <c r="F106" s="2966" t="s">
        <v>3258</v>
      </c>
      <c r="G106" s="2966" t="s">
        <v>3259</v>
      </c>
      <c r="H106" s="580"/>
      <c r="I106" s="580"/>
      <c r="J106" s="580"/>
      <c r="K106" s="581"/>
      <c r="L106" s="582"/>
      <c r="M106" s="583"/>
      <c r="N106" s="1146"/>
      <c r="O106" s="1146"/>
      <c r="P106" s="45"/>
      <c r="Q106" s="501"/>
    </row>
    <row r="107" spans="1:17" ht="15.75" thickBot="1">
      <c r="A107" s="531"/>
      <c r="B107" s="540"/>
      <c r="C107" s="541">
        <v>100</v>
      </c>
      <c r="D107" s="541">
        <f>C107-$K32</f>
        <v>99.5</v>
      </c>
      <c r="E107" s="541">
        <f t="shared" ref="E107:M107" si="24">D107-$K32</f>
        <v>99</v>
      </c>
      <c r="F107" s="541">
        <f t="shared" si="24"/>
        <v>98.5</v>
      </c>
      <c r="G107" s="541">
        <f t="shared" si="24"/>
        <v>98</v>
      </c>
      <c r="H107" s="541">
        <f t="shared" si="24"/>
        <v>97.5</v>
      </c>
      <c r="I107" s="541">
        <f t="shared" si="24"/>
        <v>97</v>
      </c>
      <c r="J107" s="541">
        <f t="shared" si="24"/>
        <v>96.5</v>
      </c>
      <c r="K107" s="541">
        <f t="shared" si="24"/>
        <v>96</v>
      </c>
      <c r="L107" s="541">
        <f t="shared" si="24"/>
        <v>95.5</v>
      </c>
      <c r="M107" s="541">
        <f t="shared" si="24"/>
        <v>95</v>
      </c>
      <c r="N107" s="1147"/>
      <c r="O107" s="1147"/>
      <c r="P107" s="45"/>
      <c r="Q107" s="501"/>
    </row>
    <row r="108" spans="1:17" ht="15.75" thickTop="1">
      <c r="A108" s="531"/>
      <c r="B108" s="535" t="s">
        <v>2728</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2541</v>
      </c>
      <c r="B116" s="525" t="s">
        <v>2769</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2770</v>
      </c>
      <c r="C119" s="2965" t="s">
        <v>3185</v>
      </c>
      <c r="D119" s="2965" t="s">
        <v>3187</v>
      </c>
      <c r="E119" s="2965" t="s">
        <v>3188</v>
      </c>
      <c r="F119" s="2965" t="s">
        <v>3189</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2771</v>
      </c>
      <c r="C121" s="2966" t="s">
        <v>3190</v>
      </c>
      <c r="D121" s="2966" t="s">
        <v>3192</v>
      </c>
      <c r="E121" s="2966" t="s">
        <v>3193</v>
      </c>
      <c r="F121" s="2965" t="s">
        <v>3194</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2772</v>
      </c>
      <c r="C123" s="551" t="s">
        <v>3070</v>
      </c>
      <c r="D123" s="551" t="s">
        <v>3195</v>
      </c>
      <c r="E123" s="551" t="s">
        <v>3196</v>
      </c>
      <c r="F123" s="551" t="s">
        <v>3197</v>
      </c>
      <c r="G123" s="551" t="s">
        <v>3198</v>
      </c>
      <c r="H123" s="580"/>
      <c r="I123" s="580"/>
      <c r="J123" s="580"/>
      <c r="K123" s="581"/>
      <c r="L123" s="582"/>
      <c r="M123" s="583"/>
      <c r="N123" s="1148"/>
      <c r="O123" s="1148"/>
      <c r="P123" s="555"/>
      <c r="Q123" s="556"/>
    </row>
    <row r="124" spans="1:17" s="468" customFormat="1" ht="15.75" thickBot="1">
      <c r="A124" s="550"/>
      <c r="B124" s="540"/>
      <c r="C124" s="541">
        <v>100</v>
      </c>
      <c r="D124" s="541">
        <f>C124-$K41</f>
        <v>99.5</v>
      </c>
      <c r="E124" s="541">
        <f t="shared" ref="E124:M124" si="30">D124-$K41</f>
        <v>99</v>
      </c>
      <c r="F124" s="541">
        <f t="shared" si="30"/>
        <v>98.5</v>
      </c>
      <c r="G124" s="541">
        <f t="shared" si="30"/>
        <v>98</v>
      </c>
      <c r="H124" s="541">
        <f t="shared" si="30"/>
        <v>97.5</v>
      </c>
      <c r="I124" s="541">
        <f t="shared" si="30"/>
        <v>97</v>
      </c>
      <c r="J124" s="541">
        <f t="shared" si="30"/>
        <v>96.5</v>
      </c>
      <c r="K124" s="541">
        <f t="shared" si="30"/>
        <v>96</v>
      </c>
      <c r="L124" s="541">
        <f t="shared" si="30"/>
        <v>95.5</v>
      </c>
      <c r="M124" s="542">
        <f t="shared" si="30"/>
        <v>95</v>
      </c>
      <c r="N124" s="1148"/>
      <c r="O124" s="1148"/>
      <c r="P124" s="555"/>
      <c r="Q124" s="556"/>
    </row>
    <row r="125" spans="1:17" ht="15" thickTop="1">
      <c r="A125" s="596"/>
      <c r="B125" s="535" t="s">
        <v>2773</v>
      </c>
      <c r="C125" s="551" t="s">
        <v>3068</v>
      </c>
      <c r="D125" s="551" t="s">
        <v>3066</v>
      </c>
      <c r="E125" s="580" t="s">
        <v>3199</v>
      </c>
      <c r="F125" s="580" t="s">
        <v>3200</v>
      </c>
      <c r="G125" s="580" t="s">
        <v>3201</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2304</v>
      </c>
      <c r="B1" s="1930"/>
      <c r="C1" s="2545" t="s">
        <v>2406</v>
      </c>
      <c r="D1" s="239"/>
      <c r="E1" s="239"/>
      <c r="F1" s="239"/>
      <c r="G1" s="1373">
        <f>MATCH(B1,'数据-取费表'!A6:A16,0)+5</f>
        <v>9</v>
      </c>
      <c r="H1" s="1276" t="str">
        <f>IF(ISERROR(FIND("住宅",B1)),"非住宅","住宅")</f>
        <v>非住宅</v>
      </c>
    </row>
    <row r="2" spans="1:8" s="241" customFormat="1" ht="18" customHeight="1">
      <c r="A2" s="242" t="s">
        <v>2305</v>
      </c>
      <c r="B2" s="243">
        <f ca="1">ROUND(IF(D2="——",C52/10000,C52/10000-E2),0)</f>
        <v>79095</v>
      </c>
      <c r="C2" s="240" t="s">
        <v>2306</v>
      </c>
      <c r="D2" s="2539" t="s">
        <v>70</v>
      </c>
      <c r="E2" s="1434" t="e">
        <f ca="1">SUMIF(INDIRECT("'"&amp;G2&amp;"'"&amp;"!A:A"),"承租人权益价值",INDIRECT("'"&amp;G2&amp;"'"&amp;"!c:c"))</f>
        <v>#REF!</v>
      </c>
      <c r="F2" s="2540" t="s">
        <v>2306</v>
      </c>
      <c r="G2" s="2541"/>
    </row>
    <row r="3" spans="1:8" s="241" customFormat="1" ht="18" customHeight="1" thickBot="1">
      <c r="A3" s="244" t="s">
        <v>2307</v>
      </c>
      <c r="B3" s="245">
        <f ca="1">ROUND(B2*10000/(IF(B1="",'数据-汇总表'!E3,INDIRECT("'数据-取费表'!k"&amp;$G$1))),0)</f>
        <v>5721</v>
      </c>
      <c r="C3" s="240" t="s">
        <v>2308</v>
      </c>
      <c r="D3" s="240"/>
      <c r="E3" s="240"/>
      <c r="F3" s="240"/>
      <c r="G3" s="240"/>
    </row>
    <row r="4" spans="1:8" s="249" customFormat="1" ht="15.75">
      <c r="A4" s="246" t="s">
        <v>2309</v>
      </c>
      <c r="B4" s="247"/>
      <c r="C4" s="247"/>
      <c r="D4" s="247"/>
      <c r="E4" s="247"/>
      <c r="F4" s="247"/>
      <c r="G4" s="248"/>
    </row>
    <row r="5" spans="1:8" s="255" customFormat="1" ht="13.5" customHeight="1">
      <c r="A5" s="296" t="s">
        <v>2310</v>
      </c>
      <c r="B5" s="251" t="s">
        <v>2311</v>
      </c>
      <c r="C5" s="252">
        <f ca="1">C6+C7+C8</f>
        <v>27652608</v>
      </c>
      <c r="D5" s="252" t="s">
        <v>2312</v>
      </c>
      <c r="E5" s="253" t="s">
        <v>2313</v>
      </c>
      <c r="F5" s="253" t="s">
        <v>2314</v>
      </c>
      <c r="G5" s="254"/>
    </row>
    <row r="6" spans="1:8" s="255" customFormat="1" ht="13.5" customHeight="1">
      <c r="A6" s="944" t="s">
        <v>2315</v>
      </c>
      <c r="B6" s="256" t="s">
        <v>2316</v>
      </c>
      <c r="C6" s="257"/>
      <c r="D6" s="258"/>
      <c r="E6" s="259"/>
      <c r="F6" s="259"/>
      <c r="G6" s="260"/>
    </row>
    <row r="7" spans="1:8" s="255" customFormat="1" ht="13.5" customHeight="1">
      <c r="A7" s="944" t="s">
        <v>2317</v>
      </c>
      <c r="B7" s="256" t="s">
        <v>2318</v>
      </c>
      <c r="C7" s="261">
        <f>ROUND(C6*F7,0)</f>
        <v>0</v>
      </c>
      <c r="D7" s="261"/>
      <c r="E7" s="259"/>
      <c r="F7" s="262">
        <f>'数据-取费表'!B48+'数据-取费表'!B49</f>
        <v>3.0499999999999999E-2</v>
      </c>
      <c r="G7" s="260"/>
    </row>
    <row r="8" spans="1:8" s="264" customFormat="1">
      <c r="A8" s="944" t="s">
        <v>2319</v>
      </c>
      <c r="B8" s="256" t="s">
        <v>2320</v>
      </c>
      <c r="C8" s="261">
        <f ca="1">IF(G8="已包含在土地购买价格中",0,C9+C10)</f>
        <v>27652608</v>
      </c>
      <c r="D8" s="263"/>
      <c r="E8" s="261"/>
      <c r="F8" s="262"/>
      <c r="G8" s="2542"/>
    </row>
    <row r="9" spans="1:8" s="255" customFormat="1" ht="13.5" customHeight="1">
      <c r="A9" s="945" t="s">
        <v>800</v>
      </c>
      <c r="B9" s="265" t="s">
        <v>2321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2323</v>
      </c>
      <c r="C10" s="266">
        <f ca="1">ROUND(D10*E10,0)</f>
        <v>27652608</v>
      </c>
      <c r="D10" s="1027">
        <f ca="1">IF(B1="",'数据-汇总表'!E6,IF(INDIRECT("'数据-取费表'!c"&amp;$G$1)="住宅",INDIRECT("'数据-取费表'!s"&amp;$G$1),INDIRECT("'数据-取费表'!k"&amp;$G$1)+INDIRECT("'数据-取费表'!s"&amp;$G$1)))</f>
        <v>138263.03999999998</v>
      </c>
      <c r="E10" s="266">
        <f>'数据-取费表'!B28</f>
        <v>200</v>
      </c>
      <c r="F10" s="262"/>
      <c r="G10" s="267"/>
    </row>
    <row r="11" spans="1:8" s="255" customFormat="1" ht="13.5" hidden="1" customHeight="1">
      <c r="A11" s="268" t="s">
        <v>7</v>
      </c>
      <c r="B11" s="256" t="s">
        <v>2324</v>
      </c>
      <c r="C11" s="252"/>
      <c r="D11" s="1029"/>
      <c r="E11" s="259"/>
      <c r="F11" s="259"/>
      <c r="G11" s="260"/>
    </row>
    <row r="12" spans="1:8" s="255" customFormat="1" ht="13.5" hidden="1" customHeight="1">
      <c r="A12" s="268" t="s">
        <v>8</v>
      </c>
      <c r="B12" s="256" t="s">
        <v>2407</v>
      </c>
      <c r="C12" s="252">
        <v>0</v>
      </c>
      <c r="D12" s="1029"/>
      <c r="E12" s="269"/>
      <c r="F12" s="262">
        <v>3.0499999999999999E-2</v>
      </c>
      <c r="G12" s="260"/>
    </row>
    <row r="13" spans="1:8" s="255" customFormat="1" ht="13.5" hidden="1" customHeight="1">
      <c r="A13" s="268" t="s">
        <v>9</v>
      </c>
      <c r="B13" s="256" t="s">
        <v>2408</v>
      </c>
      <c r="C13" s="252"/>
      <c r="D13" s="1029"/>
      <c r="E13" s="259"/>
      <c r="F13" s="259"/>
      <c r="G13" s="260"/>
    </row>
    <row r="14" spans="1:8" s="255" customFormat="1" ht="13.5" hidden="1" customHeight="1">
      <c r="A14" s="268" t="s">
        <v>10</v>
      </c>
      <c r="B14" s="256" t="s">
        <v>2320</v>
      </c>
      <c r="C14" s="252"/>
      <c r="D14" s="1029"/>
      <c r="E14" s="259"/>
      <c r="F14" s="259"/>
      <c r="G14" s="260" t="s">
        <v>2409</v>
      </c>
    </row>
    <row r="15" spans="1:8" s="255" customFormat="1" ht="13.5" hidden="1" customHeight="1">
      <c r="A15" s="268" t="s">
        <v>11</v>
      </c>
      <c r="B15" s="256" t="s">
        <v>2410</v>
      </c>
      <c r="C15" s="261"/>
      <c r="D15" s="1029"/>
      <c r="E15" s="259"/>
      <c r="F15" s="259"/>
      <c r="G15" s="260" t="s">
        <v>2411</v>
      </c>
    </row>
    <row r="16" spans="1:8" s="255" customFormat="1" ht="13.5" hidden="1" customHeight="1">
      <c r="A16" s="268" t="s">
        <v>12</v>
      </c>
      <c r="B16" s="256" t="s">
        <v>2320</v>
      </c>
      <c r="C16" s="261"/>
      <c r="D16" s="1029"/>
      <c r="E16" s="259"/>
      <c r="F16" s="259"/>
      <c r="G16" s="260"/>
    </row>
    <row r="17" spans="1:7" s="255" customFormat="1" ht="13.5" hidden="1" customHeight="1">
      <c r="A17" s="268" t="s">
        <v>13</v>
      </c>
      <c r="B17" s="256" t="s">
        <v>2412</v>
      </c>
      <c r="C17" s="270"/>
      <c r="D17" s="1030"/>
      <c r="E17" s="270"/>
      <c r="F17" s="270"/>
      <c r="G17" s="260" t="s">
        <v>2411</v>
      </c>
    </row>
    <row r="18" spans="1:7" s="255" customFormat="1" ht="13.5" hidden="1" customHeight="1">
      <c r="A18" s="268" t="s">
        <v>14</v>
      </c>
      <c r="B18" s="256" t="s">
        <v>2413</v>
      </c>
      <c r="C18" s="261">
        <v>0</v>
      </c>
      <c r="D18" s="1029"/>
      <c r="E18" s="259"/>
      <c r="F18" s="262">
        <v>3.0499999999999999E-2</v>
      </c>
      <c r="G18" s="260" t="s">
        <v>2414</v>
      </c>
    </row>
    <row r="19" spans="1:7" s="264" customFormat="1" ht="13.5" customHeight="1">
      <c r="A19" s="296" t="s">
        <v>2415</v>
      </c>
      <c r="B19" s="251" t="s">
        <v>2416</v>
      </c>
      <c r="C19" s="252">
        <f ca="1">IF(G19="已包含在土地取得成本中","0",ROUND(D19*E19,0))</f>
        <v>27652608</v>
      </c>
      <c r="D19" s="1031">
        <f ca="1">D9+D10</f>
        <v>138263.03999999998</v>
      </c>
      <c r="E19" s="252">
        <f>'数据-取费表'!B31</f>
        <v>200</v>
      </c>
      <c r="F19" s="272"/>
      <c r="G19" s="2542"/>
    </row>
    <row r="20" spans="1:7" s="255" customFormat="1" ht="13.5" customHeight="1">
      <c r="A20" s="296" t="s">
        <v>2417</v>
      </c>
      <c r="B20" s="251" t="s">
        <v>2418</v>
      </c>
      <c r="C20" s="273">
        <f ca="1">ROUND((C5+C19)*F20,0)</f>
        <v>553052</v>
      </c>
      <c r="D20" s="273"/>
      <c r="E20" s="273"/>
      <c r="F20" s="274">
        <f>'数据-取费表'!B37</f>
        <v>0.01</v>
      </c>
      <c r="G20" s="275" t="s">
        <v>2419</v>
      </c>
    </row>
    <row r="21" spans="1:7" s="255" customFormat="1" ht="13.5" customHeight="1">
      <c r="A21" s="296" t="s">
        <v>2420</v>
      </c>
      <c r="B21" s="251" t="s">
        <v>2421</v>
      </c>
      <c r="C21" s="276">
        <f>F21</f>
        <v>0.01</v>
      </c>
      <c r="D21" s="277" t="s">
        <v>2422</v>
      </c>
      <c r="E21" s="273"/>
      <c r="F21" s="274">
        <f>'数据-取费表'!B38</f>
        <v>0.01</v>
      </c>
      <c r="G21" s="275" t="s">
        <v>2423</v>
      </c>
    </row>
    <row r="22" spans="1:7" s="255" customFormat="1" ht="13.5" customHeight="1">
      <c r="A22" s="296" t="s">
        <v>2424</v>
      </c>
      <c r="B22" s="251" t="s">
        <v>2425</v>
      </c>
      <c r="C22" s="1374">
        <f ca="1">ROUND(SUM(C23:C25),0)</f>
        <v>5405048</v>
      </c>
      <c r="D22" s="276">
        <f ca="1">C26</f>
        <v>5.0000000000000001E-4</v>
      </c>
      <c r="E22" s="277" t="s">
        <v>2422</v>
      </c>
      <c r="F22" s="278">
        <f ca="1">'数据-取费表'!B40</f>
        <v>4.7500000000000001E-2</v>
      </c>
      <c r="G22" s="275" t="str">
        <f>IF('数据-取费表'!B22&lt;=1,"单利计息","复利计息")</f>
        <v>复利计息</v>
      </c>
    </row>
    <row r="23" spans="1:7" s="255" customFormat="1" ht="13.5" customHeight="1">
      <c r="A23" s="946" t="s">
        <v>2315</v>
      </c>
      <c r="B23" s="256" t="s">
        <v>2426</v>
      </c>
      <c r="C23" s="1375">
        <f ca="1">ROUND(IF('数据-取费表'!B22&lt;=1,C5*F22*'数据-取费表'!B22,C5*(POWER((1+F22),'数据-取费表'!B22)-1)),0)</f>
        <v>2689389</v>
      </c>
      <c r="D23" s="279"/>
      <c r="E23" s="279"/>
      <c r="F23" s="280"/>
      <c r="G23" s="281" t="s">
        <v>2427</v>
      </c>
    </row>
    <row r="24" spans="1:7" s="255" customFormat="1" ht="13.5" customHeight="1">
      <c r="A24" s="946" t="s">
        <v>2317</v>
      </c>
      <c r="B24" s="256" t="s">
        <v>2428</v>
      </c>
      <c r="C24" s="1375">
        <f ca="1">ROUND(IF('数据-取费表'!B22&lt;=1,C19*F22*('数据-取费表'!B19/2+'数据-取费表'!B20),C19*(POWER((1+F22),('数据-取费表'!B19/2+'数据-取费表'!B20))-1)),0)</f>
        <v>2689389</v>
      </c>
      <c r="D24" s="279"/>
      <c r="E24" s="279"/>
      <c r="F24" s="280"/>
      <c r="G24" s="281" t="s">
        <v>2429</v>
      </c>
    </row>
    <row r="25" spans="1:7" s="255" customFormat="1" ht="24">
      <c r="A25" s="946" t="s">
        <v>2319</v>
      </c>
      <c r="B25" s="256" t="s">
        <v>2430</v>
      </c>
      <c r="C25" s="1375">
        <f ca="1">ROUND(IF('数据-取费表'!B22&lt;=1,C20*F22*'数据-取费表'!B22/2,C20*(POWER((1+F22),'数据-取费表'!B22/2)-1)),0)</f>
        <v>26270</v>
      </c>
      <c r="D25" s="279"/>
      <c r="E25" s="282"/>
      <c r="F25" s="280"/>
      <c r="G25" s="283" t="s">
        <v>2431</v>
      </c>
    </row>
    <row r="26" spans="1:7" s="255" customFormat="1">
      <c r="A26" s="946" t="s">
        <v>795</v>
      </c>
      <c r="B26" s="256" t="s">
        <v>2354</v>
      </c>
      <c r="C26" s="279">
        <f ca="1">ROUND(IF('数据-取费表'!B22&lt;=1,F21*F22*'数据-取费表'!B22/2,F21*(POWER((1+F22),'数据-取费表'!B22/2)-1)),4)</f>
        <v>5.0000000000000001E-4</v>
      </c>
      <c r="D26" s="279"/>
      <c r="E26" s="282"/>
      <c r="F26" s="280"/>
      <c r="G26" s="284"/>
    </row>
    <row r="27" spans="1:7" s="255" customFormat="1" ht="24.75">
      <c r="A27" s="296" t="s">
        <v>2355</v>
      </c>
      <c r="B27" s="285" t="s">
        <v>2356</v>
      </c>
      <c r="C27" s="286">
        <f ca="1">C28</f>
        <v>5585827</v>
      </c>
      <c r="D27" s="276">
        <f ca="1">C29</f>
        <v>1E-3</v>
      </c>
      <c r="E27" s="277" t="s">
        <v>2357</v>
      </c>
      <c r="F27" s="287">
        <f ca="1">IF(B1="",'数据-取费表'!Q16,INDIRECT("'数据-取费表'!q"&amp;$G$1))</f>
        <v>0.1</v>
      </c>
      <c r="G27" s="288" t="s">
        <v>2358</v>
      </c>
    </row>
    <row r="28" spans="1:7" s="255" customFormat="1" ht="13.5" customHeight="1">
      <c r="A28" s="946" t="s">
        <v>791</v>
      </c>
      <c r="B28" s="289" t="s">
        <v>2359</v>
      </c>
      <c r="C28" s="290">
        <f ca="1">ROUND((C5+C19+C20)*F27,0)</f>
        <v>5585827</v>
      </c>
      <c r="D28" s="276"/>
      <c r="E28" s="277"/>
      <c r="F28" s="287"/>
      <c r="G28" s="288"/>
    </row>
    <row r="29" spans="1:7" s="255" customFormat="1" ht="13.5" customHeight="1">
      <c r="A29" s="946" t="s">
        <v>792</v>
      </c>
      <c r="B29" s="289" t="s">
        <v>2360</v>
      </c>
      <c r="C29" s="279">
        <f ca="1">ROUND(C21*F27,4)</f>
        <v>1E-3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71481120</v>
      </c>
      <c r="D31" s="271"/>
      <c r="E31" s="252"/>
      <c r="F31" s="291"/>
      <c r="G31" s="275" t="s">
        <v>2365</v>
      </c>
    </row>
    <row r="32" spans="1:7" s="249" customFormat="1" ht="15.75">
      <c r="A32" s="293" t="s">
        <v>2432</v>
      </c>
      <c r="B32" s="294"/>
      <c r="C32" s="294"/>
      <c r="D32" s="294"/>
      <c r="E32" s="294"/>
      <c r="F32" s="294"/>
      <c r="G32" s="295"/>
    </row>
    <row r="33" spans="1:7" s="255" customFormat="1" ht="13.5" customHeight="1">
      <c r="A33" s="296" t="s">
        <v>782</v>
      </c>
      <c r="B33" s="251" t="s">
        <v>2433</v>
      </c>
      <c r="C33" s="297">
        <f ca="1">SUM(C34:C38)</f>
        <v>592402853</v>
      </c>
      <c r="D33" s="273"/>
      <c r="E33" s="253"/>
      <c r="F33" s="282"/>
      <c r="G33" s="275"/>
    </row>
    <row r="34" spans="1:7" s="299" customFormat="1" ht="13.5" customHeight="1">
      <c r="A34" s="946" t="s">
        <v>791</v>
      </c>
      <c r="B34" s="256" t="s">
        <v>2368</v>
      </c>
      <c r="C34" s="261">
        <f ca="1">ROUND(IF(B1="",SUMPRODUCT('数据-取费表'!K6:K14,'数据-取费表'!L6:L14),INDIRECT("'数据-取费表'!l"&amp;$G$1)*INDIRECT("'数据-取费表'!k"&amp;$G$1)+'数据-取费表'!L14*INDIRECT("'数据-取费表'!S"&amp;$G$1)),0)</f>
        <v>530281920</v>
      </c>
      <c r="D34" s="258"/>
      <c r="E34" s="261"/>
      <c r="F34" s="298"/>
      <c r="G34" s="260"/>
    </row>
    <row r="35" spans="1:7" ht="13.5" customHeight="1">
      <c r="A35" s="946" t="s">
        <v>796</v>
      </c>
      <c r="B35" s="256" t="s">
        <v>2370</v>
      </c>
      <c r="C35" s="261">
        <f ca="1">ROUND(C34*F35,0)</f>
        <v>26514096</v>
      </c>
      <c r="D35" s="261"/>
      <c r="E35" s="261"/>
      <c r="F35" s="300">
        <f>'数据-取费表'!B33</f>
        <v>0.05</v>
      </c>
      <c r="G35" s="260" t="s">
        <v>2371</v>
      </c>
    </row>
    <row r="36" spans="1:7" ht="24">
      <c r="A36" s="946" t="s">
        <v>797</v>
      </c>
      <c r="B36" s="256" t="s">
        <v>2372</v>
      </c>
      <c r="C36" s="261">
        <f ca="1">ROUND(IF(B1="",SUM('数据-取费表'!AP6:AP13)*F36,IF(INDIRECT("'数据-取费表'!c"&amp;$G$1)="住宅",INDIRECT("'数据-取费表'!k"&amp;$G$1)*INDIRECT("'数据-取费表'!l"&amp;$G$1)*F36,0)),0)</f>
        <v>0</v>
      </c>
      <c r="D36" s="261"/>
      <c r="E36" s="261"/>
      <c r="F36" s="300">
        <f>'数据-取费表'!B34</f>
        <v>0</v>
      </c>
      <c r="G36" s="301" t="s">
        <v>2373</v>
      </c>
    </row>
    <row r="37" spans="1:7" s="299" customFormat="1" ht="13.5" customHeight="1">
      <c r="A37" s="946" t="s">
        <v>798</v>
      </c>
      <c r="B37" s="256" t="s">
        <v>2374</v>
      </c>
      <c r="C37" s="290">
        <f ca="1">ROUND(E37*D37,0)</f>
        <v>27652608</v>
      </c>
      <c r="D37" s="258">
        <f ca="1">D19</f>
        <v>138263.03999999998</v>
      </c>
      <c r="E37" s="290">
        <f>'数据-取费表'!B35</f>
        <v>200</v>
      </c>
      <c r="F37" s="300"/>
      <c r="G37" s="302"/>
    </row>
    <row r="38" spans="1:7" ht="13.5" customHeight="1">
      <c r="A38" s="946" t="s">
        <v>799</v>
      </c>
      <c r="B38" s="256" t="s">
        <v>2376</v>
      </c>
      <c r="C38" s="261">
        <f ca="1">ROUND(C34*F38,0)</f>
        <v>7954229</v>
      </c>
      <c r="D38" s="261"/>
      <c r="E38" s="261"/>
      <c r="F38" s="300">
        <f>'数据-取费表'!B36</f>
        <v>1.4999999999999999E-2</v>
      </c>
      <c r="G38" s="260" t="s">
        <v>2371</v>
      </c>
    </row>
    <row r="39" spans="1:7" s="255" customFormat="1" ht="13.5" customHeight="1">
      <c r="A39" s="296" t="s">
        <v>2377</v>
      </c>
      <c r="B39" s="251" t="s">
        <v>2378</v>
      </c>
      <c r="C39" s="273">
        <f ca="1">ROUND(C33*F20,0)</f>
        <v>5924029</v>
      </c>
      <c r="D39" s="273"/>
      <c r="E39" s="273"/>
      <c r="F39" s="274"/>
      <c r="G39" s="275" t="s">
        <v>2379</v>
      </c>
    </row>
    <row r="40" spans="1:7" s="255" customFormat="1" ht="13.5" customHeight="1">
      <c r="A40" s="296" t="s">
        <v>2380</v>
      </c>
      <c r="B40" s="251" t="s">
        <v>2381</v>
      </c>
      <c r="C40" s="1721">
        <f>F21</f>
        <v>0.01</v>
      </c>
      <c r="D40" s="277" t="s">
        <v>2382</v>
      </c>
      <c r="E40" s="273"/>
      <c r="F40" s="274"/>
      <c r="G40" s="275" t="s">
        <v>2383</v>
      </c>
    </row>
    <row r="41" spans="1:7" s="255" customFormat="1" ht="13.5" customHeight="1">
      <c r="A41" s="296" t="s">
        <v>2384</v>
      </c>
      <c r="B41" s="251" t="s">
        <v>2385</v>
      </c>
      <c r="C41" s="273">
        <f ca="1">ROUND(SUM(C42:C43),0)</f>
        <v>28420527</v>
      </c>
      <c r="D41" s="276">
        <f ca="1">C44</f>
        <v>5.0000000000000001E-4</v>
      </c>
      <c r="E41" s="277" t="s">
        <v>2382</v>
      </c>
      <c r="F41" s="278"/>
      <c r="G41" s="275" t="str">
        <f>IF('数据-取费表'!B22&lt;=1,"单利计息","复利计息")</f>
        <v>复利计息</v>
      </c>
    </row>
    <row r="42" spans="1:7" ht="13.5" customHeight="1">
      <c r="A42" s="946" t="s">
        <v>791</v>
      </c>
      <c r="B42" s="256" t="s">
        <v>2386</v>
      </c>
      <c r="C42" s="279">
        <f ca="1">ROUND(IF('数据-取费表'!B22&lt;=1,C33*F22*'数据-取费表'!B20/2,C33*(POWER((1+F22),'数据-取费表'!B20/2)-1)),0)</f>
        <v>28139136</v>
      </c>
      <c r="D42" s="279"/>
      <c r="E42" s="279"/>
      <c r="F42" s="280"/>
      <c r="G42" s="3215" t="s">
        <v>2434</v>
      </c>
    </row>
    <row r="43" spans="1:7" ht="13.5" customHeight="1">
      <c r="A43" s="946" t="s">
        <v>792</v>
      </c>
      <c r="B43" s="256" t="s">
        <v>2388</v>
      </c>
      <c r="C43" s="279">
        <f ca="1">ROUND(IF('数据-取费表'!B22&lt;=1,C39*F22*'数据-取费表'!B20/2,C39*(POWER((1+F22),'数据-取费表'!B20/2)-1)),0)</f>
        <v>281391</v>
      </c>
      <c r="D43" s="279"/>
      <c r="E43" s="279"/>
      <c r="F43" s="280"/>
      <c r="G43" s="3216"/>
    </row>
    <row r="44" spans="1:7" ht="13.5" customHeight="1">
      <c r="A44" s="946" t="s">
        <v>793</v>
      </c>
      <c r="B44" s="256" t="s">
        <v>2389</v>
      </c>
      <c r="C44" s="279">
        <f ca="1">ROUND(IF('数据-取费表'!B22&lt;=1,C40*F22*'数据-取费表'!B20/2,C40*(POWER((1+F22),'数据-取费表'!B20/2)-1)),4)</f>
        <v>5.0000000000000001E-4</v>
      </c>
      <c r="D44" s="279"/>
      <c r="E44" s="279"/>
      <c r="F44" s="280"/>
      <c r="G44" s="3217"/>
    </row>
    <row r="45" spans="1:7" s="255" customFormat="1" ht="13.5" customHeight="1">
      <c r="A45" s="296" t="s">
        <v>2390</v>
      </c>
      <c r="B45" s="285" t="s">
        <v>2356</v>
      </c>
      <c r="C45" s="286">
        <f ca="1">C46</f>
        <v>59832688</v>
      </c>
      <c r="D45" s="276">
        <f ca="1">C47</f>
        <v>1E-3</v>
      </c>
      <c r="E45" s="277" t="s">
        <v>2382</v>
      </c>
      <c r="F45" s="287"/>
      <c r="G45" s="288" t="s">
        <v>2391</v>
      </c>
    </row>
    <row r="46" spans="1:7" s="255" customFormat="1" ht="13.5" customHeight="1">
      <c r="A46" s="946" t="s">
        <v>791</v>
      </c>
      <c r="B46" s="289" t="s">
        <v>2392</v>
      </c>
      <c r="C46" s="290">
        <f ca="1">ROUND((C33+C39)*F27,0)</f>
        <v>59832688</v>
      </c>
      <c r="D46" s="304"/>
      <c r="E46" s="277"/>
      <c r="F46" s="287"/>
      <c r="G46" s="288"/>
    </row>
    <row r="47" spans="1:7" s="255" customFormat="1" ht="13.5" customHeight="1">
      <c r="A47" s="946" t="s">
        <v>792</v>
      </c>
      <c r="B47" s="289" t="s">
        <v>2393</v>
      </c>
      <c r="C47" s="279">
        <f ca="1">ROUND(C40*F27,4)</f>
        <v>1E-3</v>
      </c>
      <c r="D47" s="304"/>
      <c r="E47" s="277"/>
      <c r="F47" s="287"/>
      <c r="G47" s="288"/>
    </row>
    <row r="48" spans="1:7" s="255" customFormat="1" ht="13.5" customHeight="1">
      <c r="A48" s="296" t="s">
        <v>2355</v>
      </c>
      <c r="B48" s="251" t="s">
        <v>2394</v>
      </c>
      <c r="C48" s="303">
        <f>ROUND(F30/(1+'数据-取费表'!C42),4)</f>
        <v>5.33E-2</v>
      </c>
      <c r="D48" s="277" t="s">
        <v>2382</v>
      </c>
      <c r="E48" s="273"/>
      <c r="F48" s="278"/>
      <c r="G48" s="275" t="s">
        <v>2395</v>
      </c>
    </row>
    <row r="49" spans="1:7" ht="16.5" customHeight="1">
      <c r="A49" s="296" t="s">
        <v>2361</v>
      </c>
      <c r="B49" s="251" t="s">
        <v>2435</v>
      </c>
      <c r="C49" s="273">
        <f ca="1">ROUND((C33+C39+C41+C45)/(1-C40-D41-D45-C48),0)</f>
        <v>734153226</v>
      </c>
      <c r="D49" s="273"/>
      <c r="E49" s="273"/>
      <c r="F49" s="305"/>
      <c r="G49" s="275" t="s">
        <v>2397</v>
      </c>
    </row>
    <row r="50" spans="1:7" s="299" customFormat="1">
      <c r="A50" s="296" t="s">
        <v>2398</v>
      </c>
      <c r="B50" s="251" t="s">
        <v>2399</v>
      </c>
      <c r="C50" s="273"/>
      <c r="D50" s="273"/>
      <c r="E50" s="273"/>
      <c r="F50" s="305">
        <f>IF('数据-取费表'!B24=0,'数据-取费表'!N16,1)</f>
        <v>0.98</v>
      </c>
      <c r="G50" s="288"/>
    </row>
    <row r="51" spans="1:7" ht="16.5" customHeight="1">
      <c r="A51" s="296" t="s">
        <v>2401</v>
      </c>
      <c r="B51" s="251" t="s">
        <v>2436</v>
      </c>
      <c r="C51" s="273">
        <f ca="1">ROUND(C49*F50,0)</f>
        <v>719470161</v>
      </c>
      <c r="D51" s="273"/>
      <c r="E51" s="273"/>
      <c r="F51" s="305"/>
      <c r="G51" s="275" t="s">
        <v>2403</v>
      </c>
    </row>
    <row r="52" spans="1:7" s="249" customFormat="1" ht="16.5" thickBot="1">
      <c r="A52" s="306" t="s">
        <v>2404</v>
      </c>
      <c r="B52" s="307"/>
      <c r="C52" s="308">
        <f ca="1">C31+C51</f>
        <v>790951281</v>
      </c>
      <c r="D52" s="307"/>
      <c r="E52" s="307"/>
      <c r="F52" s="307"/>
      <c r="G52" s="309"/>
    </row>
    <row r="55" spans="1:7" ht="15">
      <c r="B55" s="311" t="s">
        <v>2405</v>
      </c>
      <c r="C55" s="312"/>
    </row>
    <row r="56" spans="1:7">
      <c r="B56" s="314" t="s">
        <v>1513</v>
      </c>
      <c r="C56" s="316">
        <f ca="1">1-C57</f>
        <v>8.9999999999999969E-2</v>
      </c>
    </row>
    <row r="57" spans="1:7">
      <c r="B57" s="314" t="s">
        <v>1514</v>
      </c>
      <c r="C57" s="315">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2437</v>
      </c>
      <c r="B1" s="1574"/>
      <c r="C1" s="1575"/>
      <c r="D1" s="1573"/>
      <c r="E1" s="317"/>
      <c r="F1" s="317"/>
      <c r="G1" s="1574"/>
      <c r="H1" s="317"/>
      <c r="I1" s="317"/>
      <c r="J1" s="317"/>
      <c r="K1" s="317">
        <f>MATCH(C1,'数据-取费表'!A6:A16,0)+5</f>
        <v>9</v>
      </c>
    </row>
    <row r="2" spans="1:33" ht="18" customHeight="1">
      <c r="A2" s="242" t="s">
        <v>2305</v>
      </c>
      <c r="B2" s="245">
        <f ca="1">C32</f>
        <v>0</v>
      </c>
      <c r="C2" s="317" t="s">
        <v>2438</v>
      </c>
      <c r="D2" s="317"/>
      <c r="E2" s="317"/>
      <c r="F2" s="317"/>
      <c r="G2" s="317"/>
      <c r="H2" s="317"/>
      <c r="I2" s="317"/>
      <c r="J2" s="317"/>
      <c r="K2" s="317"/>
    </row>
    <row r="3" spans="1:33" ht="18" customHeight="1" thickBot="1">
      <c r="A3" s="244" t="s">
        <v>2307</v>
      </c>
      <c r="B3" s="245">
        <f ca="1">ROUND(B2*10000/IF(C1="",'数据-汇总表'!E3,INDIRECT("'数据-取费表'!K"&amp;$K$1)),0)</f>
        <v>0</v>
      </c>
      <c r="C3" s="317" t="s">
        <v>2439</v>
      </c>
      <c r="D3" s="317"/>
      <c r="E3" s="317"/>
      <c r="F3" s="317"/>
      <c r="G3" s="317"/>
      <c r="H3" s="317"/>
      <c r="I3" s="317"/>
      <c r="J3" s="317"/>
      <c r="K3" s="317"/>
    </row>
    <row r="4" spans="1:33" s="951" customFormat="1" ht="16.5" customHeight="1">
      <c r="A4" s="948" t="s">
        <v>2440</v>
      </c>
      <c r="B4" s="949"/>
      <c r="C4" s="991">
        <f>SUM(C8:K8)</f>
        <v>0</v>
      </c>
      <c r="D4" s="949"/>
      <c r="E4" s="949"/>
      <c r="F4" s="949"/>
      <c r="G4" s="949"/>
      <c r="H4" s="949"/>
      <c r="I4" s="949"/>
      <c r="J4" s="949"/>
      <c r="K4" s="950"/>
    </row>
    <row r="5" spans="1:33" s="955" customFormat="1" ht="24.75">
      <c r="A5" s="952" t="s">
        <v>2441</v>
      </c>
      <c r="B5" s="953" t="s">
        <v>2442</v>
      </c>
      <c r="C5" s="2546" t="s">
        <v>2443</v>
      </c>
      <c r="D5" s="2546" t="s">
        <v>2444</v>
      </c>
      <c r="E5" s="2546" t="s">
        <v>2445</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2446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2447</v>
      </c>
      <c r="B7" s="140" t="s">
        <v>2448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2449</v>
      </c>
      <c r="B8" s="174" t="s">
        <v>2450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2451</v>
      </c>
      <c r="B9" s="949"/>
      <c r="C9" s="949"/>
      <c r="D9" s="949"/>
      <c r="E9" s="949"/>
      <c r="F9" s="949"/>
      <c r="G9" s="949"/>
      <c r="H9" s="949"/>
      <c r="I9" s="949"/>
      <c r="J9" s="949"/>
      <c r="K9" s="950"/>
    </row>
    <row r="10" spans="1:33" s="965" customFormat="1" ht="13.5" customHeight="1">
      <c r="A10" s="952" t="s">
        <v>2452</v>
      </c>
      <c r="B10" s="8" t="s">
        <v>2453</v>
      </c>
      <c r="C10" s="961" t="s">
        <v>2454</v>
      </c>
      <c r="D10" s="962" t="s">
        <v>2455</v>
      </c>
      <c r="E10" s="962" t="s">
        <v>2456</v>
      </c>
      <c r="F10" s="962" t="s">
        <v>2457</v>
      </c>
      <c r="G10" s="8"/>
      <c r="H10" s="963"/>
      <c r="I10" s="963"/>
      <c r="J10" s="963"/>
      <c r="K10" s="964"/>
    </row>
    <row r="11" spans="1:33" s="970" customFormat="1" ht="13.5" customHeight="1">
      <c r="A11" s="966" t="s">
        <v>1334</v>
      </c>
      <c r="B11" s="967" t="s">
        <v>2458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2459</v>
      </c>
      <c r="C12" s="24">
        <f ca="1">ROUND(C11*F12,0)</f>
        <v>0</v>
      </c>
      <c r="D12" s="968"/>
      <c r="E12" s="372"/>
      <c r="F12" s="971">
        <f>'数据-取费表'!B33</f>
        <v>0.05</v>
      </c>
      <c r="G12" s="8" t="s">
        <v>2460</v>
      </c>
      <c r="H12" s="963"/>
      <c r="I12" s="963"/>
      <c r="J12" s="963"/>
      <c r="K12" s="964"/>
    </row>
    <row r="13" spans="1:33" s="970" customFormat="1" ht="13.5" customHeight="1">
      <c r="A13" s="966" t="s">
        <v>1336</v>
      </c>
      <c r="B13" s="967" t="s">
        <v>2461</v>
      </c>
      <c r="C13" s="24">
        <f ca="1">ROUND(IF(C1="",SUMIF('数据-取费表'!C:C,"住宅",'数据-取费表'!P:P)*F13,IF(INDIRECT("'数据-取费表'!c"&amp;$K$1)="住宅",INDIRECT("'数据-取费表'!P"&amp;$K$1)*F13,0)),0)</f>
        <v>0</v>
      </c>
      <c r="D13" s="1028"/>
      <c r="E13" s="372"/>
      <c r="F13" s="971">
        <f>'数据-取费表'!B34</f>
        <v>0</v>
      </c>
      <c r="G13" s="8" t="s">
        <v>2462</v>
      </c>
      <c r="H13" s="963"/>
      <c r="I13" s="963"/>
      <c r="J13" s="963"/>
      <c r="K13" s="964"/>
    </row>
    <row r="14" spans="1:33" s="972" customFormat="1" ht="13.5" customHeight="1">
      <c r="A14" s="966" t="s">
        <v>1337</v>
      </c>
      <c r="B14" s="967" t="s">
        <v>2463</v>
      </c>
      <c r="C14" s="24">
        <f ca="1">ROUND(D14*E14*F11/10000,0)</f>
        <v>0</v>
      </c>
      <c r="D14" s="1028">
        <f ca="1">IF(C1="",'数据-汇总表'!E3,INDIRECT("'数据-取费表'!K"&amp;$K$1)+INDIRECT("'数据-取费表'!S"&amp;$K$1))</f>
        <v>138263.03999999998</v>
      </c>
      <c r="E14" s="24">
        <f>'数据-取费表'!B35</f>
        <v>200</v>
      </c>
      <c r="F14" s="971"/>
      <c r="G14" s="8" t="s">
        <v>2464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2465</v>
      </c>
      <c r="C15" s="978">
        <f ca="1">ROUND(C11*F15,0)</f>
        <v>0</v>
      </c>
      <c r="D15" s="973"/>
      <c r="E15" s="978"/>
      <c r="F15" s="979">
        <f>'数据-取费表'!B36</f>
        <v>1.4999999999999999E-2</v>
      </c>
      <c r="G15" s="140" t="s">
        <v>2466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2467</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2468</v>
      </c>
      <c r="C17" s="24">
        <f ca="1">ROUND(D17*E17/10000,0)</f>
        <v>0</v>
      </c>
      <c r="D17" s="1028">
        <f ca="1">D14</f>
        <v>138263.03999999998</v>
      </c>
      <c r="E17" s="24">
        <f>'数据-取费表'!B32</f>
        <v>0</v>
      </c>
      <c r="F17" s="973"/>
      <c r="G17" s="140" t="s">
        <v>2469</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2470</v>
      </c>
      <c r="C18" s="24">
        <f ca="1">C19+C20-IF(C1="",'数据-取费表'!B29,IF(G18="已全部缴纳",C19+C20,H18))</f>
        <v>0</v>
      </c>
      <c r="D18" s="1028"/>
      <c r="E18" s="24"/>
      <c r="F18" s="971"/>
      <c r="G18" s="2548"/>
      <c r="H18" s="1570"/>
      <c r="I18" s="2549" t="s">
        <v>2471</v>
      </c>
      <c r="J18" s="974"/>
      <c r="K18" s="975"/>
    </row>
    <row r="19" spans="1:33" s="970" customFormat="1" ht="13.5" customHeight="1">
      <c r="A19" s="966" t="s">
        <v>805</v>
      </c>
      <c r="B19" s="967" t="s">
        <v>2472</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2473</v>
      </c>
      <c r="C20" s="24">
        <f ca="1">ROUND(D20*E20/10000,0)</f>
        <v>2765</v>
      </c>
      <c r="D20" s="1028">
        <f ca="1">IF(C1="",'数据-汇总表'!E6,IF(INDIRECT("'数据-取费表'!c"&amp;$K$1)="住宅",INDIRECT("'数据-取费表'!s"&amp;$K$1),INDIRECT("'数据-取费表'!k"&amp;$K$1)+INDIRECT("'数据-取费表'!s"&amp;$K$1)))</f>
        <v>138263.03999999998</v>
      </c>
      <c r="E20" s="24">
        <f>'数据-取费表'!B28</f>
        <v>200</v>
      </c>
      <c r="F20" s="971"/>
      <c r="G20" s="15"/>
      <c r="H20" s="976"/>
      <c r="I20" s="976"/>
      <c r="J20" s="976"/>
      <c r="K20" s="977"/>
    </row>
    <row r="21" spans="1:33" s="970" customFormat="1" ht="13.5" customHeight="1">
      <c r="A21" s="956" t="s">
        <v>802</v>
      </c>
      <c r="B21" s="980" t="s">
        <v>2474</v>
      </c>
      <c r="C21" s="981">
        <f ca="1">C16+C17+C18</f>
        <v>0</v>
      </c>
      <c r="D21" s="982"/>
      <c r="E21" s="322"/>
      <c r="F21" s="322"/>
      <c r="G21" s="140" t="s">
        <v>2475</v>
      </c>
      <c r="H21" s="974"/>
      <c r="I21" s="974"/>
      <c r="J21" s="974"/>
      <c r="K21" s="975"/>
    </row>
    <row r="22" spans="1:33" s="970" customFormat="1" ht="13.5" customHeight="1">
      <c r="A22" s="956" t="s">
        <v>2447</v>
      </c>
      <c r="B22" s="980" t="s">
        <v>2476</v>
      </c>
      <c r="C22" s="981">
        <f ca="1">ROUND(C21*F22,0)</f>
        <v>0</v>
      </c>
      <c r="D22" s="322"/>
      <c r="E22" s="322"/>
      <c r="F22" s="983">
        <f>'数据-取费表'!B37</f>
        <v>0.01</v>
      </c>
      <c r="G22" s="8" t="s">
        <v>2477</v>
      </c>
      <c r="H22" s="963"/>
      <c r="I22" s="963"/>
      <c r="J22" s="963"/>
      <c r="K22" s="964"/>
    </row>
    <row r="23" spans="1:33" s="970" customFormat="1" ht="13.5" customHeight="1">
      <c r="A23" s="956" t="s">
        <v>2449</v>
      </c>
      <c r="B23" s="980" t="s">
        <v>2478</v>
      </c>
      <c r="C23" s="981">
        <f ca="1">ROUND(C4*F23*F11,0)</f>
        <v>0</v>
      </c>
      <c r="D23" s="322"/>
      <c r="E23" s="322"/>
      <c r="F23" s="983">
        <f>'数据-取费表'!B38</f>
        <v>0.01</v>
      </c>
      <c r="G23" s="8" t="s">
        <v>2479</v>
      </c>
      <c r="H23" s="963"/>
      <c r="I23" s="963"/>
      <c r="J23" s="963"/>
      <c r="K23" s="964"/>
    </row>
    <row r="24" spans="1:33" s="970" customFormat="1" ht="13.5" customHeight="1">
      <c r="A24" s="956" t="s">
        <v>2480</v>
      </c>
      <c r="B24" s="980" t="s">
        <v>2481</v>
      </c>
      <c r="C24" s="321">
        <f>ROUND(F24/(1+'数据-取费表'!C42),4)</f>
        <v>2.9000000000000001E-2</v>
      </c>
      <c r="D24" s="322" t="s">
        <v>15</v>
      </c>
      <c r="E24" s="322"/>
      <c r="F24" s="983">
        <f>'数据-取费表'!B48+'数据-取费表'!B49</f>
        <v>3.0499999999999999E-2</v>
      </c>
      <c r="G24" s="8" t="s">
        <v>2482</v>
      </c>
      <c r="H24" s="985"/>
      <c r="I24" s="985"/>
      <c r="J24" s="985"/>
      <c r="K24" s="986"/>
    </row>
    <row r="25" spans="1:33" s="970" customFormat="1" ht="13.5" customHeight="1">
      <c r="A25" s="956" t="s">
        <v>2483</v>
      </c>
      <c r="B25" s="982" t="s">
        <v>2484</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2485</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2486</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2487</v>
      </c>
      <c r="B28" s="2551" t="s">
        <v>2488</v>
      </c>
      <c r="C28" s="328">
        <f ca="1">C30</f>
        <v>0</v>
      </c>
      <c r="D28" s="321">
        <f ca="1">C29</f>
        <v>0</v>
      </c>
      <c r="E28" s="323" t="s">
        <v>15</v>
      </c>
      <c r="F28" s="329">
        <f ca="1">IF(C1="",'数据-取费表'!Q16,INDIRECT("'数据-取费表'!q"&amp;$K$1))</f>
        <v>0.1</v>
      </c>
      <c r="G28" s="984"/>
      <c r="H28" s="985"/>
      <c r="I28" s="985"/>
      <c r="J28" s="985"/>
      <c r="K28" s="986"/>
    </row>
    <row r="29" spans="1:33" s="332" customFormat="1" ht="13.5" customHeight="1">
      <c r="A29" s="966" t="s">
        <v>803</v>
      </c>
      <c r="B29" s="989" t="s">
        <v>2489</v>
      </c>
      <c r="C29" s="325">
        <f ca="1">ROUND((1+C24)*F28*'数据-取费表'!B24/'数据-取费表'!B20,4)</f>
        <v>0</v>
      </c>
      <c r="D29" s="325"/>
      <c r="E29" s="326"/>
      <c r="F29" s="331"/>
      <c r="G29" s="140" t="s">
        <v>2490</v>
      </c>
      <c r="H29" s="974"/>
      <c r="I29" s="974"/>
      <c r="J29" s="974"/>
      <c r="K29" s="975"/>
    </row>
    <row r="30" spans="1:33" s="332" customFormat="1" ht="13.5" customHeight="1">
      <c r="A30" s="966" t="s">
        <v>804</v>
      </c>
      <c r="B30" s="989" t="s">
        <v>2491</v>
      </c>
      <c r="C30" s="333">
        <f ca="1">ROUND((C21+C22+C23)*F28,0)</f>
        <v>0</v>
      </c>
      <c r="D30" s="325"/>
      <c r="E30" s="326"/>
      <c r="F30" s="331"/>
      <c r="G30" s="140"/>
      <c r="H30" s="974"/>
      <c r="I30" s="974"/>
      <c r="J30" s="974"/>
      <c r="K30" s="975"/>
    </row>
    <row r="31" spans="1:33" s="970" customFormat="1" ht="13.5" customHeight="1" thickBot="1">
      <c r="A31" s="2552" t="s">
        <v>2492</v>
      </c>
      <c r="B31" s="1000" t="s">
        <v>2493</v>
      </c>
      <c r="C31" s="1001">
        <f>ROUND(C4*F31/(1+'数据-取费表'!C42),0)</f>
        <v>0</v>
      </c>
      <c r="D31" s="1002"/>
      <c r="E31" s="1003"/>
      <c r="F31" s="1004">
        <f>'数据-取费表'!B41</f>
        <v>5.6000000000000001E-2</v>
      </c>
      <c r="G31" s="1005" t="s">
        <v>2494</v>
      </c>
      <c r="H31" s="1006"/>
      <c r="I31" s="1006"/>
      <c r="J31" s="1006"/>
      <c r="K31" s="1007"/>
    </row>
    <row r="32" spans="1:33" s="965" customFormat="1" ht="13.5" customHeight="1" thickBot="1">
      <c r="A32" s="995" t="s">
        <v>2495</v>
      </c>
      <c r="B32" s="996"/>
      <c r="C32" s="997">
        <f ca="1">ROUND((C4-C21-C22-C23-C25-C28-C31)/(1+C24+D25+D28),0)</f>
        <v>0</v>
      </c>
      <c r="D32" s="996"/>
      <c r="E32" s="996"/>
      <c r="F32" s="996"/>
      <c r="G32" s="998" t="s">
        <v>2496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B2" sqref="B2"/>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2504</v>
      </c>
      <c r="B1" s="2554"/>
      <c r="C1" s="2554"/>
      <c r="D1" s="2554"/>
      <c r="E1" s="2555"/>
    </row>
    <row r="2" spans="1:6" ht="15.75">
      <c r="A2" s="2556" t="s">
        <v>2305</v>
      </c>
      <c r="B2" s="2557">
        <f ca="1">SUMIF(B6:B13,"&lt;&gt;#ref!",B6:B13)</f>
        <v>403738</v>
      </c>
      <c r="C2" s="2558" t="s">
        <v>2497</v>
      </c>
      <c r="D2" s="2559" t="s">
        <v>2498</v>
      </c>
      <c r="E2" s="2560">
        <f>SUM(E6:E13)</f>
        <v>138263.04000000001</v>
      </c>
    </row>
    <row r="3" spans="1:6" ht="15.75">
      <c r="A3" s="2556" t="s">
        <v>1395</v>
      </c>
      <c r="B3" s="2557">
        <f ca="1">ROUND(B2*10000/E2,0)</f>
        <v>29201</v>
      </c>
      <c r="C3" s="2558" t="s">
        <v>2505</v>
      </c>
      <c r="D3" s="2561"/>
      <c r="E3" s="2562"/>
    </row>
    <row r="4" spans="1:6" ht="15.75">
      <c r="A4" s="2563"/>
      <c r="B4" s="2561"/>
      <c r="C4" s="2561"/>
      <c r="D4" s="2561"/>
      <c r="E4" s="2562"/>
    </row>
    <row r="5" spans="1:6" ht="15">
      <c r="A5" s="2564" t="s">
        <v>2499</v>
      </c>
      <c r="B5" s="3261" t="s">
        <v>2500</v>
      </c>
      <c r="C5" s="3261"/>
      <c r="D5" s="2565"/>
      <c r="E5" s="2566" t="s">
        <v>2501</v>
      </c>
      <c r="F5" s="2567" t="s">
        <v>2502</v>
      </c>
    </row>
    <row r="6" spans="1:6">
      <c r="A6" s="2568" t="str">
        <f>'数据-取费表'!AN6</f>
        <v>收益法-办公</v>
      </c>
      <c r="B6" s="2567">
        <f ca="1">IF(F6="是",'数据-取费表'!AO6,0)</f>
        <v>346902</v>
      </c>
      <c r="C6" s="2558" t="s">
        <v>2497</v>
      </c>
      <c r="D6" s="2561"/>
      <c r="E6" s="2569">
        <f>IF(OR(A6=0,F6="否"),0,'数据-取费表'!K6+'数据-取费表'!S6)</f>
        <v>103636.91</v>
      </c>
      <c r="F6" s="2570" t="s">
        <v>2503</v>
      </c>
    </row>
    <row r="7" spans="1:6">
      <c r="A7" s="2568" t="str">
        <f>'数据-取费表'!AN7</f>
        <v>收益法-商业</v>
      </c>
      <c r="B7" s="2567">
        <f ca="1">IF(F7="是",'数据-取费表'!AO7,0)</f>
        <v>52142</v>
      </c>
      <c r="C7" s="2558" t="s">
        <v>2497</v>
      </c>
      <c r="D7" s="2561"/>
      <c r="E7" s="2569">
        <f>IF(OR(A7=0,F7="否"),0,'数据-取费表'!K7+'数据-取费表'!S7)</f>
        <v>16813.03</v>
      </c>
      <c r="F7" s="2570" t="s">
        <v>2503</v>
      </c>
    </row>
    <row r="8" spans="1:6">
      <c r="A8" s="2568" t="str">
        <f>'数据-取费表'!AN8</f>
        <v>收益法-车库</v>
      </c>
      <c r="B8" s="2567">
        <f ca="1">IF(F8="是",'数据-取费表'!AO8,0)</f>
        <v>4694</v>
      </c>
      <c r="C8" s="2558" t="s">
        <v>2497</v>
      </c>
      <c r="D8" s="2561"/>
      <c r="E8" s="2569">
        <f>IF(OR(A8=0,F8="否"),0,'数据-取费表'!K8+'数据-取费表'!S8)</f>
        <v>17813.099999999999</v>
      </c>
      <c r="F8" s="2570" t="s">
        <v>2503</v>
      </c>
    </row>
    <row r="9" spans="1:6">
      <c r="A9" s="2568">
        <f>'数据-取费表'!AN9</f>
        <v>0</v>
      </c>
      <c r="B9" s="2567">
        <f>IF(F9="是",'数据-取费表'!AO9,0)</f>
        <v>0</v>
      </c>
      <c r="C9" s="2558" t="s">
        <v>2497</v>
      </c>
      <c r="D9" s="2561"/>
      <c r="E9" s="2569">
        <f>IF(OR(A9=0,F9="否"),0,'数据-取费表'!K9+'数据-取费表'!S9)</f>
        <v>0</v>
      </c>
      <c r="F9" s="2570"/>
    </row>
    <row r="10" spans="1:6">
      <c r="A10" s="2568">
        <f>'数据-取费表'!AN10</f>
        <v>0</v>
      </c>
      <c r="B10" s="2567">
        <f>IF(F10="是",'数据-取费表'!AO10,0)</f>
        <v>0</v>
      </c>
      <c r="C10" s="2558" t="s">
        <v>2497</v>
      </c>
      <c r="D10" s="2561"/>
      <c r="E10" s="2569">
        <f>IF(OR(A10=0,F10="否"),0,'数据-取费表'!K10+'数据-取费表'!S10)</f>
        <v>0</v>
      </c>
      <c r="F10" s="2570"/>
    </row>
    <row r="11" spans="1:6">
      <c r="A11" s="2568">
        <f>'数据-取费表'!AN11</f>
        <v>0</v>
      </c>
      <c r="B11" s="2567">
        <f>IF(F11="是",'数据-取费表'!AO11,0)</f>
        <v>0</v>
      </c>
      <c r="C11" s="2558" t="s">
        <v>2497</v>
      </c>
      <c r="D11" s="2561"/>
      <c r="E11" s="2569">
        <f>IF(OR(A11=0,F11="否"),0,'数据-取费表'!K11+'数据-取费表'!S11)</f>
        <v>0</v>
      </c>
      <c r="F11" s="2570"/>
    </row>
    <row r="12" spans="1:6">
      <c r="A12" s="2568">
        <f>'数据-取费表'!AN12</f>
        <v>0</v>
      </c>
      <c r="B12" s="2567">
        <f>IF(F12="是",'数据-取费表'!AO12,0)</f>
        <v>0</v>
      </c>
      <c r="C12" s="2558" t="s">
        <v>2497</v>
      </c>
      <c r="D12" s="2561"/>
      <c r="E12" s="2569">
        <f>IF(OR(A12=0,F12="否"),0,'数据-取费表'!K12+'数据-取费表'!S12)</f>
        <v>0</v>
      </c>
      <c r="F12" s="2570"/>
    </row>
    <row r="13" spans="1:6" ht="15" thickBot="1">
      <c r="A13" s="2571">
        <f>'数据-取费表'!AN13</f>
        <v>0</v>
      </c>
      <c r="B13" s="2567">
        <f>IF(F13="是",'数据-取费表'!AO13,0)</f>
        <v>0</v>
      </c>
      <c r="C13" s="2572" t="s">
        <v>2497</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80" zoomScaleNormal="8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46.94</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346902</v>
      </c>
      <c r="C2" s="1838" t="s">
        <v>1516</v>
      </c>
      <c r="D2" s="1838"/>
      <c r="E2" s="1839"/>
      <c r="F2" s="1840"/>
      <c r="G2" s="1841"/>
      <c r="H2" s="1833"/>
      <c r="I2" s="1833"/>
      <c r="J2" s="1833"/>
      <c r="K2" s="1834"/>
      <c r="L2" s="1833"/>
      <c r="M2" s="1833"/>
    </row>
    <row r="3" spans="1:37" ht="18" customHeight="1" thickBot="1">
      <c r="A3" s="1842" t="s">
        <v>1517</v>
      </c>
      <c r="B3" s="1843">
        <f ca="1">IF(ISERROR(B2*10000/F43),0,ROUND(B2*10000/F43,0))</f>
        <v>34910</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19610</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19586</v>
      </c>
      <c r="D6" s="161" t="s">
        <v>3012</v>
      </c>
      <c r="E6" s="344" t="s">
        <v>1405</v>
      </c>
      <c r="F6" s="345">
        <f ca="1">INDIRECT("'数据-取费表'!u"&amp;$G$1)</f>
        <v>6</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99371.71</v>
      </c>
      <c r="G7" s="1844"/>
      <c r="H7" s="346"/>
      <c r="I7" s="3265"/>
      <c r="J7" s="348"/>
      <c r="K7" s="349"/>
      <c r="L7" s="344" t="s">
        <v>1406</v>
      </c>
      <c r="M7" s="345">
        <f ca="1">F7</f>
        <v>99371.71</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55586</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41029</v>
      </c>
      <c r="D14" s="1793" t="s">
        <v>1418</v>
      </c>
      <c r="E14" s="1787"/>
      <c r="F14" s="361"/>
      <c r="G14" s="1844"/>
      <c r="H14" s="1195" t="s">
        <v>1035</v>
      </c>
      <c r="I14" s="344" t="s">
        <v>1419</v>
      </c>
      <c r="J14" s="24">
        <f ca="1">C29</f>
        <v>56720</v>
      </c>
      <c r="K14" s="15"/>
      <c r="L14" s="974"/>
      <c r="M14" s="975"/>
    </row>
    <row r="15" spans="1:37" s="1851" customFormat="1" ht="18" customHeight="1" thickBot="1">
      <c r="A15" s="1195" t="s">
        <v>1036</v>
      </c>
      <c r="B15" s="344" t="s">
        <v>1420</v>
      </c>
      <c r="C15" s="24">
        <f ca="1">ROUND(C14*F15,0)</f>
        <v>2051</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1050</v>
      </c>
      <c r="K16" s="1331" t="s">
        <v>1425</v>
      </c>
      <c r="L16" s="1332"/>
      <c r="M16" s="1288"/>
    </row>
    <row r="17" spans="1:37" s="1851" customFormat="1" ht="18" customHeight="1">
      <c r="A17" s="1195" t="s">
        <v>1390</v>
      </c>
      <c r="B17" s="344" t="s">
        <v>1426</v>
      </c>
      <c r="C17" s="24">
        <f ca="1">ROUND(F17*(F43+INDIRECT("'数据-取费表'!S"&amp;$G$1))/10000,0)</f>
        <v>2073</v>
      </c>
      <c r="D17" s="344" t="s">
        <v>1427</v>
      </c>
      <c r="E17" s="344" t="s">
        <v>1428</v>
      </c>
      <c r="F17" s="26">
        <f>'数据-取费表'!B35</f>
        <v>200</v>
      </c>
      <c r="G17" s="1847"/>
      <c r="H17" s="1195" t="s">
        <v>1035</v>
      </c>
      <c r="I17" s="344" t="s">
        <v>1429</v>
      </c>
      <c r="J17" s="24">
        <f ca="1">ROUND(IF(项目基本情况!B11="自然人",J5*M17,J18+J19+J20),1)</f>
        <v>482.6</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615</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45768</v>
      </c>
      <c r="D19" s="140" t="s">
        <v>1436</v>
      </c>
      <c r="E19" s="1811"/>
      <c r="F19" s="26"/>
      <c r="G19" s="1844"/>
      <c r="H19" s="1195" t="s">
        <v>1036</v>
      </c>
      <c r="I19" s="344" t="s">
        <v>1437</v>
      </c>
      <c r="J19" s="24">
        <f ca="1">IF(K19="按租金收入计税",ROUND(J5*M19,2),ROUND(C29*M19*0.7,2))</f>
        <v>476.45</v>
      </c>
      <c r="K19" s="1821" t="s">
        <v>1438</v>
      </c>
      <c r="L19" s="344" t="s">
        <v>1422</v>
      </c>
      <c r="M19" s="364">
        <f>IF(K19="按租金收入计税",'数据-取费表'!B51,'数据-取费表'!B50)</f>
        <v>1.2E-2</v>
      </c>
    </row>
    <row r="20" spans="1:37" s="1851" customFormat="1" ht="18" customHeight="1">
      <c r="A20" s="1195" t="s">
        <v>1039</v>
      </c>
      <c r="B20" s="344" t="s">
        <v>1439</v>
      </c>
      <c r="C20" s="24">
        <f ca="1">ROUND(C19*F20,0)</f>
        <v>458</v>
      </c>
      <c r="D20" s="366" t="s">
        <v>1440</v>
      </c>
      <c r="E20" s="344" t="s">
        <v>1422</v>
      </c>
      <c r="F20" s="364">
        <f>'数据-取费表'!B37</f>
        <v>0.01</v>
      </c>
      <c r="G20" s="1847"/>
      <c r="H20" s="1195" t="s">
        <v>1389</v>
      </c>
      <c r="I20" s="161" t="s">
        <v>1441</v>
      </c>
      <c r="J20" s="25">
        <f ca="1">ROUND(M20*M21/10000,2)</f>
        <v>6.18</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20612.990000000002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567.20000000000005</v>
      </c>
      <c r="K22" s="1791"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2196</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-1050</v>
      </c>
      <c r="K25" s="1339" t="s">
        <v>1464</v>
      </c>
      <c r="L25" s="1340"/>
      <c r="M25" s="1341"/>
    </row>
    <row r="26" spans="1:37">
      <c r="A26" s="1195" t="s">
        <v>1034</v>
      </c>
      <c r="B26" s="344" t="s">
        <v>1465</v>
      </c>
      <c r="C26" s="24">
        <f ca="1">ROUND((C19+C20)*F26,0)</f>
        <v>4623</v>
      </c>
      <c r="D26" s="366" t="s">
        <v>1466</v>
      </c>
      <c r="E26" s="355" t="s">
        <v>1467</v>
      </c>
      <c r="F26" s="354">
        <f ca="1">INDIRECT("'数据-取费表'!q"&amp;$G$1)</f>
        <v>0.1</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56720</v>
      </c>
      <c r="D29" s="1336"/>
      <c r="E29" s="1334"/>
      <c r="F29" s="1337"/>
      <c r="G29" s="1847"/>
      <c r="H29" s="377" t="s">
        <v>1033</v>
      </c>
      <c r="I29" s="378" t="s">
        <v>1479</v>
      </c>
      <c r="J29" s="379">
        <f ca="1">ROUND(J26/(1+F40)^F41,0)</f>
        <v>0</v>
      </c>
      <c r="K29" s="380" t="s">
        <v>1480</v>
      </c>
      <c r="L29" s="381"/>
      <c r="M29" s="382">
        <f ca="1">INDIRECT("'数据-取费表'!k"&amp;$G$1)</f>
        <v>99371.71</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4252</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3405.3</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1045.8699999999999</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2353.1999999999998</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6.18</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20612.990000000002</v>
      </c>
      <c r="G35" s="1844"/>
      <c r="H35" s="741"/>
      <c r="I35" s="1853"/>
      <c r="J35" s="1854"/>
      <c r="K35" s="1855"/>
      <c r="L35" s="1852"/>
      <c r="M35" s="1852"/>
    </row>
    <row r="36" spans="1:18" ht="18" customHeight="1">
      <c r="A36" s="1346" t="s">
        <v>1039</v>
      </c>
      <c r="B36" s="344" t="s">
        <v>1449</v>
      </c>
      <c r="C36" s="24">
        <f ca="1">ROUND(C29*F36,1)</f>
        <v>567.20000000000005</v>
      </c>
      <c r="D36" s="1791"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83.4</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196.1</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15358</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346693</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34889</v>
      </c>
      <c r="D43" s="380" t="s">
        <v>1488</v>
      </c>
      <c r="E43" s="381" t="s">
        <v>1489</v>
      </c>
      <c r="F43" s="382">
        <f ca="1">INDIRECT("'数据-取费表'!k"&amp;$G$1)</f>
        <v>99371.71</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-420902</v>
      </c>
      <c r="D46" s="1865" t="str">
        <f>C2</f>
        <v>万元</v>
      </c>
      <c r="E46" s="1859"/>
      <c r="F46" s="1859"/>
      <c r="I46" s="1866" t="s">
        <v>1521</v>
      </c>
      <c r="J46" s="1867"/>
      <c r="K46" s="1868"/>
      <c r="L46" s="1869">
        <f ca="1">IF(M47="住宅",0,IF(L48&gt;J51,L60,J60))</f>
        <v>209</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346693</v>
      </c>
      <c r="R47" s="1879" t="s">
        <v>1529</v>
      </c>
    </row>
    <row r="48" spans="1:18" s="1835" customFormat="1" ht="28.5" thickBot="1">
      <c r="A48" s="1354" t="s">
        <v>1135</v>
      </c>
      <c r="B48" s="342" t="s">
        <v>1401</v>
      </c>
      <c r="C48" s="181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209</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56720</v>
      </c>
      <c r="R49" s="1879" t="s">
        <v>1529</v>
      </c>
    </row>
    <row r="50" spans="1:18" s="1835" customFormat="1" ht="13.5" thickBot="1">
      <c r="A50" s="1189"/>
      <c r="B50" s="1192"/>
      <c r="C50" s="1362"/>
      <c r="D50" s="1166"/>
      <c r="E50" s="1271" t="s">
        <v>1406</v>
      </c>
      <c r="F50" s="1272">
        <f ca="1">F7</f>
        <v>99371.71</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142917</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346902</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55586</v>
      </c>
      <c r="D56" s="1907"/>
      <c r="E56" s="1908"/>
      <c r="F56" s="1900"/>
      <c r="I56" s="1909" t="s">
        <v>1554</v>
      </c>
      <c r="J56" s="1910" t="s">
        <v>3038</v>
      </c>
      <c r="K56" s="1880" t="s">
        <v>1555</v>
      </c>
      <c r="L56" s="1883" t="str">
        <f ca="1">IF(L48&lt;J51,"——",L48-J53)</f>
        <v>——</v>
      </c>
      <c r="O56" s="1877" t="s">
        <v>1040</v>
      </c>
      <c r="P56" s="1878" t="s">
        <v>1528</v>
      </c>
      <c r="Q56" s="1879">
        <f ca="1">C40+J29</f>
        <v>346693</v>
      </c>
      <c r="R56" s="1879" t="s">
        <v>1529</v>
      </c>
    </row>
    <row r="57" spans="1:18" s="1835" customFormat="1" ht="24.75" thickBot="1">
      <c r="A57" s="1911"/>
      <c r="B57" s="1163" t="s">
        <v>1478</v>
      </c>
      <c r="C57" s="279">
        <f ca="1">C29</f>
        <v>56720</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5421</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4770.7</v>
      </c>
      <c r="D59" s="1176" t="s">
        <v>1430</v>
      </c>
      <c r="E59" s="1177" t="s">
        <v>1431</v>
      </c>
      <c r="F59" s="365" t="str">
        <f ca="1">IF(项目基本情况!B11="企业","",IF(INDIRECT("'数据-取费表'!c"&amp;$G$1)="住宅",5%,IF(F49*F50*F51/12/(1+'数据-取费表'!C42)&gt;20000,12%,7%)))</f>
        <v/>
      </c>
      <c r="I59" s="1915" t="s">
        <v>1563</v>
      </c>
      <c r="J59" s="1916">
        <f ca="1">IF(OR(M47="住宅",J51&lt;L48,J56="是"),"——",ROUND(C29*J58,0))</f>
        <v>22688</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209</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4764.4799999999996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6.18</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346693</v>
      </c>
      <c r="R62" s="1879" t="s">
        <v>1047</v>
      </c>
    </row>
    <row r="63" spans="1:18" s="1835" customFormat="1" ht="13.5" thickBot="1">
      <c r="A63" s="369"/>
      <c r="B63" s="1169"/>
      <c r="C63" s="29"/>
      <c r="D63" s="1179"/>
      <c r="E63" s="1163" t="s">
        <v>1499</v>
      </c>
      <c r="F63" s="345">
        <f t="shared" ca="1" si="0"/>
        <v>20612.990000000002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567.20000000000005</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83.4</v>
      </c>
      <c r="D65" s="1177" t="s">
        <v>1454</v>
      </c>
      <c r="E65" s="1163" t="s">
        <v>1455</v>
      </c>
      <c r="F65" s="373">
        <f t="shared" ca="1" si="0"/>
        <v>1.5E-3</v>
      </c>
      <c r="I65" s="1922" t="s">
        <v>1579</v>
      </c>
      <c r="J65" s="1923">
        <v>40</v>
      </c>
      <c r="K65" s="1923">
        <v>30</v>
      </c>
      <c r="L65" s="1923">
        <v>50</v>
      </c>
      <c r="M65" s="1925">
        <v>0.02</v>
      </c>
      <c r="O65" s="1877" t="s">
        <v>1040</v>
      </c>
      <c r="P65" s="1878" t="s">
        <v>1580</v>
      </c>
      <c r="Q65" s="1879">
        <f ca="1">C40+J29</f>
        <v>346693</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-5421</v>
      </c>
      <c r="D67" s="1176" t="s">
        <v>1464</v>
      </c>
      <c r="E67" s="1181"/>
      <c r="F67" s="1182"/>
      <c r="O67" s="1887" t="s">
        <v>1042</v>
      </c>
      <c r="P67" s="1878" t="s">
        <v>1562</v>
      </c>
      <c r="Q67" s="1926">
        <f ca="1">L51</f>
        <v>142917</v>
      </c>
      <c r="R67" s="1879" t="s">
        <v>1582</v>
      </c>
    </row>
    <row r="68" spans="1:18" s="1835" customFormat="1" ht="16.5" thickBot="1">
      <c r="A68" s="1160" t="s">
        <v>1032</v>
      </c>
      <c r="B68" s="1161" t="s">
        <v>1485</v>
      </c>
      <c r="C68" s="343">
        <f ca="1">ROUND(C67*(1-((1+F70)/(1+F68))^F69)/(F68-F70),0)</f>
        <v>-74209</v>
      </c>
      <c r="D68" s="1178" t="s">
        <v>1469</v>
      </c>
      <c r="E68" s="1163" t="s">
        <v>1470</v>
      </c>
      <c r="F68" s="354">
        <f ca="1">F40</f>
        <v>7.0000000000000007E-2</v>
      </c>
      <c r="O68" s="1887" t="s">
        <v>1043</v>
      </c>
      <c r="P68" s="1927" t="s">
        <v>1583</v>
      </c>
      <c r="Q68" s="1879">
        <f ca="1">ROUND(Q69-Q70*Q71,0)</f>
        <v>9799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15358</v>
      </c>
      <c r="R69" s="1879" t="s">
        <v>1529</v>
      </c>
    </row>
    <row r="70" spans="1:18" s="1835" customFormat="1" ht="13.5" thickBot="1">
      <c r="A70" s="1167"/>
      <c r="B70" s="1168"/>
      <c r="C70" s="352"/>
      <c r="D70" s="1179"/>
      <c r="E70" s="1163" t="s">
        <v>1477</v>
      </c>
      <c r="F70" s="1269"/>
      <c r="O70" s="1887" t="s">
        <v>1049</v>
      </c>
      <c r="P70" s="1927" t="s">
        <v>1585</v>
      </c>
      <c r="Q70" s="1879">
        <f ca="1">C13</f>
        <v>55586</v>
      </c>
      <c r="R70" s="1879" t="s">
        <v>1529</v>
      </c>
    </row>
    <row r="71" spans="1:18" s="1835" customFormat="1" ht="13.5" thickBot="1">
      <c r="A71" s="1184" t="s">
        <v>1033</v>
      </c>
      <c r="B71" s="1185" t="s">
        <v>1487</v>
      </c>
      <c r="C71" s="379">
        <f ca="1">ROUND(C68*10000/F71,0)</f>
        <v>-7468</v>
      </c>
      <c r="D71" s="1186" t="s">
        <v>1488</v>
      </c>
      <c r="E71" s="1187" t="s">
        <v>1489</v>
      </c>
      <c r="F71" s="382">
        <f ca="1">F43</f>
        <v>99371.71</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5559</v>
      </c>
      <c r="D75" s="1835"/>
      <c r="E75" s="1835"/>
      <c r="F75" s="1835"/>
      <c r="K75" s="1861"/>
      <c r="L75" s="1835"/>
      <c r="O75" s="1877" t="s">
        <v>1046</v>
      </c>
      <c r="P75" s="1878" t="s">
        <v>1549</v>
      </c>
      <c r="Q75" s="1879">
        <f ca="1">Q65+Q66</f>
        <v>346693</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0.63800000000000001</v>
      </c>
    </row>
    <row r="80" spans="1:18">
      <c r="B80" s="383" t="s">
        <v>1511</v>
      </c>
      <c r="C80" s="315">
        <f ca="1">ROUND(C75/C39,3)</f>
        <v>0.36199999999999999</v>
      </c>
    </row>
    <row r="81" spans="2:3">
      <c r="B81" s="311" t="s">
        <v>1512</v>
      </c>
      <c r="C81" s="279"/>
    </row>
    <row r="82" spans="2:3">
      <c r="B82" s="314" t="s">
        <v>1513</v>
      </c>
      <c r="C82" s="316">
        <f ca="1">1-C83</f>
        <v>0.84</v>
      </c>
    </row>
    <row r="83" spans="2:3">
      <c r="B83" s="314" t="s">
        <v>1514</v>
      </c>
      <c r="C83" s="315">
        <f ca="1">ROUND(C13/C40,3)</f>
        <v>0.16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64" t="s">
        <v>1403</v>
      </c>
      <c r="C6" s="1290">
        <f ca="1">ROUND(F6*F8*F7*(1-F9),0)</f>
        <v>0</v>
      </c>
      <c r="D6" s="161" t="s">
        <v>3009</v>
      </c>
      <c r="E6" s="344" t="s">
        <v>1405</v>
      </c>
      <c r="F6" s="345">
        <f ca="1">INDIRECT("'数据-取费表'!u"&amp;$G$1)</f>
        <v>0</v>
      </c>
      <c r="G6" s="1844"/>
      <c r="H6" s="1285" t="s">
        <v>1035</v>
      </c>
      <c r="I6" s="3264" t="s">
        <v>1403</v>
      </c>
      <c r="J6" s="343">
        <f ca="1">ROUND(M6*M8*M7*(1-M9),0)</f>
        <v>0</v>
      </c>
      <c r="K6" s="1827" t="s">
        <v>3010</v>
      </c>
      <c r="L6" s="344" t="s">
        <v>1405</v>
      </c>
      <c r="M6" s="345">
        <f ca="1">INDIRECT("'数据-取费表'!z"&amp;$G$1)</f>
        <v>0</v>
      </c>
    </row>
    <row r="7" spans="1:37" ht="18" customHeight="1">
      <c r="A7" s="1289"/>
      <c r="B7" s="3265"/>
      <c r="C7" s="1291"/>
      <c r="D7" s="349"/>
      <c r="E7" s="1292" t="s">
        <v>1406</v>
      </c>
      <c r="F7" s="345">
        <f ca="1">IF(INDIRECT("'数据-取费表'!ah"&amp;$G$1)="",INDIRECT("'数据-取费表'!k"&amp;$G$1),INDIRECT("'数据-取费表'!ah"&amp;$G$1))</f>
        <v>0</v>
      </c>
      <c r="G7" s="1844"/>
      <c r="H7" s="346"/>
      <c r="I7" s="3265"/>
      <c r="J7" s="348"/>
      <c r="K7" s="349"/>
      <c r="L7" s="344" t="s">
        <v>1406</v>
      </c>
      <c r="M7" s="345">
        <f ca="1">F7</f>
        <v>0</v>
      </c>
    </row>
    <row r="8" spans="1:37" ht="18" customHeight="1">
      <c r="A8" s="346"/>
      <c r="B8" s="3265"/>
      <c r="C8" s="348"/>
      <c r="D8" s="349"/>
      <c r="E8" s="344" t="s">
        <v>1407</v>
      </c>
      <c r="F8" s="345">
        <f ca="1">INDIRECT("'数据-取费表'!ai"&amp;$G$1)</f>
        <v>0</v>
      </c>
      <c r="G8" s="1844"/>
      <c r="H8" s="346"/>
      <c r="I8" s="3265"/>
      <c r="J8" s="348"/>
      <c r="K8" s="349"/>
      <c r="L8" s="344" t="s">
        <v>1407</v>
      </c>
      <c r="M8" s="345">
        <f ca="1">INDIRECT("'数据-取费表'!ai"&amp;$G$1)</f>
        <v>0</v>
      </c>
    </row>
    <row r="9" spans="1:37" ht="18" customHeight="1">
      <c r="A9" s="346"/>
      <c r="B9" s="3266"/>
      <c r="C9" s="348"/>
      <c r="D9" s="349"/>
      <c r="E9" s="344" t="s">
        <v>1408</v>
      </c>
      <c r="F9" s="354">
        <f ca="1">INDIRECT("'数据-取费表'!w"&amp;$G$1)</f>
        <v>0</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3020</v>
      </c>
      <c r="E10" s="355" t="s">
        <v>1410</v>
      </c>
      <c r="F10" s="1360"/>
      <c r="G10" s="1844"/>
      <c r="H10" s="1285" t="s">
        <v>1039</v>
      </c>
      <c r="I10" s="1816" t="s">
        <v>1409</v>
      </c>
      <c r="J10" s="343">
        <f ca="1">ROUND(IF(M10="押一",J6/12*M11,IF(M10="押二",J6/12*2*M11,IF(M10="押三",J6/12*3*M11,J11*M11))),0)</f>
        <v>0</v>
      </c>
      <c r="K10" s="1828" t="s">
        <v>3022</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0.01</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0.01</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3023</v>
      </c>
      <c r="E53" s="355" t="s">
        <v>1410</v>
      </c>
      <c r="F53" s="1360"/>
      <c r="I53" s="1898" t="s">
        <v>1547</v>
      </c>
      <c r="J53" s="1899" t="b">
        <f>IF(M47="住宅",J51,IF(D1="——",MIN(J51,L48),IF(D1="在建（套用方法）",MIN(J51,L48-'数据-取费表'!B24),IF(D1="土地（套用方法）",MIN(J51,L48-'数据-取费表'!B20)))))</f>
        <v>0</v>
      </c>
      <c r="K53" s="3262" t="s">
        <v>1548</v>
      </c>
      <c r="L53" s="326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3" t="s">
        <v>1076</v>
      </c>
      <c r="B1" s="3284"/>
      <c r="C1" s="3285"/>
      <c r="D1" s="3286">
        <f>SUM(I10,I15,I20,I21,I23)</f>
        <v>0</v>
      </c>
      <c r="E1" s="3286"/>
      <c r="F1" s="3286"/>
      <c r="G1" s="3286"/>
      <c r="H1" s="3286"/>
      <c r="I1" s="3287"/>
    </row>
    <row r="2" spans="1:9">
      <c r="A2" s="3273" t="s">
        <v>1077</v>
      </c>
      <c r="B2" s="3274" t="s">
        <v>1078</v>
      </c>
      <c r="C2" s="3274"/>
      <c r="D2" s="1295" t="s">
        <v>1079</v>
      </c>
      <c r="E2" s="1295" t="s">
        <v>1080</v>
      </c>
      <c r="F2" s="1295" t="s">
        <v>1081</v>
      </c>
      <c r="G2" s="1295" t="s">
        <v>1082</v>
      </c>
      <c r="H2" s="1295" t="s">
        <v>1083</v>
      </c>
      <c r="I2" s="1296" t="s">
        <v>1084</v>
      </c>
    </row>
    <row r="3" spans="1:9">
      <c r="A3" s="3273"/>
      <c r="B3" s="3274" t="s">
        <v>1085</v>
      </c>
      <c r="C3" s="3274"/>
      <c r="D3" s="1297"/>
      <c r="E3" s="1295"/>
      <c r="F3" s="1298"/>
      <c r="G3" s="1298"/>
      <c r="H3" s="1299"/>
      <c r="I3" s="1300">
        <f>ROUND(D3*E3*F3*G3*H3/10000,0)</f>
        <v>0</v>
      </c>
    </row>
    <row r="4" spans="1:9">
      <c r="A4" s="3273"/>
      <c r="B4" s="3274" t="s">
        <v>1086</v>
      </c>
      <c r="C4" s="3274"/>
      <c r="D4" s="1297"/>
      <c r="E4" s="1295"/>
      <c r="F4" s="1298"/>
      <c r="G4" s="1298"/>
      <c r="H4" s="1299"/>
      <c r="I4" s="1300">
        <f t="shared" ref="I4:I9" si="0">ROUND(D4*E4*F4*G4*H4/10000,0)</f>
        <v>0</v>
      </c>
    </row>
    <row r="5" spans="1:9">
      <c r="A5" s="3273"/>
      <c r="B5" s="3274" t="s">
        <v>1087</v>
      </c>
      <c r="C5" s="3274"/>
      <c r="D5" s="1297"/>
      <c r="E5" s="1295"/>
      <c r="F5" s="1298"/>
      <c r="G5" s="1298"/>
      <c r="H5" s="1299"/>
      <c r="I5" s="1300">
        <f t="shared" si="0"/>
        <v>0</v>
      </c>
    </row>
    <row r="6" spans="1:9">
      <c r="A6" s="3273"/>
      <c r="B6" s="3274" t="s">
        <v>1088</v>
      </c>
      <c r="C6" s="3274"/>
      <c r="D6" s="1297"/>
      <c r="E6" s="1295"/>
      <c r="F6" s="1298"/>
      <c r="G6" s="1298"/>
      <c r="H6" s="1299"/>
      <c r="I6" s="1300">
        <f t="shared" si="0"/>
        <v>0</v>
      </c>
    </row>
    <row r="7" spans="1:9">
      <c r="A7" s="3273"/>
      <c r="B7" s="3274" t="s">
        <v>1089</v>
      </c>
      <c r="C7" s="3274"/>
      <c r="D7" s="1297"/>
      <c r="E7" s="1295"/>
      <c r="F7" s="1298"/>
      <c r="G7" s="1298"/>
      <c r="H7" s="1299"/>
      <c r="I7" s="1300">
        <f t="shared" si="0"/>
        <v>0</v>
      </c>
    </row>
    <row r="8" spans="1:9">
      <c r="A8" s="3273"/>
      <c r="B8" s="3274" t="s">
        <v>1090</v>
      </c>
      <c r="C8" s="3274"/>
      <c r="D8" s="1297"/>
      <c r="E8" s="1295"/>
      <c r="F8" s="1298"/>
      <c r="G8" s="1298"/>
      <c r="H8" s="1299"/>
      <c r="I8" s="1300">
        <f t="shared" si="0"/>
        <v>0</v>
      </c>
    </row>
    <row r="9" spans="1:9">
      <c r="A9" s="3273"/>
      <c r="B9" s="3274" t="s">
        <v>1091</v>
      </c>
      <c r="C9" s="3274"/>
      <c r="D9" s="1297"/>
      <c r="E9" s="1295"/>
      <c r="F9" s="1298"/>
      <c r="G9" s="1298"/>
      <c r="H9" s="1299"/>
      <c r="I9" s="1300">
        <f t="shared" si="0"/>
        <v>0</v>
      </c>
    </row>
    <row r="10" spans="1:9">
      <c r="A10" s="3273"/>
      <c r="B10" s="3275" t="s">
        <v>1092</v>
      </c>
      <c r="C10" s="3275"/>
      <c r="D10" s="1301"/>
      <c r="E10" s="1301" t="e">
        <f>ROUND(D1*10000/D10/H9,0)</f>
        <v>#DIV/0!</v>
      </c>
      <c r="F10" s="1302"/>
      <c r="G10" s="1302"/>
      <c r="H10" s="1303"/>
      <c r="I10" s="1304">
        <f>SUM(I3:I9)</f>
        <v>0</v>
      </c>
    </row>
    <row r="11" spans="1:9" ht="14.25">
      <c r="A11" s="3273" t="s">
        <v>1093</v>
      </c>
      <c r="B11" s="3274" t="s">
        <v>1094</v>
      </c>
      <c r="C11" s="3274"/>
      <c r="D11" s="1297" t="s">
        <v>1095</v>
      </c>
      <c r="E11" s="1297" t="s">
        <v>1096</v>
      </c>
      <c r="F11" s="1298" t="s">
        <v>1097</v>
      </c>
      <c r="G11" s="1298" t="s">
        <v>1083</v>
      </c>
      <c r="H11" s="1305" t="s">
        <v>1098</v>
      </c>
      <c r="I11" s="1296" t="s">
        <v>1084</v>
      </c>
    </row>
    <row r="12" spans="1:9">
      <c r="A12" s="3273"/>
      <c r="B12" s="3274" t="s">
        <v>1099</v>
      </c>
      <c r="C12" s="3274"/>
      <c r="D12" s="1297"/>
      <c r="E12" s="1297"/>
      <c r="F12" s="1298"/>
      <c r="G12" s="1299"/>
      <c r="H12" s="1306"/>
      <c r="I12" s="1296">
        <f>ROUND(D12*E12*F12*G12/10000,0)</f>
        <v>0</v>
      </c>
    </row>
    <row r="13" spans="1:9">
      <c r="A13" s="3273"/>
      <c r="B13" s="3274" t="s">
        <v>1100</v>
      </c>
      <c r="C13" s="3274"/>
      <c r="D13" s="1297"/>
      <c r="E13" s="1297"/>
      <c r="F13" s="1298"/>
      <c r="G13" s="1299"/>
      <c r="H13" s="1306"/>
      <c r="I13" s="1296">
        <f>ROUND(D13*E13*F13*G13/10000,0)</f>
        <v>0</v>
      </c>
    </row>
    <row r="14" spans="1:9">
      <c r="A14" s="3273"/>
      <c r="B14" s="3274" t="s">
        <v>1101</v>
      </c>
      <c r="C14" s="3274"/>
      <c r="D14" s="1297"/>
      <c r="E14" s="1297"/>
      <c r="F14" s="1298"/>
      <c r="G14" s="1299"/>
      <c r="H14" s="1306"/>
      <c r="I14" s="1296">
        <f>ROUND(D14*E14*F14*G14/10000,0)</f>
        <v>0</v>
      </c>
    </row>
    <row r="15" spans="1:9">
      <c r="A15" s="3273"/>
      <c r="B15" s="3275" t="s">
        <v>1092</v>
      </c>
      <c r="C15" s="3275"/>
      <c r="D15" s="1301"/>
      <c r="E15" s="1301">
        <f>SUM(E12:E14)</f>
        <v>0</v>
      </c>
      <c r="F15" s="1302"/>
      <c r="G15" s="1299"/>
      <c r="H15" s="1306"/>
      <c r="I15" s="1307">
        <f>SUM(I12:I14)</f>
        <v>0</v>
      </c>
    </row>
    <row r="16" spans="1:9" ht="24">
      <c r="A16" s="3273" t="s">
        <v>1102</v>
      </c>
      <c r="B16" s="3274" t="s">
        <v>1103</v>
      </c>
      <c r="C16" s="3274"/>
      <c r="D16" s="1297" t="s">
        <v>1079</v>
      </c>
      <c r="E16" s="1308" t="s">
        <v>1104</v>
      </c>
      <c r="F16" s="1298" t="s">
        <v>1105</v>
      </c>
      <c r="G16" s="1299" t="s">
        <v>1083</v>
      </c>
      <c r="H16" s="1305" t="s">
        <v>1098</v>
      </c>
      <c r="I16" s="1296" t="s">
        <v>1084</v>
      </c>
    </row>
    <row r="17" spans="1:9" ht="14.25">
      <c r="A17" s="3273"/>
      <c r="B17" s="3274" t="s">
        <v>1106</v>
      </c>
      <c r="C17" s="3274"/>
      <c r="D17" s="1297"/>
      <c r="E17" s="1297"/>
      <c r="F17" s="1298"/>
      <c r="G17" s="1299"/>
      <c r="H17" s="1309"/>
      <c r="I17" s="1310">
        <f>ROUND(D17*E17*F17*G17/10000,0)</f>
        <v>0</v>
      </c>
    </row>
    <row r="18" spans="1:9" ht="14.25">
      <c r="A18" s="3273"/>
      <c r="B18" s="3274" t="s">
        <v>1107</v>
      </c>
      <c r="C18" s="3274"/>
      <c r="D18" s="1297"/>
      <c r="E18" s="1297"/>
      <c r="F18" s="1298"/>
      <c r="G18" s="1299"/>
      <c r="H18" s="1309"/>
      <c r="I18" s="1310">
        <f>ROUND(D18*E18*F18*G18/10000,0)</f>
        <v>0</v>
      </c>
    </row>
    <row r="19" spans="1:9" ht="14.25">
      <c r="A19" s="3273"/>
      <c r="B19" s="3274" t="s">
        <v>1108</v>
      </c>
      <c r="C19" s="3274"/>
      <c r="D19" s="1297"/>
      <c r="E19" s="1297"/>
      <c r="F19" s="1298"/>
      <c r="G19" s="1299"/>
      <c r="H19" s="1309"/>
      <c r="I19" s="1310">
        <f>ROUND(D19*E19*F19*G19/10000,0)</f>
        <v>0</v>
      </c>
    </row>
    <row r="20" spans="1:9">
      <c r="A20" s="3273"/>
      <c r="B20" s="3275" t="s">
        <v>1092</v>
      </c>
      <c r="C20" s="3275"/>
      <c r="D20" s="1301">
        <f>SUM(D17:D19)</f>
        <v>0</v>
      </c>
      <c r="E20" s="1301"/>
      <c r="F20" s="1302"/>
      <c r="G20" s="1299"/>
      <c r="H20" s="1306"/>
      <c r="I20" s="1307">
        <f>SUM(I17:I19)</f>
        <v>0</v>
      </c>
    </row>
    <row r="21" spans="1:9">
      <c r="A21" s="3273" t="s">
        <v>1109</v>
      </c>
      <c r="B21" s="3276"/>
      <c r="C21" s="3276"/>
      <c r="D21" s="3276"/>
      <c r="E21" s="3276"/>
      <c r="F21" s="3276"/>
      <c r="G21" s="3276"/>
      <c r="H21" s="1758">
        <v>0.1</v>
      </c>
      <c r="I21" s="1304">
        <f>ROUND(I10*H21,0)</f>
        <v>0</v>
      </c>
    </row>
    <row r="22" spans="1:9" ht="14.25">
      <c r="A22" s="3277" t="s">
        <v>1110</v>
      </c>
      <c r="B22" s="3278"/>
      <c r="C22" s="3279"/>
      <c r="D22" s="1311" t="s">
        <v>1111</v>
      </c>
      <c r="E22" s="1311" t="s">
        <v>1112</v>
      </c>
      <c r="F22" s="1312" t="s">
        <v>1113</v>
      </c>
      <c r="G22" s="1312" t="s">
        <v>1114</v>
      </c>
      <c r="H22" s="1305" t="s">
        <v>1115</v>
      </c>
      <c r="I22" s="1296" t="s">
        <v>1116</v>
      </c>
    </row>
    <row r="23" spans="1:9" ht="14.25" thickBot="1">
      <c r="A23" s="3280"/>
      <c r="B23" s="3281"/>
      <c r="C23" s="3282"/>
      <c r="D23" s="1313"/>
      <c r="E23" s="1313"/>
      <c r="F23" s="1313"/>
      <c r="G23" s="1314"/>
      <c r="H23" s="1315"/>
      <c r="I23" s="1316">
        <f>ROUND(E23*D23*F23*(1-G23)/10000,0)</f>
        <v>0</v>
      </c>
    </row>
    <row r="26" spans="1:9">
      <c r="A26" s="1317" t="s">
        <v>1117</v>
      </c>
      <c r="B26" s="1317"/>
      <c r="C26" s="1317"/>
      <c r="D26" s="1317"/>
      <c r="E26" s="3270">
        <f>C27-C30-C31-C32</f>
        <v>0</v>
      </c>
      <c r="F26" s="3270"/>
      <c r="G26" s="3270"/>
      <c r="H26" s="1730" t="s">
        <v>1340</v>
      </c>
    </row>
    <row r="27" spans="1:9">
      <c r="A27" s="1318">
        <v>1</v>
      </c>
      <c r="B27" s="1319" t="s">
        <v>1118</v>
      </c>
      <c r="C27" s="1319">
        <f>C28+C29</f>
        <v>0</v>
      </c>
      <c r="D27" s="1319"/>
      <c r="E27" s="3271"/>
      <c r="F27" s="3271"/>
      <c r="G27" s="3271"/>
    </row>
    <row r="28" spans="1:9">
      <c r="A28" s="1320" t="s">
        <v>1119</v>
      </c>
      <c r="B28" s="1319" t="s">
        <v>1120</v>
      </c>
      <c r="C28" s="1319"/>
      <c r="D28" s="1319"/>
      <c r="E28" s="3271"/>
      <c r="F28" s="3271"/>
      <c r="G28" s="327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72"/>
      <c r="F32" s="3272"/>
      <c r="G32" s="3272"/>
    </row>
    <row r="33" spans="1:7" hidden="1">
      <c r="A33" s="3267" t="s">
        <v>1129</v>
      </c>
      <c r="B33" s="3268"/>
      <c r="C33" s="3268"/>
      <c r="D33" s="3269"/>
      <c r="E33" s="3270"/>
      <c r="F33" s="3270"/>
      <c r="G33" s="3270"/>
    </row>
    <row r="34" spans="1:7" hidden="1">
      <c r="A34" s="1322">
        <v>1</v>
      </c>
      <c r="B34" s="1319" t="s">
        <v>1130</v>
      </c>
      <c r="C34" s="1319"/>
      <c r="D34" s="1319"/>
      <c r="E34" s="3271"/>
      <c r="F34" s="3271"/>
      <c r="G34" s="3271"/>
    </row>
    <row r="35" spans="1:7" hidden="1">
      <c r="A35" s="1322">
        <v>2</v>
      </c>
      <c r="B35" s="1319" t="s">
        <v>1131</v>
      </c>
      <c r="C35" s="1319"/>
      <c r="D35" s="1319"/>
      <c r="E35" s="3271"/>
      <c r="F35" s="3271"/>
      <c r="G35" s="3271"/>
    </row>
    <row r="36" spans="1:7" hidden="1">
      <c r="A36" s="1322">
        <v>3</v>
      </c>
      <c r="B36" s="1319" t="s">
        <v>1132</v>
      </c>
      <c r="C36" s="1319"/>
      <c r="D36" s="1319"/>
      <c r="E36" s="3271"/>
      <c r="F36" s="3271"/>
      <c r="G36" s="3271"/>
    </row>
    <row r="37" spans="1:7" hidden="1">
      <c r="A37" s="1322">
        <v>4</v>
      </c>
      <c r="B37" s="1319" t="s">
        <v>1133</v>
      </c>
      <c r="C37" s="1319"/>
      <c r="D37" s="1319"/>
      <c r="E37" s="3271"/>
      <c r="F37" s="3271"/>
      <c r="G37" s="3271"/>
    </row>
    <row r="38" spans="1:7" hidden="1">
      <c r="A38" s="3267" t="s">
        <v>1134</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2507</v>
      </c>
      <c r="C1" s="1627" t="s">
        <v>2508</v>
      </c>
      <c r="D1" s="1614"/>
      <c r="E1" s="2575"/>
      <c r="F1" s="2576" t="s">
        <v>2509</v>
      </c>
      <c r="G1" s="1624" t="s">
        <v>2510</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2511</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2512</v>
      </c>
      <c r="D3" s="396">
        <f>IF(D1="",'数据-汇总表'!E3,SUMIF('数据-汇总表'!$C19:$C33,D1,'数据-汇总表'!$E19:$E33))</f>
        <v>138263.03999999998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2513</v>
      </c>
      <c r="B4" s="399"/>
      <c r="C4" s="3222" t="s">
        <v>2514</v>
      </c>
      <c r="D4" s="3235"/>
      <c r="E4" s="3236" t="s">
        <v>2515</v>
      </c>
      <c r="F4" s="3237"/>
      <c r="G4" s="3222" t="s">
        <v>2516</v>
      </c>
      <c r="H4" s="3235"/>
      <c r="I4" s="3222" t="s">
        <v>2517</v>
      </c>
      <c r="J4" s="3235"/>
      <c r="K4" s="2588" t="s">
        <v>2518</v>
      </c>
      <c r="L4" s="1124"/>
      <c r="M4" s="1125"/>
      <c r="N4" s="1125"/>
      <c r="O4" s="1125"/>
      <c r="P4" s="3238" t="s">
        <v>2519</v>
      </c>
      <c r="Q4" s="3239"/>
      <c r="R4" s="3244" t="s">
        <v>2515</v>
      </c>
      <c r="S4" s="3245"/>
      <c r="T4" s="3244" t="s">
        <v>2516</v>
      </c>
      <c r="U4" s="3245"/>
      <c r="V4" s="3231" t="s">
        <v>2517</v>
      </c>
      <c r="W4" s="3231"/>
      <c r="X4" s="1806"/>
      <c r="Y4" s="3244" t="s">
        <v>2519</v>
      </c>
      <c r="Z4" s="3245"/>
      <c r="AA4" s="3232" t="s">
        <v>2515</v>
      </c>
      <c r="AB4" s="3232" t="s">
        <v>2516</v>
      </c>
      <c r="AC4" s="3232" t="s">
        <v>2517</v>
      </c>
    </row>
    <row r="5" spans="1:29" ht="15">
      <c r="A5" s="401"/>
      <c r="B5" s="402"/>
      <c r="C5" s="3252" t="s">
        <v>2520</v>
      </c>
      <c r="D5" s="3253"/>
      <c r="E5" s="3259" t="s">
        <v>2521</v>
      </c>
      <c r="F5" s="3260"/>
      <c r="G5" s="3252" t="s">
        <v>2522</v>
      </c>
      <c r="H5" s="3253"/>
      <c r="I5" s="3252" t="s">
        <v>2523</v>
      </c>
      <c r="J5" s="3253"/>
      <c r="K5" s="2589"/>
      <c r="L5" s="1124"/>
      <c r="M5" s="1125"/>
      <c r="N5" s="1125"/>
      <c r="O5" s="1125"/>
      <c r="P5" s="3240"/>
      <c r="Q5" s="3241"/>
      <c r="R5" s="3246"/>
      <c r="S5" s="3247"/>
      <c r="T5" s="3246"/>
      <c r="U5" s="3247"/>
      <c r="V5" s="3231"/>
      <c r="W5" s="3231"/>
      <c r="X5" s="1806"/>
      <c r="Y5" s="3246"/>
      <c r="Z5" s="3247"/>
      <c r="AA5" s="3233"/>
      <c r="AB5" s="3233"/>
      <c r="AC5" s="3233"/>
    </row>
    <row r="6" spans="1:29" ht="15.75" thickBot="1">
      <c r="A6" s="403"/>
      <c r="B6" s="404"/>
      <c r="C6" s="3250" t="s">
        <v>2524</v>
      </c>
      <c r="D6" s="3251"/>
      <c r="E6" s="3257" t="s">
        <v>2524</v>
      </c>
      <c r="F6" s="3258"/>
      <c r="G6" s="3250" t="s">
        <v>2524</v>
      </c>
      <c r="H6" s="3251"/>
      <c r="I6" s="3250" t="s">
        <v>2524</v>
      </c>
      <c r="J6" s="3251"/>
      <c r="K6" s="2589" t="s">
        <v>2525</v>
      </c>
      <c r="L6" s="1124"/>
      <c r="M6" s="1125"/>
      <c r="N6" s="1125"/>
      <c r="O6" s="1125"/>
      <c r="P6" s="3242"/>
      <c r="Q6" s="3243"/>
      <c r="R6" s="3246"/>
      <c r="S6" s="3247"/>
      <c r="T6" s="3248"/>
      <c r="U6" s="3249"/>
      <c r="V6" s="3231"/>
      <c r="W6" s="3231"/>
      <c r="X6" s="1806"/>
      <c r="Y6" s="3248"/>
      <c r="Z6" s="3249"/>
      <c r="AA6" s="3234"/>
      <c r="AB6" s="3234"/>
      <c r="AC6" s="3234"/>
    </row>
    <row r="7" spans="1:29" s="117" customFormat="1" ht="15.75" thickBot="1">
      <c r="A7" s="405" t="s">
        <v>2526</v>
      </c>
      <c r="B7" s="406"/>
      <c r="C7" s="407">
        <f>'数据-取费表'!B2</f>
        <v>43363</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54" t="s">
        <v>2527</v>
      </c>
      <c r="Q7" s="3256"/>
      <c r="R7" s="766" t="s">
        <v>23</v>
      </c>
      <c r="S7" s="767">
        <f t="shared" ref="S7:S15" si="0">F7</f>
        <v>0</v>
      </c>
      <c r="T7" s="766" t="s">
        <v>23</v>
      </c>
      <c r="U7" s="767">
        <f t="shared" ref="U7:U15" si="1">H7</f>
        <v>0</v>
      </c>
      <c r="V7" s="766" t="s">
        <v>23</v>
      </c>
      <c r="W7" s="767">
        <f t="shared" ref="W7:W15" si="2">J7</f>
        <v>0</v>
      </c>
      <c r="X7" s="768"/>
      <c r="Y7" s="3254" t="s">
        <v>2527</v>
      </c>
      <c r="Z7" s="3255"/>
      <c r="AA7" s="769" t="e">
        <f>D7/F7</f>
        <v>#DIV/0!</v>
      </c>
      <c r="AB7" s="769" t="e">
        <f>D7/H7</f>
        <v>#DIV/0!</v>
      </c>
      <c r="AC7" s="769" t="e">
        <f>D7/J7</f>
        <v>#DIV/0!</v>
      </c>
    </row>
    <row r="8" spans="1:29" s="117" customFormat="1" ht="15.75" thickBot="1">
      <c r="A8" s="405" t="s">
        <v>2528</v>
      </c>
      <c r="B8" s="406"/>
      <c r="C8" s="411" t="s">
        <v>2529</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54" t="s">
        <v>2530</v>
      </c>
      <c r="Q8" s="3255"/>
      <c r="R8" s="766" t="s">
        <v>23</v>
      </c>
      <c r="S8" s="767">
        <f t="shared" si="0"/>
        <v>0</v>
      </c>
      <c r="T8" s="766" t="s">
        <v>23</v>
      </c>
      <c r="U8" s="767">
        <f t="shared" si="1"/>
        <v>0</v>
      </c>
      <c r="V8" s="766" t="s">
        <v>23</v>
      </c>
      <c r="W8" s="767">
        <f t="shared" si="2"/>
        <v>0</v>
      </c>
      <c r="X8" s="768"/>
      <c r="Y8" s="3254" t="s">
        <v>2530</v>
      </c>
      <c r="Z8" s="3255"/>
      <c r="AA8" s="769" t="e">
        <f t="shared" ref="AA8:AA19" si="3">D8/F8</f>
        <v>#DIV/0!</v>
      </c>
      <c r="AB8" s="769" t="e">
        <f t="shared" ref="AB8:AB19" si="4">D8/H8</f>
        <v>#DIV/0!</v>
      </c>
      <c r="AC8" s="769" t="e">
        <f t="shared" ref="AC8:AC19" si="5">D8/J8</f>
        <v>#DIV/0!</v>
      </c>
    </row>
    <row r="9" spans="1:29" s="117" customFormat="1">
      <c r="A9" s="412" t="s">
        <v>2531</v>
      </c>
      <c r="B9" s="71" t="s">
        <v>2532</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24"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24"/>
      <c r="Q10" s="1788" t="str">
        <f t="shared" si="6"/>
        <v>土地使用年限（年）</v>
      </c>
      <c r="R10" s="766" t="s">
        <v>17</v>
      </c>
      <c r="S10" s="767">
        <f t="shared" si="0"/>
        <v>100</v>
      </c>
      <c r="T10" s="766" t="s">
        <v>17</v>
      </c>
      <c r="U10" s="767">
        <f t="shared" si="1"/>
        <v>100</v>
      </c>
      <c r="V10" s="766" t="s">
        <v>17</v>
      </c>
      <c r="W10" s="767">
        <f t="shared" si="2"/>
        <v>100</v>
      </c>
      <c r="X10" s="768"/>
      <c r="Y10" s="3073"/>
      <c r="Z10" s="55" t="str">
        <f t="shared" si="7"/>
        <v>土地使用年限（年）</v>
      </c>
      <c r="AA10" s="769">
        <f t="shared" si="3"/>
        <v>1</v>
      </c>
      <c r="AB10" s="769">
        <f t="shared" si="4"/>
        <v>1</v>
      </c>
      <c r="AC10" s="769">
        <f t="shared" si="5"/>
        <v>1</v>
      </c>
    </row>
    <row r="11" spans="1:29" ht="15">
      <c r="A11" s="425"/>
      <c r="B11" s="419" t="s">
        <v>2536</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24"/>
      <c r="Q11" s="1788" t="str">
        <f t="shared" si="6"/>
        <v>容积率</v>
      </c>
      <c r="R11" s="766" t="s">
        <v>21</v>
      </c>
      <c r="S11" s="767" t="e">
        <f t="shared" si="0"/>
        <v>#N/A</v>
      </c>
      <c r="T11" s="766" t="s">
        <v>21</v>
      </c>
      <c r="U11" s="767" t="e">
        <f t="shared" si="1"/>
        <v>#N/A</v>
      </c>
      <c r="V11" s="766" t="s">
        <v>21</v>
      </c>
      <c r="W11" s="767" t="e">
        <f t="shared" si="2"/>
        <v>#N/A</v>
      </c>
      <c r="X11" s="768"/>
      <c r="Y11" s="3073"/>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24"/>
      <c r="Q12" s="1788">
        <f t="shared" si="6"/>
        <v>111</v>
      </c>
      <c r="R12" s="766" t="s">
        <v>21</v>
      </c>
      <c r="S12" s="767">
        <f t="shared" si="0"/>
        <v>100</v>
      </c>
      <c r="T12" s="766" t="s">
        <v>21</v>
      </c>
      <c r="U12" s="767">
        <f t="shared" si="1"/>
        <v>100</v>
      </c>
      <c r="V12" s="766" t="s">
        <v>21</v>
      </c>
      <c r="W12" s="767">
        <f t="shared" si="2"/>
        <v>100</v>
      </c>
      <c r="X12" s="768"/>
      <c r="Y12" s="3073"/>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24"/>
      <c r="Q13" s="1788">
        <f t="shared" si="6"/>
        <v>111</v>
      </c>
      <c r="R13" s="766" t="s">
        <v>21</v>
      </c>
      <c r="S13" s="767">
        <f t="shared" si="0"/>
        <v>100</v>
      </c>
      <c r="T13" s="766" t="s">
        <v>21</v>
      </c>
      <c r="U13" s="767">
        <f t="shared" si="1"/>
        <v>100</v>
      </c>
      <c r="V13" s="766" t="s">
        <v>21</v>
      </c>
      <c r="W13" s="767">
        <f t="shared" si="2"/>
        <v>100</v>
      </c>
      <c r="X13" s="768"/>
      <c r="Y13" s="3073"/>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24"/>
      <c r="Q14" s="1788">
        <f t="shared" si="6"/>
        <v>111</v>
      </c>
      <c r="R14" s="766" t="s">
        <v>21</v>
      </c>
      <c r="S14" s="767">
        <f t="shared" si="0"/>
        <v>100</v>
      </c>
      <c r="T14" s="766" t="s">
        <v>21</v>
      </c>
      <c r="U14" s="767">
        <f t="shared" si="1"/>
        <v>100</v>
      </c>
      <c r="V14" s="766" t="s">
        <v>21</v>
      </c>
      <c r="W14" s="767">
        <f t="shared" si="2"/>
        <v>100</v>
      </c>
      <c r="X14" s="768"/>
      <c r="Y14" s="3073"/>
      <c r="Z14" s="55">
        <f t="shared" si="7"/>
        <v>111</v>
      </c>
      <c r="AA14" s="769">
        <f t="shared" si="3"/>
        <v>1</v>
      </c>
      <c r="AB14" s="769">
        <f t="shared" si="4"/>
        <v>1</v>
      </c>
      <c r="AC14" s="769">
        <f t="shared" si="5"/>
        <v>1</v>
      </c>
    </row>
    <row r="15" spans="1:29" ht="15">
      <c r="A15" s="437" t="s">
        <v>2537</v>
      </c>
      <c r="B15" s="69" t="s">
        <v>2083</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94" t="s">
        <v>2538</v>
      </c>
      <c r="Q15" s="1803" t="str">
        <f t="shared" si="6"/>
        <v>居住社区成熟度</v>
      </c>
      <c r="R15" s="770" t="s">
        <v>21</v>
      </c>
      <c r="S15" s="771">
        <f t="shared" si="0"/>
        <v>100</v>
      </c>
      <c r="T15" s="770" t="s">
        <v>21</v>
      </c>
      <c r="U15" s="771">
        <f t="shared" si="1"/>
        <v>100</v>
      </c>
      <c r="V15" s="770" t="s">
        <v>21</v>
      </c>
      <c r="W15" s="771">
        <f t="shared" si="2"/>
        <v>100</v>
      </c>
      <c r="X15" s="1806"/>
      <c r="Y15" s="3227" t="s">
        <v>2538</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95"/>
      <c r="Q16" s="1803"/>
      <c r="R16" s="770"/>
      <c r="S16" s="771"/>
      <c r="T16" s="770"/>
      <c r="U16" s="771"/>
      <c r="V16" s="770"/>
      <c r="W16" s="771"/>
      <c r="X16" s="1806"/>
      <c r="Y16" s="3228"/>
      <c r="Z16" s="1807"/>
      <c r="AA16" s="1804">
        <v>1</v>
      </c>
      <c r="AB16" s="1804">
        <v>1</v>
      </c>
      <c r="AC16" s="1804">
        <v>1</v>
      </c>
    </row>
    <row r="17" spans="1:29" ht="15">
      <c r="A17" s="425"/>
      <c r="B17" s="448" t="s">
        <v>2089</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95"/>
      <c r="Q17" s="1803" t="str">
        <f>B17</f>
        <v>交通便捷度</v>
      </c>
      <c r="R17" s="770" t="s">
        <v>21</v>
      </c>
      <c r="S17" s="771">
        <f>F17</f>
        <v>100</v>
      </c>
      <c r="T17" s="770" t="s">
        <v>21</v>
      </c>
      <c r="U17" s="771">
        <f>H17</f>
        <v>100</v>
      </c>
      <c r="V17" s="770" t="s">
        <v>21</v>
      </c>
      <c r="W17" s="771">
        <f>J17</f>
        <v>100</v>
      </c>
      <c r="X17" s="1806"/>
      <c r="Y17" s="3228"/>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95"/>
      <c r="Q18" s="1803"/>
      <c r="R18" s="770"/>
      <c r="S18" s="771"/>
      <c r="T18" s="770"/>
      <c r="U18" s="771"/>
      <c r="V18" s="770"/>
      <c r="W18" s="771"/>
      <c r="X18" s="1806"/>
      <c r="Y18" s="3228"/>
      <c r="Z18" s="1807"/>
      <c r="AA18" s="1804">
        <v>1</v>
      </c>
      <c r="AB18" s="1804">
        <v>1</v>
      </c>
      <c r="AC18" s="1804">
        <v>1</v>
      </c>
    </row>
    <row r="19" spans="1:29" ht="15">
      <c r="A19" s="425"/>
      <c r="B19" s="448" t="s">
        <v>2088</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95"/>
      <c r="Q19" s="1803" t="str">
        <f>B19</f>
        <v>公共配套设施</v>
      </c>
      <c r="R19" s="770" t="s">
        <v>21</v>
      </c>
      <c r="S19" s="771">
        <f>F19</f>
        <v>100</v>
      </c>
      <c r="T19" s="770" t="s">
        <v>21</v>
      </c>
      <c r="U19" s="771">
        <f>H19</f>
        <v>100</v>
      </c>
      <c r="V19" s="770" t="s">
        <v>21</v>
      </c>
      <c r="W19" s="771">
        <f>J19</f>
        <v>100</v>
      </c>
      <c r="X19" s="1806"/>
      <c r="Y19" s="3228"/>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95"/>
      <c r="Q20" s="1803"/>
      <c r="R20" s="770"/>
      <c r="S20" s="771"/>
      <c r="T20" s="770"/>
      <c r="U20" s="771"/>
      <c r="V20" s="770"/>
      <c r="W20" s="771"/>
      <c r="X20" s="1806"/>
      <c r="Y20" s="3228"/>
      <c r="Z20" s="1807"/>
      <c r="AA20" s="1804">
        <v>1</v>
      </c>
      <c r="AB20" s="1804">
        <v>1</v>
      </c>
      <c r="AC20" s="1804">
        <v>1</v>
      </c>
    </row>
    <row r="21" spans="1:29" ht="15">
      <c r="A21" s="425"/>
      <c r="B21" s="1378" t="s">
        <v>2090</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2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95"/>
      <c r="Q22" s="1803"/>
      <c r="R22" s="770"/>
      <c r="S22" s="771"/>
      <c r="T22" s="770"/>
      <c r="U22" s="771"/>
      <c r="V22" s="770"/>
      <c r="W22" s="771"/>
      <c r="X22" s="1806"/>
      <c r="Y22" s="3228"/>
      <c r="Z22" s="1807"/>
      <c r="AA22" s="1804">
        <v>1</v>
      </c>
      <c r="AB22" s="1804">
        <v>1</v>
      </c>
      <c r="AC22" s="1804">
        <v>1</v>
      </c>
    </row>
    <row r="23" spans="1:29" ht="15">
      <c r="A23" s="425"/>
      <c r="B23" s="448" t="s">
        <v>2092</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95"/>
      <c r="Q23" s="1803" t="str">
        <f>B23</f>
        <v>自然及人文环境</v>
      </c>
      <c r="R23" s="770" t="s">
        <v>21</v>
      </c>
      <c r="S23" s="771">
        <f>F23</f>
        <v>100</v>
      </c>
      <c r="T23" s="770" t="s">
        <v>21</v>
      </c>
      <c r="U23" s="771">
        <f>H23</f>
        <v>100</v>
      </c>
      <c r="V23" s="770" t="s">
        <v>21</v>
      </c>
      <c r="W23" s="771">
        <f>J23</f>
        <v>100</v>
      </c>
      <c r="X23" s="1806"/>
      <c r="Y23" s="3228"/>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95"/>
      <c r="Q24" s="1803"/>
      <c r="R24" s="770"/>
      <c r="S24" s="771"/>
      <c r="T24" s="770"/>
      <c r="U24" s="771"/>
      <c r="V24" s="770"/>
      <c r="W24" s="771"/>
      <c r="X24" s="1806"/>
      <c r="Y24" s="3228"/>
      <c r="Z24" s="1807"/>
      <c r="AA24" s="1804">
        <v>1</v>
      </c>
      <c r="AB24" s="1804">
        <v>1</v>
      </c>
      <c r="AC24" s="1804">
        <v>1</v>
      </c>
    </row>
    <row r="25" spans="1:29" ht="15">
      <c r="A25" s="425"/>
      <c r="B25" s="419" t="s">
        <v>2539</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9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28"/>
      <c r="Z25" s="1807" t="str">
        <f>Q25</f>
        <v>楼层-1</v>
      </c>
      <c r="AA25" s="1804">
        <f t="shared" ref="AA25:AA46" si="15">D25/F25</f>
        <v>1</v>
      </c>
      <c r="AB25" s="1804">
        <f t="shared" ref="AB25:AB46" si="16">D25/H25</f>
        <v>1</v>
      </c>
      <c r="AC25" s="1804">
        <f t="shared" ref="AC25:AC46" si="17">D25/J25</f>
        <v>1</v>
      </c>
    </row>
    <row r="26" spans="1:29" ht="15">
      <c r="A26" s="425"/>
      <c r="B26" s="419" t="s">
        <v>2540</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95"/>
      <c r="Q26" s="1803" t="str">
        <f t="shared" si="11"/>
        <v>朝向</v>
      </c>
      <c r="R26" s="770" t="s">
        <v>21</v>
      </c>
      <c r="S26" s="771">
        <f t="shared" si="12"/>
        <v>100</v>
      </c>
      <c r="T26" s="770" t="s">
        <v>21</v>
      </c>
      <c r="U26" s="771">
        <f t="shared" si="13"/>
        <v>100</v>
      </c>
      <c r="V26" s="770" t="s">
        <v>21</v>
      </c>
      <c r="W26" s="771">
        <f t="shared" si="14"/>
        <v>100</v>
      </c>
      <c r="X26" s="1806"/>
      <c r="Y26" s="3228"/>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95"/>
      <c r="Q27" s="1788">
        <f t="shared" si="11"/>
        <v>111</v>
      </c>
      <c r="R27" s="766" t="s">
        <v>21</v>
      </c>
      <c r="S27" s="767">
        <f t="shared" si="12"/>
        <v>100</v>
      </c>
      <c r="T27" s="766" t="s">
        <v>21</v>
      </c>
      <c r="U27" s="767">
        <f t="shared" si="13"/>
        <v>100</v>
      </c>
      <c r="V27" s="766" t="s">
        <v>21</v>
      </c>
      <c r="W27" s="767">
        <f t="shared" si="14"/>
        <v>100</v>
      </c>
      <c r="X27" s="768"/>
      <c r="Y27" s="3228"/>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95"/>
      <c r="Q28" s="1803">
        <f t="shared" si="11"/>
        <v>111</v>
      </c>
      <c r="R28" s="770" t="s">
        <v>21</v>
      </c>
      <c r="S28" s="771">
        <f t="shared" si="12"/>
        <v>100</v>
      </c>
      <c r="T28" s="770" t="s">
        <v>21</v>
      </c>
      <c r="U28" s="771">
        <f t="shared" si="13"/>
        <v>100</v>
      </c>
      <c r="V28" s="770" t="s">
        <v>21</v>
      </c>
      <c r="W28" s="771">
        <f t="shared" si="14"/>
        <v>100</v>
      </c>
      <c r="X28" s="1806"/>
      <c r="Y28" s="3228"/>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95"/>
      <c r="Q29" s="1803">
        <f t="shared" si="11"/>
        <v>111</v>
      </c>
      <c r="R29" s="770" t="s">
        <v>21</v>
      </c>
      <c r="S29" s="771">
        <f t="shared" si="12"/>
        <v>100</v>
      </c>
      <c r="T29" s="770" t="s">
        <v>21</v>
      </c>
      <c r="U29" s="771">
        <f t="shared" si="13"/>
        <v>100</v>
      </c>
      <c r="V29" s="770" t="s">
        <v>21</v>
      </c>
      <c r="W29" s="771">
        <f t="shared" si="14"/>
        <v>100</v>
      </c>
      <c r="X29" s="1806"/>
      <c r="Y29" s="3228"/>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95"/>
      <c r="Q30" s="1803">
        <f t="shared" si="11"/>
        <v>111</v>
      </c>
      <c r="R30" s="770" t="s">
        <v>21</v>
      </c>
      <c r="S30" s="771">
        <f t="shared" si="12"/>
        <v>100</v>
      </c>
      <c r="T30" s="770" t="s">
        <v>21</v>
      </c>
      <c r="U30" s="771">
        <f t="shared" si="13"/>
        <v>100</v>
      </c>
      <c r="V30" s="770" t="s">
        <v>21</v>
      </c>
      <c r="W30" s="771">
        <f t="shared" si="14"/>
        <v>100</v>
      </c>
      <c r="X30" s="1806"/>
      <c r="Y30" s="3228"/>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95"/>
      <c r="Q31" s="1803">
        <f t="shared" si="11"/>
        <v>111</v>
      </c>
      <c r="R31" s="770" t="s">
        <v>21</v>
      </c>
      <c r="S31" s="771">
        <f t="shared" si="12"/>
        <v>100</v>
      </c>
      <c r="T31" s="770" t="s">
        <v>21</v>
      </c>
      <c r="U31" s="771">
        <f t="shared" si="13"/>
        <v>100</v>
      </c>
      <c r="V31" s="770" t="s">
        <v>21</v>
      </c>
      <c r="W31" s="771">
        <f t="shared" si="14"/>
        <v>100</v>
      </c>
      <c r="X31" s="1806"/>
      <c r="Y31" s="3228"/>
      <c r="Z31" s="1807">
        <f t="shared" si="18"/>
        <v>111</v>
      </c>
      <c r="AA31" s="1804">
        <f t="shared" si="15"/>
        <v>1</v>
      </c>
      <c r="AB31" s="1804">
        <f t="shared" si="16"/>
        <v>1</v>
      </c>
      <c r="AC31" s="1804">
        <f t="shared" si="17"/>
        <v>1</v>
      </c>
    </row>
    <row r="32" spans="1:29" ht="15">
      <c r="A32" s="437" t="s">
        <v>2541</v>
      </c>
      <c r="B32" s="71" t="s">
        <v>2542</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90" t="s">
        <v>2543</v>
      </c>
      <c r="Q32" s="1803" t="str">
        <f t="shared" si="11"/>
        <v>建筑类型</v>
      </c>
      <c r="R32" s="770" t="s">
        <v>21</v>
      </c>
      <c r="S32" s="771">
        <f t="shared" si="12"/>
        <v>100</v>
      </c>
      <c r="T32" s="770" t="s">
        <v>21</v>
      </c>
      <c r="U32" s="771">
        <f t="shared" si="13"/>
        <v>100</v>
      </c>
      <c r="V32" s="770" t="s">
        <v>21</v>
      </c>
      <c r="W32" s="771">
        <f t="shared" si="14"/>
        <v>100</v>
      </c>
      <c r="X32" s="1806"/>
      <c r="Y32" s="3230" t="s">
        <v>2543</v>
      </c>
      <c r="Z32" s="1807" t="str">
        <f t="shared" si="18"/>
        <v>建筑类型</v>
      </c>
      <c r="AA32" s="1804">
        <f t="shared" si="15"/>
        <v>1</v>
      </c>
      <c r="AB32" s="1804">
        <f t="shared" si="16"/>
        <v>1</v>
      </c>
      <c r="AC32" s="1804">
        <f t="shared" si="17"/>
        <v>1</v>
      </c>
    </row>
    <row r="33" spans="1:29" s="468" customFormat="1" ht="15">
      <c r="A33" s="465"/>
      <c r="B33" s="419" t="s">
        <v>2544</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91"/>
      <c r="Q33" s="772" t="str">
        <f t="shared" si="11"/>
        <v>项目建筑规模</v>
      </c>
      <c r="R33" s="773" t="s">
        <v>21</v>
      </c>
      <c r="S33" s="774" t="e">
        <f t="shared" si="12"/>
        <v>#N/A</v>
      </c>
      <c r="T33" s="773" t="s">
        <v>21</v>
      </c>
      <c r="U33" s="774" t="e">
        <f t="shared" si="13"/>
        <v>#N/A</v>
      </c>
      <c r="V33" s="773" t="s">
        <v>21</v>
      </c>
      <c r="W33" s="774" t="e">
        <f t="shared" si="14"/>
        <v>#N/A</v>
      </c>
      <c r="X33" s="775"/>
      <c r="Y33" s="3230"/>
      <c r="Z33" s="776" t="str">
        <f t="shared" si="18"/>
        <v>项目建筑规模</v>
      </c>
      <c r="AA33" s="1804" t="e">
        <f t="shared" si="15"/>
        <v>#N/A</v>
      </c>
      <c r="AB33" s="1804" t="e">
        <f t="shared" si="16"/>
        <v>#N/A</v>
      </c>
      <c r="AC33" s="1804" t="e">
        <f t="shared" si="17"/>
        <v>#N/A</v>
      </c>
    </row>
    <row r="34" spans="1:29" ht="15">
      <c r="A34" s="469"/>
      <c r="B34" s="419" t="s">
        <v>2545</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91"/>
      <c r="Q34" s="1803" t="str">
        <f t="shared" si="11"/>
        <v>建筑结构</v>
      </c>
      <c r="R34" s="770" t="s">
        <v>21</v>
      </c>
      <c r="S34" s="771">
        <f t="shared" si="12"/>
        <v>100</v>
      </c>
      <c r="T34" s="770" t="s">
        <v>21</v>
      </c>
      <c r="U34" s="771">
        <f t="shared" si="13"/>
        <v>100</v>
      </c>
      <c r="V34" s="770" t="s">
        <v>21</v>
      </c>
      <c r="W34" s="771">
        <f t="shared" si="14"/>
        <v>100</v>
      </c>
      <c r="X34" s="1806"/>
      <c r="Y34" s="3230"/>
      <c r="Z34" s="1807" t="str">
        <f t="shared" si="18"/>
        <v>建筑结构</v>
      </c>
      <c r="AA34" s="1804">
        <f t="shared" si="15"/>
        <v>1</v>
      </c>
      <c r="AB34" s="1804">
        <f t="shared" si="16"/>
        <v>1</v>
      </c>
      <c r="AC34" s="1804">
        <f t="shared" si="17"/>
        <v>1</v>
      </c>
    </row>
    <row r="35" spans="1:29" ht="15">
      <c r="A35" s="469"/>
      <c r="B35" s="419" t="s">
        <v>2546</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91"/>
      <c r="Q35" s="1803" t="str">
        <f t="shared" si="11"/>
        <v>建筑品质</v>
      </c>
      <c r="R35" s="770" t="s">
        <v>21</v>
      </c>
      <c r="S35" s="771">
        <f t="shared" si="12"/>
        <v>100</v>
      </c>
      <c r="T35" s="770" t="s">
        <v>21</v>
      </c>
      <c r="U35" s="771">
        <f t="shared" si="13"/>
        <v>100</v>
      </c>
      <c r="V35" s="770" t="s">
        <v>21</v>
      </c>
      <c r="W35" s="771">
        <f t="shared" si="14"/>
        <v>100</v>
      </c>
      <c r="X35" s="1806"/>
      <c r="Y35" s="3230"/>
      <c r="Z35" s="1807" t="str">
        <f t="shared" si="18"/>
        <v>建筑品质</v>
      </c>
      <c r="AA35" s="1804">
        <f t="shared" si="15"/>
        <v>1</v>
      </c>
      <c r="AB35" s="1804">
        <f t="shared" si="16"/>
        <v>1</v>
      </c>
      <c r="AC35" s="1804">
        <f t="shared" si="17"/>
        <v>1</v>
      </c>
    </row>
    <row r="36" spans="1:29" ht="15">
      <c r="A36" s="469"/>
      <c r="B36" s="419" t="s">
        <v>2547</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91"/>
      <c r="Q36" s="1803" t="str">
        <f t="shared" si="11"/>
        <v>公共部分装修</v>
      </c>
      <c r="R36" s="770" t="s">
        <v>21</v>
      </c>
      <c r="S36" s="771">
        <f t="shared" si="12"/>
        <v>100</v>
      </c>
      <c r="T36" s="770" t="s">
        <v>21</v>
      </c>
      <c r="U36" s="771">
        <f t="shared" si="13"/>
        <v>100</v>
      </c>
      <c r="V36" s="770" t="s">
        <v>21</v>
      </c>
      <c r="W36" s="771">
        <f t="shared" si="14"/>
        <v>100</v>
      </c>
      <c r="X36" s="1806"/>
      <c r="Y36" s="3230"/>
      <c r="Z36" s="1807" t="str">
        <f t="shared" si="18"/>
        <v>公共部分装修</v>
      </c>
      <c r="AA36" s="1804">
        <f t="shared" si="15"/>
        <v>1</v>
      </c>
      <c r="AB36" s="1804">
        <f t="shared" si="16"/>
        <v>1</v>
      </c>
      <c r="AC36" s="1804">
        <f t="shared" si="17"/>
        <v>1</v>
      </c>
    </row>
    <row r="37" spans="1:29" s="117" customFormat="1" ht="15">
      <c r="A37" s="470"/>
      <c r="B37" s="419" t="s">
        <v>2548</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91"/>
      <c r="Q37" s="1788" t="str">
        <f t="shared" si="11"/>
        <v>成新度</v>
      </c>
      <c r="R37" s="766" t="s">
        <v>21</v>
      </c>
      <c r="S37" s="767" t="e">
        <f t="shared" si="12"/>
        <v>#N/A</v>
      </c>
      <c r="T37" s="766" t="s">
        <v>21</v>
      </c>
      <c r="U37" s="767" t="e">
        <f t="shared" si="13"/>
        <v>#N/A</v>
      </c>
      <c r="V37" s="766" t="s">
        <v>21</v>
      </c>
      <c r="W37" s="767" t="e">
        <f t="shared" si="14"/>
        <v>#N/A</v>
      </c>
      <c r="X37" s="768"/>
      <c r="Y37" s="3230"/>
      <c r="Z37" s="55" t="str">
        <f t="shared" si="18"/>
        <v>成新度</v>
      </c>
      <c r="AA37" s="769" t="e">
        <f t="shared" si="15"/>
        <v>#N/A</v>
      </c>
      <c r="AB37" s="769" t="e">
        <f t="shared" si="16"/>
        <v>#N/A</v>
      </c>
      <c r="AC37" s="769" t="e">
        <f t="shared" si="17"/>
        <v>#N/A</v>
      </c>
    </row>
    <row r="38" spans="1:29" ht="15">
      <c r="A38" s="469"/>
      <c r="B38" s="419" t="s">
        <v>2549</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91" t="s">
        <v>2543</v>
      </c>
      <c r="Q38" s="1803" t="str">
        <f t="shared" si="11"/>
        <v>物业管理</v>
      </c>
      <c r="R38" s="770" t="s">
        <v>21</v>
      </c>
      <c r="S38" s="771">
        <f t="shared" si="12"/>
        <v>100</v>
      </c>
      <c r="T38" s="770" t="s">
        <v>21</v>
      </c>
      <c r="U38" s="771">
        <f t="shared" si="13"/>
        <v>100</v>
      </c>
      <c r="V38" s="770" t="s">
        <v>21</v>
      </c>
      <c r="W38" s="771">
        <f t="shared" si="14"/>
        <v>100</v>
      </c>
      <c r="X38" s="1806"/>
      <c r="Y38" s="3230" t="s">
        <v>2543</v>
      </c>
      <c r="Z38" s="1807" t="str">
        <f t="shared" si="18"/>
        <v>物业管理</v>
      </c>
      <c r="AA38" s="1804">
        <f t="shared" si="15"/>
        <v>1</v>
      </c>
      <c r="AB38" s="1804">
        <f t="shared" si="16"/>
        <v>1</v>
      </c>
      <c r="AC38" s="1804">
        <f t="shared" si="17"/>
        <v>1</v>
      </c>
    </row>
    <row r="39" spans="1:29" ht="15">
      <c r="A39" s="469"/>
      <c r="B39" s="419" t="s">
        <v>2550</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91"/>
      <c r="Q39" s="1803" t="str">
        <f t="shared" si="11"/>
        <v>市政基础设施</v>
      </c>
      <c r="R39" s="770" t="s">
        <v>21</v>
      </c>
      <c r="S39" s="771">
        <f t="shared" si="12"/>
        <v>100</v>
      </c>
      <c r="T39" s="770" t="s">
        <v>21</v>
      </c>
      <c r="U39" s="771">
        <f t="shared" si="13"/>
        <v>100</v>
      </c>
      <c r="V39" s="770" t="s">
        <v>21</v>
      </c>
      <c r="W39" s="771">
        <f t="shared" si="14"/>
        <v>100</v>
      </c>
      <c r="X39" s="1806"/>
      <c r="Y39" s="3230"/>
      <c r="Z39" s="1807" t="str">
        <f t="shared" si="18"/>
        <v>市政基础设施</v>
      </c>
      <c r="AA39" s="1804">
        <f t="shared" si="15"/>
        <v>1</v>
      </c>
      <c r="AB39" s="1804">
        <f t="shared" si="16"/>
        <v>1</v>
      </c>
      <c r="AC39" s="1804">
        <f t="shared" si="17"/>
        <v>1</v>
      </c>
    </row>
    <row r="40" spans="1:29" ht="15">
      <c r="A40" s="469"/>
      <c r="B40" s="419" t="s">
        <v>2551</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91"/>
      <c r="Q40" s="1803" t="str">
        <f t="shared" si="11"/>
        <v>房型</v>
      </c>
      <c r="R40" s="770" t="s">
        <v>21</v>
      </c>
      <c r="S40" s="771">
        <f t="shared" si="12"/>
        <v>100</v>
      </c>
      <c r="T40" s="770" t="s">
        <v>21</v>
      </c>
      <c r="U40" s="771">
        <f t="shared" si="13"/>
        <v>100</v>
      </c>
      <c r="V40" s="770" t="s">
        <v>21</v>
      </c>
      <c r="W40" s="771">
        <f t="shared" si="14"/>
        <v>100</v>
      </c>
      <c r="X40" s="1806"/>
      <c r="Y40" s="3230"/>
      <c r="Z40" s="1807" t="str">
        <f t="shared" si="18"/>
        <v>房型</v>
      </c>
      <c r="AA40" s="1804">
        <f t="shared" si="15"/>
        <v>1</v>
      </c>
      <c r="AB40" s="1804">
        <f t="shared" si="16"/>
        <v>1</v>
      </c>
      <c r="AC40" s="1804">
        <f t="shared" si="17"/>
        <v>1</v>
      </c>
    </row>
    <row r="41" spans="1:29" s="468" customFormat="1" ht="28.5">
      <c r="A41" s="465"/>
      <c r="B41" s="419" t="s">
        <v>2552</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91"/>
      <c r="Q41" s="772" t="str">
        <f t="shared" si="11"/>
        <v>单套/主力户型建筑面积</v>
      </c>
      <c r="R41" s="773" t="s">
        <v>21</v>
      </c>
      <c r="S41" s="774">
        <f t="shared" si="12"/>
        <v>100</v>
      </c>
      <c r="T41" s="773" t="s">
        <v>21</v>
      </c>
      <c r="U41" s="774">
        <f t="shared" si="13"/>
        <v>100</v>
      </c>
      <c r="V41" s="773" t="s">
        <v>21</v>
      </c>
      <c r="W41" s="774">
        <f t="shared" si="14"/>
        <v>100</v>
      </c>
      <c r="X41" s="775"/>
      <c r="Y41" s="3230"/>
      <c r="Z41" s="776" t="str">
        <f t="shared" si="18"/>
        <v>单套/主力户型建筑面积</v>
      </c>
      <c r="AA41" s="1804">
        <f t="shared" si="15"/>
        <v>1</v>
      </c>
      <c r="AB41" s="1804">
        <f t="shared" si="16"/>
        <v>1</v>
      </c>
      <c r="AC41" s="1804">
        <f t="shared" si="17"/>
        <v>1</v>
      </c>
    </row>
    <row r="42" spans="1:29" ht="15">
      <c r="A42" s="469"/>
      <c r="B42" s="419" t="s">
        <v>2553</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91"/>
      <c r="Q42" s="1803" t="str">
        <f t="shared" si="11"/>
        <v>内部装修</v>
      </c>
      <c r="R42" s="770" t="s">
        <v>21</v>
      </c>
      <c r="S42" s="771">
        <f t="shared" si="12"/>
        <v>100</v>
      </c>
      <c r="T42" s="770" t="s">
        <v>21</v>
      </c>
      <c r="U42" s="771">
        <f t="shared" si="13"/>
        <v>100</v>
      </c>
      <c r="V42" s="770" t="s">
        <v>21</v>
      </c>
      <c r="W42" s="771">
        <f t="shared" si="14"/>
        <v>100</v>
      </c>
      <c r="X42" s="1806"/>
      <c r="Y42" s="3230"/>
      <c r="Z42" s="1807" t="str">
        <f t="shared" si="18"/>
        <v>内部装修</v>
      </c>
      <c r="AA42" s="1804">
        <f t="shared" si="15"/>
        <v>1</v>
      </c>
      <c r="AB42" s="1804">
        <f t="shared" si="16"/>
        <v>1</v>
      </c>
      <c r="AC42" s="1804">
        <f t="shared" si="17"/>
        <v>1</v>
      </c>
    </row>
    <row r="43" spans="1:29" ht="15">
      <c r="A43" s="469"/>
      <c r="B43" s="419" t="s">
        <v>2554</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91"/>
      <c r="Q43" s="1803" t="str">
        <f t="shared" si="11"/>
        <v>内部装修维护情况</v>
      </c>
      <c r="R43" s="770" t="s">
        <v>21</v>
      </c>
      <c r="S43" s="771">
        <f t="shared" si="12"/>
        <v>100</v>
      </c>
      <c r="T43" s="770" t="s">
        <v>21</v>
      </c>
      <c r="U43" s="771">
        <f t="shared" si="13"/>
        <v>100</v>
      </c>
      <c r="V43" s="770" t="s">
        <v>21</v>
      </c>
      <c r="W43" s="771">
        <f t="shared" si="14"/>
        <v>100</v>
      </c>
      <c r="X43" s="1806"/>
      <c r="Y43" s="3230"/>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91"/>
      <c r="Q44" s="1788">
        <f t="shared" si="11"/>
        <v>111</v>
      </c>
      <c r="R44" s="766" t="s">
        <v>21</v>
      </c>
      <c r="S44" s="767">
        <f t="shared" si="12"/>
        <v>100</v>
      </c>
      <c r="T44" s="766" t="s">
        <v>21</v>
      </c>
      <c r="U44" s="767">
        <f t="shared" si="13"/>
        <v>100</v>
      </c>
      <c r="V44" s="766" t="s">
        <v>21</v>
      </c>
      <c r="W44" s="767">
        <f t="shared" si="14"/>
        <v>100</v>
      </c>
      <c r="X44" s="768"/>
      <c r="Y44" s="3230"/>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91"/>
      <c r="Q45" s="1803">
        <f t="shared" si="11"/>
        <v>111</v>
      </c>
      <c r="R45" s="770" t="s">
        <v>21</v>
      </c>
      <c r="S45" s="771">
        <f t="shared" si="12"/>
        <v>100</v>
      </c>
      <c r="T45" s="770" t="s">
        <v>21</v>
      </c>
      <c r="U45" s="771">
        <f t="shared" si="13"/>
        <v>100</v>
      </c>
      <c r="V45" s="770" t="s">
        <v>21</v>
      </c>
      <c r="W45" s="771">
        <f t="shared" si="14"/>
        <v>100</v>
      </c>
      <c r="X45" s="1806"/>
      <c r="Y45" s="3230"/>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92"/>
      <c r="Q46" s="1803">
        <f t="shared" si="11"/>
        <v>111</v>
      </c>
      <c r="R46" s="770" t="s">
        <v>20</v>
      </c>
      <c r="S46" s="771">
        <f t="shared" si="12"/>
        <v>100</v>
      </c>
      <c r="T46" s="770" t="s">
        <v>20</v>
      </c>
      <c r="U46" s="771">
        <f t="shared" si="13"/>
        <v>100</v>
      </c>
      <c r="V46" s="770" t="s">
        <v>20</v>
      </c>
      <c r="W46" s="771">
        <f t="shared" si="14"/>
        <v>100</v>
      </c>
      <c r="X46" s="1806"/>
      <c r="Y46" s="3293"/>
      <c r="Z46" s="1807">
        <f t="shared" si="18"/>
        <v>111</v>
      </c>
      <c r="AA46" s="1804">
        <f t="shared" si="15"/>
        <v>1</v>
      </c>
      <c r="AB46" s="1804">
        <f t="shared" si="16"/>
        <v>1</v>
      </c>
      <c r="AC46" s="1804">
        <f t="shared" si="17"/>
        <v>1</v>
      </c>
    </row>
    <row r="47" spans="1:29" ht="15">
      <c r="A47" s="476" t="s">
        <v>2555</v>
      </c>
      <c r="B47" s="477"/>
      <c r="C47" s="1401" t="s">
        <v>19</v>
      </c>
      <c r="D47" s="1402"/>
      <c r="E47" s="1403"/>
      <c r="F47" s="1404"/>
      <c r="G47" s="1405"/>
      <c r="H47" s="1406"/>
      <c r="I47" s="1403"/>
      <c r="J47" s="1406"/>
      <c r="K47" s="2613"/>
      <c r="L47" s="1137"/>
      <c r="M47" s="1138"/>
      <c r="N47" s="1125"/>
      <c r="O47" s="1138"/>
      <c r="P47" s="3225" t="str">
        <f>A47</f>
        <v>成交单价（元/平方米）</v>
      </c>
      <c r="Q47" s="3225"/>
      <c r="R47" s="3289">
        <f>E47</f>
        <v>0</v>
      </c>
      <c r="S47" s="3289"/>
      <c r="T47" s="3289">
        <f>G47</f>
        <v>0</v>
      </c>
      <c r="U47" s="3289"/>
      <c r="V47" s="3289">
        <f>I47</f>
        <v>0</v>
      </c>
      <c r="W47" s="3289"/>
      <c r="X47" s="755"/>
      <c r="Y47" s="777"/>
      <c r="Z47" s="755"/>
      <c r="AA47" s="755"/>
      <c r="AB47" s="755"/>
      <c r="AC47" s="755"/>
    </row>
    <row r="48" spans="1:29" ht="15.75" thickBot="1">
      <c r="A48" s="483" t="s">
        <v>2556</v>
      </c>
      <c r="B48" s="484"/>
      <c r="C48" s="1407" t="e">
        <f>R49</f>
        <v>#DIV/0!</v>
      </c>
      <c r="D48" s="1408"/>
      <c r="E48" s="1409" t="e">
        <f>R48</f>
        <v>#DIV/0!</v>
      </c>
      <c r="F48" s="1409"/>
      <c r="G48" s="1407" t="e">
        <f>T48</f>
        <v>#DIV/0!</v>
      </c>
      <c r="H48" s="1408"/>
      <c r="I48" s="1409" t="e">
        <f>V48</f>
        <v>#DIV/0!</v>
      </c>
      <c r="J48" s="1408"/>
      <c r="K48" s="2614"/>
      <c r="L48" s="1137"/>
      <c r="M48" s="1138"/>
      <c r="N48" s="1138"/>
      <c r="O48" s="1138"/>
      <c r="P48" s="3225" t="str">
        <f>A48</f>
        <v>比较价值（元/平方米）</v>
      </c>
      <c r="Q48" s="3225"/>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5"/>
      <c r="Y48" s="755"/>
      <c r="Z48" s="755"/>
      <c r="AA48" s="755"/>
      <c r="AB48" s="755"/>
      <c r="AC48" s="755"/>
    </row>
    <row r="49" spans="1:29" ht="15.75" thickBot="1">
      <c r="A49" s="489" t="s">
        <v>2557</v>
      </c>
      <c r="B49" s="490"/>
      <c r="C49" s="1410" t="e">
        <f>R49</f>
        <v>#DIV/0!</v>
      </c>
      <c r="D49" s="1411"/>
      <c r="E49" s="1411"/>
      <c r="F49" s="1411"/>
      <c r="G49" s="1411"/>
      <c r="H49" s="1411"/>
      <c r="I49" s="1411"/>
      <c r="J49" s="1411"/>
      <c r="K49" s="2615"/>
      <c r="L49" s="1137"/>
      <c r="M49" s="1138"/>
      <c r="N49" s="1138"/>
      <c r="O49" s="1138"/>
      <c r="P49" s="3219" t="str">
        <f>A49</f>
        <v>估价对象XX用房的比较价值（楼面单价，元/平方米）</v>
      </c>
      <c r="Q49" s="3220"/>
      <c r="R49" s="3288" t="e">
        <f>IF(F1="售价",ROUND(AVERAGE(R48:V48),0),ROUND(AVERAGE(R48:V48),1))</f>
        <v>#DIV/0!</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2558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2559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2561</v>
      </c>
      <c r="B57" s="755"/>
      <c r="C57" s="760"/>
      <c r="D57" s="760"/>
      <c r="E57" s="760"/>
      <c r="F57" s="761"/>
      <c r="G57" s="761"/>
      <c r="H57" s="760"/>
      <c r="I57" s="760"/>
      <c r="J57" s="760"/>
      <c r="K57" s="1154"/>
      <c r="L57" s="1155"/>
      <c r="M57" s="1153"/>
      <c r="N57" s="1153"/>
      <c r="O57" s="1153"/>
      <c r="P57" s="2618"/>
      <c r="Q57" s="501"/>
    </row>
    <row r="58" spans="1:29" s="505" customFormat="1" ht="15">
      <c r="A58" s="502" t="s">
        <v>2562</v>
      </c>
      <c r="B58" s="503"/>
      <c r="C58" s="1569" t="str">
        <f>YEAR(C7)&amp;"-"&amp;MONTH(C7)</f>
        <v>2018-9</v>
      </c>
      <c r="D58" s="1568">
        <f>EDATE(C58,-1)</f>
        <v>43313</v>
      </c>
      <c r="E58" s="1568">
        <f>EDATE(D58,-1)</f>
        <v>43282</v>
      </c>
      <c r="F58" s="1568">
        <f t="shared" ref="F58:O58" si="19">EDATE(E58,-1)</f>
        <v>43252</v>
      </c>
      <c r="G58" s="1568">
        <f t="shared" si="19"/>
        <v>43221</v>
      </c>
      <c r="H58" s="1568">
        <f t="shared" si="19"/>
        <v>43191</v>
      </c>
      <c r="I58" s="1568">
        <f t="shared" si="19"/>
        <v>43160</v>
      </c>
      <c r="J58" s="1568">
        <f t="shared" si="19"/>
        <v>43132</v>
      </c>
      <c r="K58" s="1568">
        <f t="shared" si="19"/>
        <v>43101</v>
      </c>
      <c r="L58" s="1568">
        <f t="shared" si="19"/>
        <v>43070</v>
      </c>
      <c r="M58" s="1568">
        <f t="shared" si="19"/>
        <v>43040</v>
      </c>
      <c r="N58" s="1568">
        <f t="shared" si="19"/>
        <v>43009</v>
      </c>
      <c r="O58" s="1568">
        <f t="shared" si="19"/>
        <v>42979</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2564</v>
      </c>
      <c r="B61" s="507"/>
      <c r="C61" s="519" t="s">
        <v>2565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2536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2090</v>
      </c>
      <c r="C82" s="536" t="s">
        <v>2582</v>
      </c>
      <c r="D82" s="536" t="s">
        <v>2583</v>
      </c>
      <c r="E82" s="536" t="s">
        <v>2584</v>
      </c>
      <c r="F82" s="536" t="s">
        <v>2585</v>
      </c>
      <c r="G82" s="536" t="s">
        <v>2586</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2588</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2589</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2541</v>
      </c>
      <c r="B100" s="525" t="s">
        <v>2590</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2592</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2593</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2594</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2595</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2596</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2597</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2552</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2598</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2600</v>
      </c>
    </row>
    <row r="137" spans="1:17" ht="15">
      <c r="B137" s="2630" t="s">
        <v>2601</v>
      </c>
      <c r="C137" s="2631"/>
      <c r="D137" s="2631"/>
      <c r="E137" s="2631"/>
      <c r="F137" s="2631"/>
      <c r="G137" s="2632"/>
      <c r="H137" s="2633"/>
      <c r="I137" s="2634" t="s">
        <v>2602</v>
      </c>
      <c r="J137" s="2631"/>
      <c r="K137" s="2635"/>
    </row>
    <row r="138" spans="1:17" ht="15">
      <c r="B138" s="2636"/>
      <c r="C138" s="146" t="s">
        <v>2603</v>
      </c>
      <c r="D138" s="146" t="s">
        <v>2604</v>
      </c>
      <c r="E138" s="2637" t="s">
        <v>2605</v>
      </c>
      <c r="F138" s="2638" t="s">
        <v>2606</v>
      </c>
      <c r="G138" s="146" t="s">
        <v>2604</v>
      </c>
      <c r="H138" s="147" t="s">
        <v>2605</v>
      </c>
      <c r="I138" s="2639"/>
      <c r="J138" s="146" t="s">
        <v>2607</v>
      </c>
      <c r="K138" s="147" t="s">
        <v>2608</v>
      </c>
    </row>
    <row r="139" spans="1:17" ht="15">
      <c r="B139" s="1078">
        <v>6</v>
      </c>
      <c r="C139" s="1079">
        <v>96</v>
      </c>
      <c r="D139" s="2640" t="s">
        <v>2609</v>
      </c>
      <c r="E139" s="1080">
        <v>100</v>
      </c>
      <c r="F139" s="1081">
        <v>102.5</v>
      </c>
      <c r="G139" s="2640" t="s">
        <v>2609</v>
      </c>
      <c r="H139" s="1082">
        <v>105</v>
      </c>
      <c r="I139" s="2641" t="s">
        <v>2610</v>
      </c>
      <c r="J139" s="1079">
        <v>20</v>
      </c>
      <c r="K139" s="1083">
        <f>C145/(J139-2)</f>
        <v>4.0555555555555553E-3</v>
      </c>
    </row>
    <row r="140" spans="1:17" ht="15">
      <c r="B140" s="1084">
        <v>5</v>
      </c>
      <c r="C140" s="1085">
        <v>100</v>
      </c>
      <c r="D140" s="1085"/>
      <c r="E140" s="1086"/>
      <c r="F140" s="1087">
        <v>102</v>
      </c>
      <c r="G140" s="1085"/>
      <c r="H140" s="1088"/>
      <c r="I140" s="2642" t="s">
        <v>2611</v>
      </c>
      <c r="J140" s="312">
        <f>ROUNDUP((J139-1)/2,0)</f>
        <v>10</v>
      </c>
      <c r="K140" s="1089">
        <v>100</v>
      </c>
    </row>
    <row r="141" spans="1:17" ht="15">
      <c r="B141" s="1084">
        <v>4</v>
      </c>
      <c r="C141" s="1085">
        <v>102</v>
      </c>
      <c r="D141" s="1085"/>
      <c r="E141" s="1086"/>
      <c r="F141" s="1087">
        <v>101.5</v>
      </c>
      <c r="G141" s="1085"/>
      <c r="H141" s="1088"/>
      <c r="I141" s="2642" t="s">
        <v>2612</v>
      </c>
      <c r="J141" s="312">
        <v>1</v>
      </c>
      <c r="K141" s="1090">
        <f>ROUND(100+(J141-J140)*K139*100,1)</f>
        <v>96.4</v>
      </c>
    </row>
    <row r="142" spans="1:17" ht="15">
      <c r="B142" s="1084">
        <v>3</v>
      </c>
      <c r="C142" s="1085">
        <v>103</v>
      </c>
      <c r="D142" s="1085"/>
      <c r="E142" s="1086"/>
      <c r="F142" s="1087">
        <v>101</v>
      </c>
      <c r="G142" s="1085"/>
      <c r="H142" s="1088"/>
      <c r="I142" s="2642" t="s">
        <v>2613</v>
      </c>
      <c r="J142" s="312">
        <f>J139</f>
        <v>20</v>
      </c>
      <c r="K142" s="1091">
        <v>95</v>
      </c>
    </row>
    <row r="143" spans="1:17" ht="15">
      <c r="B143" s="1084">
        <v>2</v>
      </c>
      <c r="C143" s="1085">
        <v>100</v>
      </c>
      <c r="D143" s="1085"/>
      <c r="E143" s="1086"/>
      <c r="F143" s="1087">
        <v>100.5</v>
      </c>
      <c r="G143" s="1085"/>
      <c r="H143" s="1088"/>
      <c r="I143" s="2642" t="s">
        <v>2614</v>
      </c>
      <c r="J143" s="1085">
        <v>15</v>
      </c>
      <c r="K143" s="1090">
        <f>ROUND(100+(J143-J140)*K139*100,1)</f>
        <v>102</v>
      </c>
    </row>
    <row r="144" spans="1:17" ht="15">
      <c r="B144" s="1084">
        <v>1</v>
      </c>
      <c r="C144" s="1085">
        <v>98</v>
      </c>
      <c r="D144" s="2643" t="s">
        <v>2615</v>
      </c>
      <c r="E144" s="1086">
        <v>102</v>
      </c>
      <c r="F144" s="1092">
        <v>100</v>
      </c>
      <c r="G144" s="2643" t="s">
        <v>2615</v>
      </c>
      <c r="H144" s="1088">
        <v>105</v>
      </c>
      <c r="I144" s="2642" t="s">
        <v>2614</v>
      </c>
      <c r="J144" s="1085">
        <v>18</v>
      </c>
      <c r="K144" s="1090">
        <f>ROUND(100+(J144-J140)*K139*100,1)</f>
        <v>103.2</v>
      </c>
    </row>
    <row r="145" spans="2:11" ht="15.75" thickBot="1">
      <c r="B145" s="2644" t="s">
        <v>2616</v>
      </c>
      <c r="C145" s="1093">
        <f>ROUND(MAX(C139:C144)/MIN(C139:C144)-1,3)</f>
        <v>7.2999999999999995E-2</v>
      </c>
      <c r="D145" s="1094"/>
      <c r="E145" s="1094"/>
      <c r="F145" s="2645" t="s">
        <v>2617</v>
      </c>
      <c r="G145" s="2646"/>
      <c r="H145" s="2647"/>
      <c r="I145" s="2648" t="s">
        <v>2614</v>
      </c>
      <c r="J145" s="1095">
        <v>8</v>
      </c>
      <c r="K145" s="1096">
        <f>ROUND(100+(J145-J140)*K139*100,1)</f>
        <v>99.2</v>
      </c>
    </row>
    <row r="147" spans="2:11">
      <c r="B147" s="2629" t="s">
        <v>2618</v>
      </c>
    </row>
    <row r="148" spans="2:11">
      <c r="B148" s="2629"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4" zoomScale="80" zoomScaleNormal="80" workbookViewId="0">
      <selection activeCell="K44" sqref="K44"/>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2664</v>
      </c>
      <c r="C1" s="1613" t="s">
        <v>2508</v>
      </c>
      <c r="D1" s="1614" t="s">
        <v>27</v>
      </c>
      <c r="E1" s="1623"/>
      <c r="F1" s="2576" t="s">
        <v>3260</v>
      </c>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f>IF(C2="——",ROUND(C50*D3/10000,0),ROUND(C50*D3/10000,0)-D2)</f>
        <v>60</v>
      </c>
      <c r="C2" s="2578" t="s">
        <v>70</v>
      </c>
      <c r="D2" s="1359"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f>IF(C2="——",C50,ROUND(B2*10000/D3,0))</f>
        <v>6</v>
      </c>
      <c r="C3" s="397" t="s">
        <v>2622</v>
      </c>
      <c r="D3" s="396">
        <f>IF(D1="",'数据-汇总表'!E3,SUMIF('数据-汇总表'!$C19:$C33,D1,'数据-汇总表'!$E19:$E33))</f>
        <v>99371.71</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302" t="s">
        <v>2629</v>
      </c>
      <c r="Q4" s="3303"/>
      <c r="R4" s="3306" t="s">
        <v>2625</v>
      </c>
      <c r="S4" s="3307"/>
      <c r="T4" s="3306" t="s">
        <v>2626</v>
      </c>
      <c r="U4" s="3307"/>
      <c r="V4" s="3308" t="s">
        <v>2627</v>
      </c>
      <c r="W4" s="3308"/>
      <c r="X4" s="2662"/>
      <c r="Y4" s="3306" t="s">
        <v>2629</v>
      </c>
      <c r="Z4" s="3307"/>
      <c r="AA4" s="3311" t="s">
        <v>2625</v>
      </c>
      <c r="AB4" s="3311" t="s">
        <v>2626</v>
      </c>
      <c r="AC4" s="3299" t="s">
        <v>2627</v>
      </c>
    </row>
    <row r="5" spans="1:29" ht="15">
      <c r="A5" s="401"/>
      <c r="B5" s="402"/>
      <c r="C5" s="3252" t="s">
        <v>2520</v>
      </c>
      <c r="D5" s="3253"/>
      <c r="E5" s="3312" t="s">
        <v>3331</v>
      </c>
      <c r="F5" s="3260"/>
      <c r="G5" s="3309" t="s">
        <v>3263</v>
      </c>
      <c r="H5" s="3253"/>
      <c r="I5" s="3309" t="s">
        <v>3264</v>
      </c>
      <c r="J5" s="3253"/>
      <c r="K5" s="607"/>
      <c r="L5" s="1124"/>
      <c r="M5" s="1125"/>
      <c r="N5" s="1125"/>
      <c r="O5" s="1125"/>
      <c r="P5" s="3304"/>
      <c r="Q5" s="3241"/>
      <c r="R5" s="3246"/>
      <c r="S5" s="3247"/>
      <c r="T5" s="3246"/>
      <c r="U5" s="3247"/>
      <c r="V5" s="3231"/>
      <c r="W5" s="3231"/>
      <c r="X5" s="1806"/>
      <c r="Y5" s="3246"/>
      <c r="Z5" s="3247"/>
      <c r="AA5" s="3233"/>
      <c r="AB5" s="3233"/>
      <c r="AC5" s="3300"/>
    </row>
    <row r="6" spans="1:29" ht="15.75" thickBot="1">
      <c r="A6" s="403"/>
      <c r="B6" s="404"/>
      <c r="C6" s="3250" t="s">
        <v>2524</v>
      </c>
      <c r="D6" s="3251"/>
      <c r="E6" s="3257" t="s">
        <v>2524</v>
      </c>
      <c r="F6" s="3258"/>
      <c r="G6" s="3250" t="s">
        <v>2524</v>
      </c>
      <c r="H6" s="3251"/>
      <c r="I6" s="3250" t="s">
        <v>2524</v>
      </c>
      <c r="J6" s="3251"/>
      <c r="K6" s="607" t="s">
        <v>2525</v>
      </c>
      <c r="L6" s="1124"/>
      <c r="M6" s="1125"/>
      <c r="N6" s="1125"/>
      <c r="O6" s="1125"/>
      <c r="P6" s="3305"/>
      <c r="Q6" s="3243"/>
      <c r="R6" s="3246"/>
      <c r="S6" s="3247"/>
      <c r="T6" s="3248"/>
      <c r="U6" s="3249"/>
      <c r="V6" s="3231"/>
      <c r="W6" s="3231"/>
      <c r="X6" s="1806"/>
      <c r="Y6" s="3248"/>
      <c r="Z6" s="3249"/>
      <c r="AA6" s="3234"/>
      <c r="AB6" s="3234"/>
      <c r="AC6" s="3301"/>
    </row>
    <row r="7" spans="1:29" s="117" customFormat="1" ht="15.75" thickBot="1">
      <c r="A7" s="405" t="s">
        <v>2526</v>
      </c>
      <c r="B7" s="406"/>
      <c r="C7" s="407">
        <f>'数据-取费表'!B2</f>
        <v>43363</v>
      </c>
      <c r="D7" s="408">
        <v>100</v>
      </c>
      <c r="E7" s="409">
        <v>43191</v>
      </c>
      <c r="F7" s="410">
        <f>SUMIF(59:59,YEAR(E7)&amp;"-"&amp;MONTH(E7),60:60)</f>
        <v>99</v>
      </c>
      <c r="G7" s="409">
        <v>43191</v>
      </c>
      <c r="H7" s="408">
        <f>SUMIF(59:59,YEAR(G7)&amp;"-"&amp;MONTH(G7),60:60)</f>
        <v>99</v>
      </c>
      <c r="I7" s="409">
        <v>43191</v>
      </c>
      <c r="J7" s="408">
        <f>SUMIF(59:59,YEAR(I7)&amp;"-"&amp;MONTH(I7),60:60)</f>
        <v>99</v>
      </c>
      <c r="K7" s="608"/>
      <c r="L7" s="1126"/>
      <c r="M7" s="1127"/>
      <c r="N7" s="1127"/>
      <c r="O7" s="1127"/>
      <c r="P7" s="3310" t="s">
        <v>2527</v>
      </c>
      <c r="Q7" s="3256"/>
      <c r="R7" s="766" t="s">
        <v>17</v>
      </c>
      <c r="S7" s="767">
        <f t="shared" ref="S7:S15" si="0">F7</f>
        <v>99</v>
      </c>
      <c r="T7" s="766" t="s">
        <v>17</v>
      </c>
      <c r="U7" s="767">
        <f t="shared" ref="U7:U15" si="1">H7</f>
        <v>99</v>
      </c>
      <c r="V7" s="766" t="s">
        <v>17</v>
      </c>
      <c r="W7" s="767">
        <f t="shared" ref="W7:W15" si="2">J7</f>
        <v>99</v>
      </c>
      <c r="X7" s="768"/>
      <c r="Y7" s="3254" t="s">
        <v>2527</v>
      </c>
      <c r="Z7" s="3255"/>
      <c r="AA7" s="769">
        <f>D7/F7</f>
        <v>1.0101010101010102</v>
      </c>
      <c r="AB7" s="769">
        <f>D7/H7</f>
        <v>1.0101010101010102</v>
      </c>
      <c r="AC7" s="2663">
        <f>D7/J7</f>
        <v>1.0101010101010102</v>
      </c>
    </row>
    <row r="8" spans="1:29" s="117" customFormat="1" ht="15.75" thickBot="1">
      <c r="A8" s="405" t="s">
        <v>2528</v>
      </c>
      <c r="B8" s="406"/>
      <c r="C8" s="411" t="s">
        <v>2630</v>
      </c>
      <c r="D8" s="408">
        <v>100</v>
      </c>
      <c r="E8" s="411" t="s">
        <v>3340</v>
      </c>
      <c r="F8" s="410">
        <f>SUMIF(62:62,E8,63:63)-SUMIF(62:62,C8,63:63)+100</f>
        <v>100</v>
      </c>
      <c r="G8" s="411" t="s">
        <v>3340</v>
      </c>
      <c r="H8" s="408">
        <f>SUMIF(62:62,G8,63:63)-SUMIF(62:62,C8,63:63)+100</f>
        <v>100</v>
      </c>
      <c r="I8" s="411" t="s">
        <v>3340</v>
      </c>
      <c r="J8" s="408">
        <f>SUMIF(62:62,I8,63:63)-SUMIF(62:62,C8,63:63)+100</f>
        <v>100</v>
      </c>
      <c r="K8" s="608"/>
      <c r="L8" s="1126"/>
      <c r="M8" s="1127"/>
      <c r="N8" s="1127"/>
      <c r="O8" s="1127"/>
      <c r="P8" s="3310" t="s">
        <v>2530</v>
      </c>
      <c r="Q8" s="3255"/>
      <c r="R8" s="766" t="s">
        <v>17</v>
      </c>
      <c r="S8" s="767">
        <f t="shared" si="0"/>
        <v>100</v>
      </c>
      <c r="T8" s="766" t="s">
        <v>17</v>
      </c>
      <c r="U8" s="767">
        <f t="shared" si="1"/>
        <v>100</v>
      </c>
      <c r="V8" s="766" t="s">
        <v>17</v>
      </c>
      <c r="W8" s="767">
        <f t="shared" si="2"/>
        <v>100</v>
      </c>
      <c r="X8" s="768"/>
      <c r="Y8" s="3254" t="s">
        <v>2530</v>
      </c>
      <c r="Z8" s="3255"/>
      <c r="AA8" s="769">
        <f t="shared" ref="AA8:AA47" si="3">D8/F8</f>
        <v>1</v>
      </c>
      <c r="AB8" s="769">
        <f t="shared" ref="AB8:AB47" si="4">D8/H8</f>
        <v>1</v>
      </c>
      <c r="AC8" s="2663">
        <f t="shared" ref="AC8:AC47" si="5">D8/J8</f>
        <v>1</v>
      </c>
    </row>
    <row r="9" spans="1:29" s="117" customFormat="1">
      <c r="A9" s="412" t="s">
        <v>2531</v>
      </c>
      <c r="B9" s="71" t="s">
        <v>2532</v>
      </c>
      <c r="C9" s="2979" t="s">
        <v>3261</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24"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2663">
        <f t="shared" si="5"/>
        <v>1</v>
      </c>
    </row>
    <row r="10" spans="1:29" s="424" customFormat="1" ht="27">
      <c r="A10" s="418"/>
      <c r="B10" s="419" t="s">
        <v>2535</v>
      </c>
      <c r="C10" s="420" t="s">
        <v>3262</v>
      </c>
      <c r="D10" s="136">
        <v>100</v>
      </c>
      <c r="E10" s="420" t="s">
        <v>3270</v>
      </c>
      <c r="F10" s="136">
        <f>SUMIF(66:66,E10,67:67)-SUMIF(66:66,C10,67:67)+100</f>
        <v>98</v>
      </c>
      <c r="G10" s="420" t="s">
        <v>3262</v>
      </c>
      <c r="H10" s="136">
        <f>SUMIF(66:66,G10,67:67)-SUMIF(66:66,C10,67:67)+100</f>
        <v>100</v>
      </c>
      <c r="I10" s="420" t="s">
        <v>3262</v>
      </c>
      <c r="J10" s="136">
        <f>SUMIF(66:66,I10,67:67)-SUMIF(66:66,C10,67:67)+100</f>
        <v>100</v>
      </c>
      <c r="K10" s="2980">
        <v>2</v>
      </c>
      <c r="L10" s="1129"/>
      <c r="M10" s="1130"/>
      <c r="N10" s="1130"/>
      <c r="O10" s="1130"/>
      <c r="P10" s="3224"/>
      <c r="Q10" s="1788" t="str">
        <f t="shared" si="6"/>
        <v>土地使用年限（年）</v>
      </c>
      <c r="R10" s="766" t="s">
        <v>17</v>
      </c>
      <c r="S10" s="767">
        <f t="shared" si="0"/>
        <v>98</v>
      </c>
      <c r="T10" s="766" t="s">
        <v>17</v>
      </c>
      <c r="U10" s="767">
        <f t="shared" si="1"/>
        <v>100</v>
      </c>
      <c r="V10" s="766" t="s">
        <v>17</v>
      </c>
      <c r="W10" s="767">
        <f t="shared" si="2"/>
        <v>100</v>
      </c>
      <c r="X10" s="768"/>
      <c r="Y10" s="3073"/>
      <c r="Z10" s="55" t="str">
        <f t="shared" si="7"/>
        <v>土地使用年限（年）</v>
      </c>
      <c r="AA10" s="769">
        <f t="shared" si="3"/>
        <v>1.0204081632653061</v>
      </c>
      <c r="AB10" s="769">
        <f t="shared" si="4"/>
        <v>1</v>
      </c>
      <c r="AC10" s="2663">
        <f t="shared" si="5"/>
        <v>1</v>
      </c>
    </row>
    <row r="11" spans="1:29" ht="15.75" thickBot="1">
      <c r="A11" s="425"/>
      <c r="B11" s="419" t="s">
        <v>2536</v>
      </c>
      <c r="C11" s="426">
        <v>4</v>
      </c>
      <c r="D11" s="136">
        <v>100</v>
      </c>
      <c r="E11" s="426">
        <v>2.7</v>
      </c>
      <c r="F11" s="136">
        <f>LOOKUP(E11,69:69,70:70)-LOOKUP(C11,69:69,70:70)+100</f>
        <v>100</v>
      </c>
      <c r="G11" s="2986">
        <v>4</v>
      </c>
      <c r="H11" s="136">
        <f>LOOKUP(G11,69:69,70:70)-LOOKUP(C11,69:69,70:70)+100</f>
        <v>100</v>
      </c>
      <c r="I11" s="426">
        <v>4</v>
      </c>
      <c r="J11" s="136">
        <f>LOOKUP(I11,69:69,70:70)-LOOKUP(C11,69:69,70:70)+100</f>
        <v>100</v>
      </c>
      <c r="K11" s="2980">
        <v>0</v>
      </c>
      <c r="L11" s="1132"/>
      <c r="M11" s="1125"/>
      <c r="N11" s="1125"/>
      <c r="O11" s="1125"/>
      <c r="P11" s="3224"/>
      <c r="Q11" s="1788" t="str">
        <f t="shared" si="6"/>
        <v>容积率</v>
      </c>
      <c r="R11" s="766" t="s">
        <v>17</v>
      </c>
      <c r="S11" s="767">
        <f t="shared" si="0"/>
        <v>100</v>
      </c>
      <c r="T11" s="766" t="s">
        <v>17</v>
      </c>
      <c r="U11" s="767">
        <f t="shared" si="1"/>
        <v>100</v>
      </c>
      <c r="V11" s="766" t="s">
        <v>17</v>
      </c>
      <c r="W11" s="767">
        <f t="shared" si="2"/>
        <v>100</v>
      </c>
      <c r="X11" s="768"/>
      <c r="Y11" s="3073"/>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24"/>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24"/>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24"/>
      <c r="Q14" s="1788">
        <f t="shared" si="6"/>
        <v>111</v>
      </c>
      <c r="R14" s="766" t="s">
        <v>17</v>
      </c>
      <c r="S14" s="767">
        <f t="shared" si="0"/>
        <v>100</v>
      </c>
      <c r="T14" s="766" t="s">
        <v>17</v>
      </c>
      <c r="U14" s="767">
        <f t="shared" si="1"/>
        <v>100</v>
      </c>
      <c r="V14" s="766" t="s">
        <v>17</v>
      </c>
      <c r="W14" s="767">
        <f t="shared" si="2"/>
        <v>100</v>
      </c>
      <c r="X14" s="768"/>
      <c r="Y14" s="3073"/>
      <c r="Z14" s="55">
        <f t="shared" si="7"/>
        <v>111</v>
      </c>
      <c r="AA14" s="769">
        <f t="shared" si="3"/>
        <v>1</v>
      </c>
      <c r="AB14" s="769">
        <f t="shared" si="4"/>
        <v>1</v>
      </c>
      <c r="AC14" s="2663">
        <f t="shared" si="5"/>
        <v>1</v>
      </c>
    </row>
    <row r="15" spans="1:29" ht="15">
      <c r="A15" s="437" t="s">
        <v>2537</v>
      </c>
      <c r="B15" s="625" t="s">
        <v>2665</v>
      </c>
      <c r="C15" s="2665" t="str">
        <f>估价对象房地状况!C5</f>
        <v>较好</v>
      </c>
      <c r="D15" s="438">
        <v>100</v>
      </c>
      <c r="E15" s="3003" t="s">
        <v>3341</v>
      </c>
      <c r="F15" s="438">
        <f>SUMIF(77:77,E16,78:78)-SUMIF(77:77,C16,78:78)+100</f>
        <v>100</v>
      </c>
      <c r="G15" s="3003" t="s">
        <v>3341</v>
      </c>
      <c r="H15" s="438">
        <f>SUMIF(77:77,G16,78:78)-SUMIF(77:77,C16,78:78)+100</f>
        <v>100</v>
      </c>
      <c r="I15" s="3003" t="s">
        <v>3341</v>
      </c>
      <c r="J15" s="438">
        <f>SUMIF(77:77,I16,78:78)-SUMIF(77:77,C16,78:78)+100</f>
        <v>100</v>
      </c>
      <c r="K15" s="2984">
        <f>'土地比较法-住宅、综合'!K19</f>
        <v>2</v>
      </c>
      <c r="L15" s="1134"/>
      <c r="M15" s="1125"/>
      <c r="N15" s="1125"/>
      <c r="O15" s="1125"/>
      <c r="P15" s="3294" t="s">
        <v>2538</v>
      </c>
      <c r="Q15" s="1803" t="str">
        <f t="shared" si="6"/>
        <v>办公集聚程度</v>
      </c>
      <c r="R15" s="770" t="s">
        <v>17</v>
      </c>
      <c r="S15" s="771">
        <f t="shared" si="0"/>
        <v>100</v>
      </c>
      <c r="T15" s="770" t="s">
        <v>17</v>
      </c>
      <c r="U15" s="771">
        <f t="shared" si="1"/>
        <v>100</v>
      </c>
      <c r="V15" s="770" t="s">
        <v>17</v>
      </c>
      <c r="W15" s="771">
        <f t="shared" si="2"/>
        <v>100</v>
      </c>
      <c r="X15" s="1806"/>
      <c r="Y15" s="3227" t="s">
        <v>2538</v>
      </c>
      <c r="Z15" s="1807" t="str">
        <f t="shared" si="7"/>
        <v>办公集聚程度</v>
      </c>
      <c r="AA15" s="1804">
        <f t="shared" si="3"/>
        <v>1</v>
      </c>
      <c r="AB15" s="1804">
        <f t="shared" si="4"/>
        <v>1</v>
      </c>
      <c r="AC15" s="2666">
        <f t="shared" si="5"/>
        <v>1</v>
      </c>
    </row>
    <row r="16" spans="1:29" ht="15.75" thickBot="1">
      <c r="A16" s="425"/>
      <c r="B16" s="626"/>
      <c r="C16" s="2603" t="s">
        <v>3066</v>
      </c>
      <c r="D16" s="445"/>
      <c r="E16" s="2603" t="s">
        <v>3066</v>
      </c>
      <c r="F16" s="445"/>
      <c r="G16" s="2603" t="s">
        <v>3066</v>
      </c>
      <c r="H16" s="447"/>
      <c r="I16" s="2603" t="s">
        <v>3066</v>
      </c>
      <c r="J16" s="445"/>
      <c r="K16" s="612"/>
      <c r="L16" s="1134"/>
      <c r="M16" s="1125"/>
      <c r="N16" s="1125"/>
      <c r="O16" s="1125"/>
      <c r="P16" s="3295"/>
      <c r="Q16" s="1803"/>
      <c r="R16" s="770"/>
      <c r="S16" s="771"/>
      <c r="T16" s="770"/>
      <c r="U16" s="771"/>
      <c r="V16" s="770"/>
      <c r="W16" s="771"/>
      <c r="X16" s="1806"/>
      <c r="Y16" s="3228"/>
      <c r="Z16" s="1807"/>
      <c r="AA16" s="1804">
        <v>1</v>
      </c>
      <c r="AB16" s="1804">
        <v>1</v>
      </c>
      <c r="AC16" s="2666">
        <v>1</v>
      </c>
    </row>
    <row r="17" spans="1:29" ht="15">
      <c r="A17" s="425"/>
      <c r="B17" s="627" t="s">
        <v>2089</v>
      </c>
      <c r="C17" s="2667" t="str">
        <f>估价对象房地状况!C6</f>
        <v>较好</v>
      </c>
      <c r="D17" s="447">
        <v>100</v>
      </c>
      <c r="E17" s="3003" t="s">
        <v>3341</v>
      </c>
      <c r="F17" s="447">
        <f>SUMIF(79:79,E18,80:80)-SUMIF(79:79,C18,80:80)+100</f>
        <v>100</v>
      </c>
      <c r="G17" s="3003" t="s">
        <v>3341</v>
      </c>
      <c r="H17" s="452">
        <f>SUMIF(79:79,G18,80:80)-SUMIF(79:79,C18,80:80)+100</f>
        <v>100</v>
      </c>
      <c r="I17" s="3003" t="s">
        <v>3341</v>
      </c>
      <c r="J17" s="452">
        <f>SUMIF(79:79,I18,80:80)-SUMIF(79:79,C18,80:80)+100</f>
        <v>100</v>
      </c>
      <c r="K17" s="2984">
        <f>'土地比较法-住宅、综合'!K21</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28"/>
      <c r="Z17" s="1807" t="str">
        <f>Q17</f>
        <v>交通便捷度</v>
      </c>
      <c r="AA17" s="1804">
        <f t="shared" si="3"/>
        <v>1</v>
      </c>
      <c r="AB17" s="1804">
        <f t="shared" si="4"/>
        <v>1</v>
      </c>
      <c r="AC17" s="2666">
        <f t="shared" si="5"/>
        <v>1</v>
      </c>
    </row>
    <row r="18" spans="1:29" ht="15">
      <c r="A18" s="425"/>
      <c r="B18" s="628"/>
      <c r="C18" s="2668" t="s">
        <v>3066</v>
      </c>
      <c r="D18" s="447"/>
      <c r="E18" s="2668" t="s">
        <v>3066</v>
      </c>
      <c r="F18" s="447"/>
      <c r="G18" s="2668" t="s">
        <v>3066</v>
      </c>
      <c r="H18" s="445"/>
      <c r="I18" s="2668" t="s">
        <v>3066</v>
      </c>
      <c r="J18" s="445"/>
      <c r="K18" s="612"/>
      <c r="L18" s="1134"/>
      <c r="M18" s="1125"/>
      <c r="N18" s="1125"/>
      <c r="O18" s="1125"/>
      <c r="P18" s="3295"/>
      <c r="Q18" s="1803"/>
      <c r="R18" s="770"/>
      <c r="S18" s="771"/>
      <c r="T18" s="770"/>
      <c r="U18" s="771"/>
      <c r="V18" s="770"/>
      <c r="W18" s="771"/>
      <c r="X18" s="1806"/>
      <c r="Y18" s="3228"/>
      <c r="Z18" s="1807"/>
      <c r="AA18" s="1804">
        <v>1</v>
      </c>
      <c r="AB18" s="1804">
        <v>1</v>
      </c>
      <c r="AC18" s="2666">
        <v>1</v>
      </c>
    </row>
    <row r="19" spans="1:29" ht="15">
      <c r="A19" s="425"/>
      <c r="B19" s="627" t="s">
        <v>2666</v>
      </c>
      <c r="C19" s="2667" t="str">
        <f>估价对象房地状况!C7</f>
        <v>一般</v>
      </c>
      <c r="D19" s="452">
        <v>100</v>
      </c>
      <c r="E19" s="3004" t="s">
        <v>3342</v>
      </c>
      <c r="F19" s="452">
        <f>SUMIF(81:81,E20,82:82)-SUMIF(81:81,C20,82:82)+100</f>
        <v>100</v>
      </c>
      <c r="G19" s="3004" t="s">
        <v>3342</v>
      </c>
      <c r="H19" s="447">
        <f>SUMIF(81:81,G20,82:82)-SUMIF(81:81,C20,82:82)+100</f>
        <v>100</v>
      </c>
      <c r="I19" s="3004" t="s">
        <v>3342</v>
      </c>
      <c r="J19" s="447">
        <f>SUMIF(81:81,I20,82:82)-SUMIF(81:81,C20,82:82)+100</f>
        <v>100</v>
      </c>
      <c r="K19" s="2984">
        <f>'土地比较法-住宅、综合'!K27</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28"/>
      <c r="Z19" s="1807" t="str">
        <f>Q19</f>
        <v>公共配套设施</v>
      </c>
      <c r="AA19" s="1804">
        <f t="shared" si="3"/>
        <v>1</v>
      </c>
      <c r="AB19" s="1804">
        <f t="shared" si="4"/>
        <v>1</v>
      </c>
      <c r="AC19" s="2666">
        <f t="shared" si="5"/>
        <v>1</v>
      </c>
    </row>
    <row r="20" spans="1:29" ht="15">
      <c r="A20" s="425"/>
      <c r="B20" s="628"/>
      <c r="C20" s="2603" t="s">
        <v>3199</v>
      </c>
      <c r="D20" s="445"/>
      <c r="E20" s="2603" t="s">
        <v>3199</v>
      </c>
      <c r="F20" s="445"/>
      <c r="G20" s="2603" t="s">
        <v>3199</v>
      </c>
      <c r="H20" s="445"/>
      <c r="I20" s="2603" t="s">
        <v>3199</v>
      </c>
      <c r="J20" s="445"/>
      <c r="K20" s="612"/>
      <c r="L20" s="1134"/>
      <c r="M20" s="1125"/>
      <c r="N20" s="1125"/>
      <c r="O20" s="1125"/>
      <c r="P20" s="3295"/>
      <c r="Q20" s="1803"/>
      <c r="R20" s="770"/>
      <c r="S20" s="771"/>
      <c r="T20" s="770"/>
      <c r="U20" s="771"/>
      <c r="V20" s="770"/>
      <c r="W20" s="771"/>
      <c r="X20" s="1806"/>
      <c r="Y20" s="3228"/>
      <c r="Z20" s="1807"/>
      <c r="AA20" s="1804">
        <v>1</v>
      </c>
      <c r="AB20" s="1804">
        <v>1</v>
      </c>
      <c r="AC20" s="2666">
        <v>1</v>
      </c>
    </row>
    <row r="21" spans="1:29" ht="15">
      <c r="A21" s="425"/>
      <c r="B21" s="629" t="s">
        <v>2667</v>
      </c>
      <c r="C21" s="2667" t="str">
        <f>估价对象房地状况!C8</f>
        <v>七通</v>
      </c>
      <c r="D21" s="447">
        <v>100</v>
      </c>
      <c r="E21" s="3005" t="s">
        <v>3343</v>
      </c>
      <c r="F21" s="452">
        <f>SUMIF(83:83,E22,84:84)-SUMIF(83:83,C22,84:84)+100</f>
        <v>100</v>
      </c>
      <c r="G21" s="3005" t="s">
        <v>3343</v>
      </c>
      <c r="H21" s="447">
        <f>SUMIF(83:83,G22,84:84)-SUMIF(83:83,C22,84:84)+100</f>
        <v>100</v>
      </c>
      <c r="I21" s="3005" t="s">
        <v>3343</v>
      </c>
      <c r="J21" s="447">
        <f>SUMIF(83:83,I22,84:84)-SUMIF(83:83,C22,84:84)+100</f>
        <v>100</v>
      </c>
      <c r="K21" s="2984">
        <f>'土地比较法-住宅、综合'!K29</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28"/>
      <c r="Z21" s="1807" t="str">
        <f>Q21</f>
        <v>基础设施水平</v>
      </c>
      <c r="AA21" s="1804">
        <f t="shared" ref="AA21" si="8">D21/F21</f>
        <v>1</v>
      </c>
      <c r="AB21" s="1804">
        <f t="shared" ref="AB21" si="9">D21/H21</f>
        <v>1</v>
      </c>
      <c r="AC21" s="2666">
        <f t="shared" ref="AC21" si="10">D21/J21</f>
        <v>1</v>
      </c>
    </row>
    <row r="22" spans="1:29" ht="15">
      <c r="A22" s="425"/>
      <c r="B22" s="629"/>
      <c r="C22" s="2668" t="s">
        <v>3070</v>
      </c>
      <c r="D22" s="445"/>
      <c r="E22" s="2668" t="s">
        <v>3070</v>
      </c>
      <c r="F22" s="445"/>
      <c r="G22" s="2668" t="s">
        <v>3070</v>
      </c>
      <c r="H22" s="445"/>
      <c r="I22" s="2668" t="s">
        <v>3070</v>
      </c>
      <c r="J22" s="445"/>
      <c r="K22" s="1377"/>
      <c r="L22" s="1134"/>
      <c r="M22" s="1125"/>
      <c r="N22" s="1125"/>
      <c r="O22" s="1125"/>
      <c r="P22" s="3295"/>
      <c r="Q22" s="1803"/>
      <c r="R22" s="770"/>
      <c r="S22" s="771"/>
      <c r="T22" s="770"/>
      <c r="U22" s="771"/>
      <c r="V22" s="770"/>
      <c r="W22" s="771"/>
      <c r="X22" s="1806"/>
      <c r="Y22" s="3228"/>
      <c r="Z22" s="1807"/>
      <c r="AA22" s="1804">
        <v>1</v>
      </c>
      <c r="AB22" s="1804">
        <v>1</v>
      </c>
      <c r="AC22" s="2666">
        <v>1</v>
      </c>
    </row>
    <row r="23" spans="1:29" ht="15">
      <c r="A23" s="425"/>
      <c r="B23" s="627" t="s">
        <v>2668</v>
      </c>
      <c r="C23" s="2667" t="str">
        <f>估价对象房地状况!C9</f>
        <v>较好</v>
      </c>
      <c r="D23" s="447">
        <v>100</v>
      </c>
      <c r="E23" s="2978" t="s">
        <v>3341</v>
      </c>
      <c r="F23" s="447">
        <f>SUMIF(85:85,E24,86:86)-SUMIF(85:85,C24,86:86)+100</f>
        <v>100</v>
      </c>
      <c r="G23" s="2978" t="s">
        <v>3341</v>
      </c>
      <c r="H23" s="447">
        <f>SUMIF(85:85,G24,86:86)-SUMIF(85:85,C24,86:86)+100</f>
        <v>100</v>
      </c>
      <c r="I23" s="2978" t="s">
        <v>3341</v>
      </c>
      <c r="J23" s="447">
        <f>SUMIF(85:85,I24,86:86)-SUMIF(85:85,C24,86:86)+100</f>
        <v>100</v>
      </c>
      <c r="K23" s="2984">
        <f>'土地比较法-住宅、综合'!K25</f>
        <v>2</v>
      </c>
      <c r="L23" s="1134"/>
      <c r="M23" s="1125"/>
      <c r="N23" s="1125"/>
      <c r="O23" s="1125"/>
      <c r="P23" s="3295"/>
      <c r="Q23" s="1803" t="str">
        <f>B23</f>
        <v>环境质量</v>
      </c>
      <c r="R23" s="770" t="s">
        <v>17</v>
      </c>
      <c r="S23" s="771">
        <f>F23</f>
        <v>100</v>
      </c>
      <c r="T23" s="770" t="s">
        <v>17</v>
      </c>
      <c r="U23" s="771">
        <f>H23</f>
        <v>100</v>
      </c>
      <c r="V23" s="770" t="s">
        <v>17</v>
      </c>
      <c r="W23" s="771">
        <f>J23</f>
        <v>100</v>
      </c>
      <c r="X23" s="1806"/>
      <c r="Y23" s="3228"/>
      <c r="Z23" s="1807" t="str">
        <f>Q23</f>
        <v>环境质量</v>
      </c>
      <c r="AA23" s="1804">
        <f t="shared" si="3"/>
        <v>1</v>
      </c>
      <c r="AB23" s="1804">
        <f t="shared" si="4"/>
        <v>1</v>
      </c>
      <c r="AC23" s="2666">
        <f t="shared" si="5"/>
        <v>1</v>
      </c>
    </row>
    <row r="24" spans="1:29" ht="15">
      <c r="A24" s="425"/>
      <c r="B24" s="629"/>
      <c r="C24" s="2603" t="s">
        <v>3066</v>
      </c>
      <c r="D24" s="445"/>
      <c r="E24" s="2603" t="s">
        <v>3066</v>
      </c>
      <c r="F24" s="445"/>
      <c r="G24" s="2603" t="s">
        <v>3066</v>
      </c>
      <c r="H24" s="445"/>
      <c r="I24" s="2603" t="s">
        <v>3066</v>
      </c>
      <c r="J24" s="445"/>
      <c r="K24" s="612"/>
      <c r="L24" s="1134"/>
      <c r="M24" s="1125"/>
      <c r="N24" s="1125"/>
      <c r="O24" s="1125"/>
      <c r="P24" s="3295"/>
      <c r="Q24" s="1803"/>
      <c r="R24" s="770"/>
      <c r="S24" s="771"/>
      <c r="T24" s="770"/>
      <c r="U24" s="771"/>
      <c r="V24" s="770"/>
      <c r="W24" s="771"/>
      <c r="X24" s="1806"/>
      <c r="Y24" s="3228"/>
      <c r="Z24" s="1807"/>
      <c r="AA24" s="1804">
        <v>1</v>
      </c>
      <c r="AB24" s="1804">
        <v>1</v>
      </c>
      <c r="AC24" s="2666">
        <v>1</v>
      </c>
    </row>
    <row r="25" spans="1:29" ht="27">
      <c r="A25" s="401"/>
      <c r="B25" s="627" t="s">
        <v>2669</v>
      </c>
      <c r="C25" s="2983" t="str">
        <f>'土地比较法-住宅、综合'!C32</f>
        <v>四环</v>
      </c>
      <c r="D25" s="432">
        <v>100</v>
      </c>
      <c r="E25" s="2981" t="s">
        <v>3344</v>
      </c>
      <c r="F25" s="432">
        <f>SUMIF(87:87,E26,88:88)-SUMIF(87:87,C26,88:88)+100</f>
        <v>100</v>
      </c>
      <c r="G25" s="2982" t="s">
        <v>3347</v>
      </c>
      <c r="H25" s="432">
        <f>SUMIF(87:87,G26,88:88)-SUMIF(87:87,C26,88:88)+100</f>
        <v>99</v>
      </c>
      <c r="I25" s="2981" t="s">
        <v>3350</v>
      </c>
      <c r="J25" s="432">
        <f>SUMIF(87:87,I26,88:88)-SUMIF(87:87,C26,88:88)+100</f>
        <v>99</v>
      </c>
      <c r="K25" s="2984">
        <f>'土地比较法-住宅、综合'!K32</f>
        <v>0.5</v>
      </c>
      <c r="L25" s="1134"/>
      <c r="M25" s="1125"/>
      <c r="N25" s="1125"/>
      <c r="O25" s="1125"/>
      <c r="P25" s="3295"/>
      <c r="Q25" s="1803" t="str">
        <f>B25</f>
        <v>毗邻道路的类型与等级</v>
      </c>
      <c r="R25" s="770" t="s">
        <v>17</v>
      </c>
      <c r="S25" s="771">
        <f>F25</f>
        <v>100</v>
      </c>
      <c r="T25" s="770" t="s">
        <v>17</v>
      </c>
      <c r="U25" s="771">
        <f>H25</f>
        <v>99</v>
      </c>
      <c r="V25" s="770" t="s">
        <v>17</v>
      </c>
      <c r="W25" s="771">
        <f>J25</f>
        <v>99</v>
      </c>
      <c r="X25" s="1806"/>
      <c r="Y25" s="3228"/>
      <c r="Z25" s="1807" t="str">
        <f>Q25</f>
        <v>毗邻道路的类型与等级</v>
      </c>
      <c r="AA25" s="1804">
        <f t="shared" si="3"/>
        <v>1</v>
      </c>
      <c r="AB25" s="1804">
        <f t="shared" si="4"/>
        <v>1.0101010101010102</v>
      </c>
      <c r="AC25" s="2666">
        <f t="shared" si="5"/>
        <v>1.0101010101010102</v>
      </c>
    </row>
    <row r="26" spans="1:29" ht="15">
      <c r="A26" s="401"/>
      <c r="B26" s="628"/>
      <c r="C26" s="630" t="s">
        <v>3254</v>
      </c>
      <c r="D26" s="432"/>
      <c r="E26" s="630" t="s">
        <v>3254</v>
      </c>
      <c r="F26" s="432"/>
      <c r="G26" s="630" t="s">
        <v>3257</v>
      </c>
      <c r="H26" s="432"/>
      <c r="I26" s="630" t="s">
        <v>3257</v>
      </c>
      <c r="J26" s="432"/>
      <c r="K26" s="612"/>
      <c r="L26" s="1134"/>
      <c r="M26" s="1125"/>
      <c r="N26" s="1125"/>
      <c r="O26" s="1125"/>
      <c r="P26" s="3295"/>
      <c r="Q26" s="1803"/>
      <c r="R26" s="770"/>
      <c r="S26" s="771"/>
      <c r="T26" s="770"/>
      <c r="U26" s="771"/>
      <c r="V26" s="770"/>
      <c r="W26" s="771"/>
      <c r="X26" s="1806"/>
      <c r="Y26" s="3228"/>
      <c r="Z26" s="1807"/>
      <c r="AA26" s="1804">
        <v>1</v>
      </c>
      <c r="AB26" s="1804">
        <v>1</v>
      </c>
      <c r="AC26" s="2666">
        <v>1</v>
      </c>
    </row>
    <row r="27" spans="1:29" ht="15">
      <c r="A27" s="425"/>
      <c r="B27" s="628" t="s">
        <v>2637</v>
      </c>
      <c r="C27" s="630" t="s">
        <v>3267</v>
      </c>
      <c r="D27" s="432">
        <v>100</v>
      </c>
      <c r="E27" s="613" t="s">
        <v>3345</v>
      </c>
      <c r="F27" s="432">
        <f>SUMIF(89:89,E27,90:90)-SUMIF(89:89,C27,90:90)+100</f>
        <v>98</v>
      </c>
      <c r="G27" s="630" t="s">
        <v>3267</v>
      </c>
      <c r="H27" s="432">
        <f>SUMIF(89:89,G27,90:90)-SUMIF(89:89,C27,90:90)+100</f>
        <v>100</v>
      </c>
      <c r="I27" s="613" t="s">
        <v>3267</v>
      </c>
      <c r="J27" s="432">
        <f>SUMIF(89:89,I27,90:90)-SUMIF(89:89,C27,90:90)+100</f>
        <v>100</v>
      </c>
      <c r="K27" s="609">
        <v>2</v>
      </c>
      <c r="L27" s="1134"/>
      <c r="M27" s="1125"/>
      <c r="N27" s="1125"/>
      <c r="O27" s="1125"/>
      <c r="P27" s="3295"/>
      <c r="Q27" s="1803" t="str">
        <f t="shared" ref="Q27:Q47" si="11">B27</f>
        <v>楼层</v>
      </c>
      <c r="R27" s="770" t="s">
        <v>17</v>
      </c>
      <c r="S27" s="771">
        <f>F27</f>
        <v>98</v>
      </c>
      <c r="T27" s="770" t="s">
        <v>17</v>
      </c>
      <c r="U27" s="771">
        <f>H27</f>
        <v>100</v>
      </c>
      <c r="V27" s="770" t="s">
        <v>17</v>
      </c>
      <c r="W27" s="771">
        <f>J27</f>
        <v>100</v>
      </c>
      <c r="X27" s="1806"/>
      <c r="Y27" s="3228"/>
      <c r="Z27" s="1807" t="str">
        <f>Q27</f>
        <v>楼层</v>
      </c>
      <c r="AA27" s="1804">
        <f t="shared" si="3"/>
        <v>1.0204081632653061</v>
      </c>
      <c r="AB27" s="1804">
        <f t="shared" si="4"/>
        <v>1</v>
      </c>
      <c r="AC27" s="2666">
        <f t="shared" si="5"/>
        <v>1</v>
      </c>
    </row>
    <row r="28" spans="1:29" s="117" customFormat="1" ht="15.75" thickBot="1">
      <c r="A28" s="428"/>
      <c r="B28" s="627" t="s">
        <v>2670</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95"/>
      <c r="Q28" s="1788" t="str">
        <f t="shared" si="11"/>
        <v>朝向</v>
      </c>
      <c r="R28" s="766" t="s">
        <v>17</v>
      </c>
      <c r="S28" s="767">
        <f>F28</f>
        <v>100</v>
      </c>
      <c r="T28" s="766" t="s">
        <v>17</v>
      </c>
      <c r="U28" s="767">
        <f>H28</f>
        <v>100</v>
      </c>
      <c r="V28" s="766" t="s">
        <v>17</v>
      </c>
      <c r="W28" s="767">
        <f>J28</f>
        <v>100</v>
      </c>
      <c r="X28" s="768"/>
      <c r="Y28" s="3228"/>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95"/>
      <c r="Q29" s="1803">
        <f t="shared" si="11"/>
        <v>111</v>
      </c>
      <c r="R29" s="770" t="s">
        <v>17</v>
      </c>
      <c r="S29" s="771">
        <f t="shared" ref="S29:S47" si="12">F29</f>
        <v>100</v>
      </c>
      <c r="T29" s="770" t="s">
        <v>17</v>
      </c>
      <c r="U29" s="771">
        <f t="shared" ref="U29:U47" si="13">H29</f>
        <v>100</v>
      </c>
      <c r="V29" s="770" t="s">
        <v>17</v>
      </c>
      <c r="W29" s="771">
        <f t="shared" ref="W29:W47" si="14">J29</f>
        <v>100</v>
      </c>
      <c r="X29" s="1806"/>
      <c r="Y29" s="3228"/>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28"/>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28"/>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95"/>
      <c r="Q32" s="1803">
        <f t="shared" si="11"/>
        <v>111</v>
      </c>
      <c r="R32" s="770" t="s">
        <v>17</v>
      </c>
      <c r="S32" s="771">
        <f t="shared" si="12"/>
        <v>100</v>
      </c>
      <c r="T32" s="770" t="s">
        <v>17</v>
      </c>
      <c r="U32" s="771">
        <f t="shared" si="13"/>
        <v>100</v>
      </c>
      <c r="V32" s="770" t="s">
        <v>17</v>
      </c>
      <c r="W32" s="771">
        <f t="shared" si="14"/>
        <v>100</v>
      </c>
      <c r="X32" s="1806"/>
      <c r="Y32" s="3228"/>
      <c r="Z32" s="1807">
        <f t="shared" si="15"/>
        <v>111</v>
      </c>
      <c r="AA32" s="1804">
        <f t="shared" si="3"/>
        <v>1</v>
      </c>
      <c r="AB32" s="1804">
        <f t="shared" si="4"/>
        <v>1</v>
      </c>
      <c r="AC32" s="2666">
        <f t="shared" si="5"/>
        <v>1</v>
      </c>
    </row>
    <row r="33" spans="1:29" ht="15">
      <c r="A33" s="437" t="s">
        <v>2541</v>
      </c>
      <c r="B33" s="71" t="s">
        <v>2671</v>
      </c>
      <c r="C33" s="2671" t="s">
        <v>3274</v>
      </c>
      <c r="D33" s="464">
        <v>100</v>
      </c>
      <c r="E33" s="2671" t="s">
        <v>3274</v>
      </c>
      <c r="F33" s="458">
        <f>SUMIF(101:101,E33,102:102)-SUMIF(101:101,C33,102:102)+100</f>
        <v>100</v>
      </c>
      <c r="G33" s="2671" t="s">
        <v>3274</v>
      </c>
      <c r="H33" s="432">
        <f>SUMIF(101:101,G33,102:102)-SUMIF(101:101,C33,102:102)+100</f>
        <v>100</v>
      </c>
      <c r="I33" s="2671" t="s">
        <v>3274</v>
      </c>
      <c r="J33" s="464">
        <f>SUMIF(101:101,I33,102:102)-SUMIF(101:101,C33,102:102)+100</f>
        <v>100</v>
      </c>
      <c r="K33" s="609">
        <v>5</v>
      </c>
      <c r="L33" s="1134"/>
      <c r="M33" s="1125"/>
      <c r="N33" s="1125"/>
      <c r="O33" s="1125"/>
      <c r="P33" s="3290" t="s">
        <v>2543</v>
      </c>
      <c r="Q33" s="1803" t="str">
        <f t="shared" si="11"/>
        <v>建筑类型</v>
      </c>
      <c r="R33" s="770" t="s">
        <v>17</v>
      </c>
      <c r="S33" s="771">
        <f t="shared" si="12"/>
        <v>100</v>
      </c>
      <c r="T33" s="770" t="s">
        <v>17</v>
      </c>
      <c r="U33" s="771">
        <f t="shared" si="13"/>
        <v>100</v>
      </c>
      <c r="V33" s="770" t="s">
        <v>17</v>
      </c>
      <c r="W33" s="771">
        <f t="shared" si="14"/>
        <v>100</v>
      </c>
      <c r="X33" s="1806"/>
      <c r="Y33" s="3230" t="s">
        <v>2543</v>
      </c>
      <c r="Z33" s="1807" t="str">
        <f t="shared" si="15"/>
        <v>建筑类型</v>
      </c>
      <c r="AA33" s="1804">
        <f t="shared" si="3"/>
        <v>1</v>
      </c>
      <c r="AB33" s="1804">
        <f t="shared" si="4"/>
        <v>1</v>
      </c>
      <c r="AC33" s="2666">
        <f t="shared" si="5"/>
        <v>1</v>
      </c>
    </row>
    <row r="34" spans="1:29" s="468" customFormat="1" ht="15">
      <c r="A34" s="465"/>
      <c r="B34" s="419" t="s">
        <v>2544</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91"/>
      <c r="Q34" s="772" t="str">
        <f t="shared" si="11"/>
        <v>项目建筑规模</v>
      </c>
      <c r="R34" s="773" t="s">
        <v>17</v>
      </c>
      <c r="S34" s="774">
        <f t="shared" si="12"/>
        <v>100</v>
      </c>
      <c r="T34" s="773" t="s">
        <v>17</v>
      </c>
      <c r="U34" s="774">
        <f t="shared" si="13"/>
        <v>100</v>
      </c>
      <c r="V34" s="773" t="s">
        <v>17</v>
      </c>
      <c r="W34" s="774">
        <f t="shared" si="14"/>
        <v>100</v>
      </c>
      <c r="X34" s="775"/>
      <c r="Y34" s="3230"/>
      <c r="Z34" s="776" t="str">
        <f t="shared" si="15"/>
        <v>项目建筑规模</v>
      </c>
      <c r="AA34" s="1804">
        <f t="shared" si="3"/>
        <v>1</v>
      </c>
      <c r="AB34" s="1804">
        <f t="shared" si="4"/>
        <v>1</v>
      </c>
      <c r="AC34" s="2666">
        <f t="shared" si="5"/>
        <v>1</v>
      </c>
    </row>
    <row r="35" spans="1:29" ht="15">
      <c r="A35" s="469"/>
      <c r="B35" s="419" t="s">
        <v>2545</v>
      </c>
      <c r="C35" s="457" t="s">
        <v>3203</v>
      </c>
      <c r="D35" s="432">
        <v>100</v>
      </c>
      <c r="E35" s="457" t="s">
        <v>3203</v>
      </c>
      <c r="F35" s="458">
        <f>SUMIF(106:106,E35,107:107)-SUMIF(106:106,C35,107:107)+100</f>
        <v>100</v>
      </c>
      <c r="G35" s="457" t="s">
        <v>3203</v>
      </c>
      <c r="H35" s="432">
        <f>SUMIF(106:106,G35,107:107)-SUMIF(106:106,C35,107:107)+100</f>
        <v>100</v>
      </c>
      <c r="I35" s="457" t="s">
        <v>3203</v>
      </c>
      <c r="J35" s="432">
        <f>SUMIF(106:106,I35,107:107)-SUMIF(106:106,C35,107:107)+100</f>
        <v>100</v>
      </c>
      <c r="K35" s="609">
        <v>2</v>
      </c>
      <c r="L35" s="1134"/>
      <c r="M35" s="1125"/>
      <c r="N35" s="1125"/>
      <c r="O35" s="1125"/>
      <c r="P35" s="3291"/>
      <c r="Q35" s="1803" t="str">
        <f t="shared" si="11"/>
        <v>建筑结构</v>
      </c>
      <c r="R35" s="770" t="s">
        <v>17</v>
      </c>
      <c r="S35" s="771">
        <f t="shared" si="12"/>
        <v>100</v>
      </c>
      <c r="T35" s="770" t="s">
        <v>17</v>
      </c>
      <c r="U35" s="771">
        <f t="shared" si="13"/>
        <v>100</v>
      </c>
      <c r="V35" s="770" t="s">
        <v>17</v>
      </c>
      <c r="W35" s="771">
        <f t="shared" si="14"/>
        <v>100</v>
      </c>
      <c r="X35" s="1806"/>
      <c r="Y35" s="3230"/>
      <c r="Z35" s="1807" t="str">
        <f t="shared" si="15"/>
        <v>建筑结构</v>
      </c>
      <c r="AA35" s="1804">
        <f t="shared" si="3"/>
        <v>1</v>
      </c>
      <c r="AB35" s="1804">
        <f t="shared" si="4"/>
        <v>1</v>
      </c>
      <c r="AC35" s="2666">
        <f t="shared" si="5"/>
        <v>1</v>
      </c>
    </row>
    <row r="36" spans="1:29" ht="15">
      <c r="A36" s="469"/>
      <c r="B36" s="419" t="s">
        <v>2639</v>
      </c>
      <c r="C36" s="457" t="s">
        <v>3280</v>
      </c>
      <c r="D36" s="432">
        <v>100</v>
      </c>
      <c r="E36" s="457" t="s">
        <v>3280</v>
      </c>
      <c r="F36" s="458">
        <f>SUMIF(108:108,E36,109:109)-SUMIF(108:108,C36,109:109)+100</f>
        <v>100</v>
      </c>
      <c r="G36" s="457" t="s">
        <v>3280</v>
      </c>
      <c r="H36" s="432">
        <f>SUMIF(108:108,G36,109:109)-SUMIF(108:108,C36,109:109)+100</f>
        <v>100</v>
      </c>
      <c r="I36" s="457" t="s">
        <v>3280</v>
      </c>
      <c r="J36" s="432">
        <f>SUMIF(108:108,I36,109:109)-SUMIF(108:108,C36,109:109)+100</f>
        <v>100</v>
      </c>
      <c r="K36" s="609">
        <v>2</v>
      </c>
      <c r="L36" s="1134"/>
      <c r="M36" s="1125"/>
      <c r="N36" s="1125"/>
      <c r="O36" s="1125"/>
      <c r="P36" s="3291"/>
      <c r="Q36" s="1803" t="str">
        <f t="shared" si="11"/>
        <v>公共部分装修</v>
      </c>
      <c r="R36" s="770" t="s">
        <v>17</v>
      </c>
      <c r="S36" s="771">
        <f t="shared" si="12"/>
        <v>100</v>
      </c>
      <c r="T36" s="770" t="s">
        <v>17</v>
      </c>
      <c r="U36" s="771">
        <f t="shared" si="13"/>
        <v>100</v>
      </c>
      <c r="V36" s="770" t="s">
        <v>17</v>
      </c>
      <c r="W36" s="771">
        <f t="shared" si="14"/>
        <v>100</v>
      </c>
      <c r="X36" s="1806"/>
      <c r="Y36" s="3230"/>
      <c r="Z36" s="1807" t="str">
        <f t="shared" si="15"/>
        <v>公共部分装修</v>
      </c>
      <c r="AA36" s="1804">
        <f t="shared" si="3"/>
        <v>1</v>
      </c>
      <c r="AB36" s="1804">
        <f t="shared" si="4"/>
        <v>1</v>
      </c>
      <c r="AC36" s="2666">
        <f t="shared" si="5"/>
        <v>1</v>
      </c>
    </row>
    <row r="37" spans="1:29" ht="15">
      <c r="A37" s="469"/>
      <c r="B37" s="419" t="s">
        <v>2640</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91"/>
      <c r="Q37" s="1803" t="str">
        <f t="shared" si="11"/>
        <v>成新度</v>
      </c>
      <c r="R37" s="770" t="s">
        <v>17</v>
      </c>
      <c r="S37" s="771">
        <f t="shared" si="12"/>
        <v>90</v>
      </c>
      <c r="T37" s="770" t="s">
        <v>17</v>
      </c>
      <c r="U37" s="771">
        <f t="shared" si="13"/>
        <v>100</v>
      </c>
      <c r="V37" s="770" t="s">
        <v>17</v>
      </c>
      <c r="W37" s="771">
        <f t="shared" si="14"/>
        <v>100</v>
      </c>
      <c r="X37" s="1806"/>
      <c r="Y37" s="3230"/>
      <c r="Z37" s="1807" t="str">
        <f t="shared" si="15"/>
        <v>成新度</v>
      </c>
      <c r="AA37" s="1804">
        <f t="shared" si="3"/>
        <v>1.1111111111111112</v>
      </c>
      <c r="AB37" s="1804">
        <f t="shared" si="4"/>
        <v>1</v>
      </c>
      <c r="AC37" s="2666">
        <f t="shared" si="5"/>
        <v>1</v>
      </c>
    </row>
    <row r="38" spans="1:29" s="117" customFormat="1" ht="15">
      <c r="A38" s="470"/>
      <c r="B38" s="419" t="s">
        <v>2672</v>
      </c>
      <c r="C38" s="457" t="s">
        <v>3272</v>
      </c>
      <c r="D38" s="136">
        <v>100</v>
      </c>
      <c r="E38" s="457" t="s">
        <v>3272</v>
      </c>
      <c r="F38" s="458">
        <f>SUMIF(113:113,E38,114:114)-SUMIF(113:113,C38,114:114)+100</f>
        <v>100</v>
      </c>
      <c r="G38" s="457" t="s">
        <v>3272</v>
      </c>
      <c r="H38" s="432">
        <f>SUMIF(113:113,G38,114:114)-SUMIF(113:113,C38,114:114)+100</f>
        <v>100</v>
      </c>
      <c r="I38" s="457" t="s">
        <v>3272</v>
      </c>
      <c r="J38" s="432">
        <f>SUMIF(113:113,I38,114:114)-SUMIF(113:113,C38,114:114)+100</f>
        <v>100</v>
      </c>
      <c r="K38" s="609">
        <v>5</v>
      </c>
      <c r="L38" s="1126"/>
      <c r="M38" s="1127"/>
      <c r="N38" s="1127"/>
      <c r="O38" s="1127"/>
      <c r="P38" s="3291"/>
      <c r="Q38" s="1788" t="str">
        <f t="shared" si="11"/>
        <v>写字楼等级</v>
      </c>
      <c r="R38" s="766" t="s">
        <v>17</v>
      </c>
      <c r="S38" s="767">
        <f t="shared" si="12"/>
        <v>100</v>
      </c>
      <c r="T38" s="766" t="s">
        <v>17</v>
      </c>
      <c r="U38" s="767">
        <f t="shared" si="13"/>
        <v>100</v>
      </c>
      <c r="V38" s="766" t="s">
        <v>17</v>
      </c>
      <c r="W38" s="767">
        <f t="shared" si="14"/>
        <v>100</v>
      </c>
      <c r="X38" s="768"/>
      <c r="Y38" s="3230"/>
      <c r="Z38" s="55" t="str">
        <f t="shared" si="15"/>
        <v>写字楼等级</v>
      </c>
      <c r="AA38" s="769">
        <f t="shared" si="3"/>
        <v>1</v>
      </c>
      <c r="AB38" s="769">
        <f t="shared" si="4"/>
        <v>1</v>
      </c>
      <c r="AC38" s="2663">
        <f t="shared" si="5"/>
        <v>1</v>
      </c>
    </row>
    <row r="39" spans="1:29" ht="15">
      <c r="A39" s="469"/>
      <c r="B39" s="419" t="s">
        <v>2673</v>
      </c>
      <c r="C39" s="457" t="s">
        <v>3276</v>
      </c>
      <c r="D39" s="432">
        <v>100</v>
      </c>
      <c r="E39" s="457" t="s">
        <v>3276</v>
      </c>
      <c r="F39" s="458">
        <f>SUMIF(115:115,E39,116:116)-SUMIF(115:115,C39,116:116)+100</f>
        <v>100</v>
      </c>
      <c r="G39" s="457" t="s">
        <v>3276</v>
      </c>
      <c r="H39" s="432">
        <f>SUMIF(115:115,G39,116:116)-SUMIF(115:115,C39,116:116)+100</f>
        <v>100</v>
      </c>
      <c r="I39" s="457" t="s">
        <v>3276</v>
      </c>
      <c r="J39" s="432">
        <f>SUMIF(115:115,I39,116:116)-SUMIF(115:115,C39,116:116)+100</f>
        <v>100</v>
      </c>
      <c r="K39" s="609">
        <v>2</v>
      </c>
      <c r="L39" s="1134"/>
      <c r="M39" s="1125"/>
      <c r="N39" s="1125"/>
      <c r="O39" s="1125"/>
      <c r="P39" s="3291" t="s">
        <v>2543</v>
      </c>
      <c r="Q39" s="1803" t="str">
        <f t="shared" si="11"/>
        <v>物业管理</v>
      </c>
      <c r="R39" s="770" t="s">
        <v>17</v>
      </c>
      <c r="S39" s="771">
        <f t="shared" si="12"/>
        <v>100</v>
      </c>
      <c r="T39" s="770" t="s">
        <v>17</v>
      </c>
      <c r="U39" s="771">
        <f t="shared" si="13"/>
        <v>100</v>
      </c>
      <c r="V39" s="770" t="s">
        <v>17</v>
      </c>
      <c r="W39" s="771">
        <f t="shared" si="14"/>
        <v>100</v>
      </c>
      <c r="X39" s="1806"/>
      <c r="Y39" s="3230" t="s">
        <v>2543</v>
      </c>
      <c r="Z39" s="1807" t="str">
        <f t="shared" si="15"/>
        <v>物业管理</v>
      </c>
      <c r="AA39" s="1804">
        <f t="shared" si="3"/>
        <v>1</v>
      </c>
      <c r="AB39" s="1804">
        <f t="shared" si="4"/>
        <v>1</v>
      </c>
      <c r="AC39" s="2666">
        <f t="shared" si="5"/>
        <v>1</v>
      </c>
    </row>
    <row r="40" spans="1:29" ht="15">
      <c r="A40" s="469"/>
      <c r="B40" s="419" t="s">
        <v>2641</v>
      </c>
      <c r="C40" s="457" t="s">
        <v>3195</v>
      </c>
      <c r="D40" s="432">
        <v>100</v>
      </c>
      <c r="E40" s="457" t="s">
        <v>3195</v>
      </c>
      <c r="F40" s="458">
        <f>SUMIF(117:117,E40,118:118)-SUMIF(117:117,C40,118:118)+100</f>
        <v>100</v>
      </c>
      <c r="G40" s="457" t="s">
        <v>3195</v>
      </c>
      <c r="H40" s="432">
        <f>SUMIF(117:117,G40,118:118)-SUMIF(117:117,C40,118:118)+100</f>
        <v>100</v>
      </c>
      <c r="I40" s="457" t="s">
        <v>3195</v>
      </c>
      <c r="J40" s="432">
        <f>SUMIF(117:117,I40,118:118)-SUMIF(117:117,C40,118:118)+100</f>
        <v>100</v>
      </c>
      <c r="K40" s="2988">
        <f>'土地比较法-住宅、综合'!K41</f>
        <v>0.5</v>
      </c>
      <c r="L40" s="1134"/>
      <c r="M40" s="1125"/>
      <c r="N40" s="1125"/>
      <c r="O40" s="1125"/>
      <c r="P40" s="3291"/>
      <c r="Q40" s="1803" t="str">
        <f t="shared" si="11"/>
        <v>市政基础设施</v>
      </c>
      <c r="R40" s="770" t="s">
        <v>17</v>
      </c>
      <c r="S40" s="771">
        <f t="shared" si="12"/>
        <v>100</v>
      </c>
      <c r="T40" s="770" t="s">
        <v>17</v>
      </c>
      <c r="U40" s="771">
        <f t="shared" si="13"/>
        <v>100</v>
      </c>
      <c r="V40" s="770" t="s">
        <v>17</v>
      </c>
      <c r="W40" s="771">
        <f t="shared" si="14"/>
        <v>100</v>
      </c>
      <c r="X40" s="1806"/>
      <c r="Y40" s="3230"/>
      <c r="Z40" s="1807" t="str">
        <f t="shared" si="15"/>
        <v>市政基础设施</v>
      </c>
      <c r="AA40" s="1804">
        <f t="shared" si="3"/>
        <v>1</v>
      </c>
      <c r="AB40" s="1804">
        <f t="shared" si="4"/>
        <v>1</v>
      </c>
      <c r="AC40" s="2666">
        <f t="shared" si="5"/>
        <v>1</v>
      </c>
    </row>
    <row r="41" spans="1:29" ht="15">
      <c r="A41" s="469"/>
      <c r="B41" s="419" t="s">
        <v>2643</v>
      </c>
      <c r="C41" s="613" t="s">
        <v>3278</v>
      </c>
      <c r="D41" s="432">
        <v>100</v>
      </c>
      <c r="E41" s="613" t="s">
        <v>3278</v>
      </c>
      <c r="F41" s="458">
        <f>SUMIF(119:119,E41,120:120)-SUMIF(119:119,C41,120:120)+100</f>
        <v>100</v>
      </c>
      <c r="G41" s="613" t="s">
        <v>3278</v>
      </c>
      <c r="H41" s="432">
        <f>SUMIF(119:119,G41,120:120)-SUMIF(119:119,C41,120:120)+100</f>
        <v>100</v>
      </c>
      <c r="I41" s="613" t="s">
        <v>3278</v>
      </c>
      <c r="J41" s="432">
        <f>SUMIF(119:119,I41,120:120)-SUMIF(119:119,C41,120:120)+100</f>
        <v>100</v>
      </c>
      <c r="K41" s="609">
        <v>2</v>
      </c>
      <c r="L41" s="1134"/>
      <c r="M41" s="1125"/>
      <c r="N41" s="1125"/>
      <c r="O41" s="1125"/>
      <c r="P41" s="3291"/>
      <c r="Q41" s="1803" t="str">
        <f t="shared" si="11"/>
        <v>层高</v>
      </c>
      <c r="R41" s="770" t="s">
        <v>17</v>
      </c>
      <c r="S41" s="771">
        <f t="shared" si="12"/>
        <v>100</v>
      </c>
      <c r="T41" s="770" t="s">
        <v>17</v>
      </c>
      <c r="U41" s="771">
        <f t="shared" si="13"/>
        <v>100</v>
      </c>
      <c r="V41" s="770" t="s">
        <v>17</v>
      </c>
      <c r="W41" s="771">
        <f t="shared" si="14"/>
        <v>100</v>
      </c>
      <c r="X41" s="1806"/>
      <c r="Y41" s="3230"/>
      <c r="Z41" s="1807" t="str">
        <f t="shared" si="15"/>
        <v>层高</v>
      </c>
      <c r="AA41" s="1804">
        <f t="shared" si="3"/>
        <v>1</v>
      </c>
      <c r="AB41" s="1804">
        <f t="shared" si="4"/>
        <v>1</v>
      </c>
      <c r="AC41" s="2666">
        <f t="shared" si="5"/>
        <v>1</v>
      </c>
    </row>
    <row r="42" spans="1:29" s="468" customFormat="1" ht="15">
      <c r="A42" s="465"/>
      <c r="B42" s="1805" t="s">
        <v>2674</v>
      </c>
      <c r="C42" s="2997" t="s">
        <v>3312</v>
      </c>
      <c r="D42" s="2998">
        <v>100</v>
      </c>
      <c r="E42" s="2997" t="s">
        <v>3346</v>
      </c>
      <c r="F42" s="2999">
        <f>SUMIF(121:121,E42,122:122)-SUMIF(121:121,C42,122:122)+100</f>
        <v>98</v>
      </c>
      <c r="G42" s="2997" t="s">
        <v>3348</v>
      </c>
      <c r="H42" s="2998">
        <f>SUMIF(121:121,G42,122:122)-SUMIF(121:121,C42,122:122)+100</f>
        <v>96</v>
      </c>
      <c r="I42" s="2997" t="s">
        <v>3351</v>
      </c>
      <c r="J42" s="2998">
        <f>SUMIF(121:121,I42,122:122)-SUMIF(121:121,C42,122:122)+100</f>
        <v>96</v>
      </c>
      <c r="K42" s="610"/>
      <c r="L42" s="1132"/>
      <c r="M42" s="1135"/>
      <c r="N42" s="1135"/>
      <c r="O42" s="1135"/>
      <c r="P42" s="3291"/>
      <c r="Q42" s="772" t="str">
        <f t="shared" si="11"/>
        <v>单套建筑面积</v>
      </c>
      <c r="R42" s="773" t="s">
        <v>17</v>
      </c>
      <c r="S42" s="774">
        <f t="shared" si="12"/>
        <v>98</v>
      </c>
      <c r="T42" s="773" t="s">
        <v>17</v>
      </c>
      <c r="U42" s="774">
        <f t="shared" si="13"/>
        <v>96</v>
      </c>
      <c r="V42" s="773" t="s">
        <v>17</v>
      </c>
      <c r="W42" s="774">
        <f t="shared" si="14"/>
        <v>96</v>
      </c>
      <c r="X42" s="775"/>
      <c r="Y42" s="3230"/>
      <c r="Z42" s="776" t="str">
        <f t="shared" si="15"/>
        <v>单套建筑面积</v>
      </c>
      <c r="AA42" s="1804">
        <f t="shared" si="3"/>
        <v>1.0204081632653061</v>
      </c>
      <c r="AB42" s="1804">
        <f t="shared" si="4"/>
        <v>1.0416666666666667</v>
      </c>
      <c r="AC42" s="2666">
        <f t="shared" si="5"/>
        <v>1.0416666666666667</v>
      </c>
    </row>
    <row r="43" spans="1:29" ht="15">
      <c r="A43" s="469"/>
      <c r="B43" s="419" t="s">
        <v>2646</v>
      </c>
      <c r="C43" s="457" t="s">
        <v>3280</v>
      </c>
      <c r="D43" s="432">
        <v>100</v>
      </c>
      <c r="E43" s="457" t="s">
        <v>3280</v>
      </c>
      <c r="F43" s="458">
        <f>SUMIF(123:123,E43,124:124)-SUMIF(123:123,C43,124:124)+100</f>
        <v>100</v>
      </c>
      <c r="G43" s="457" t="s">
        <v>3349</v>
      </c>
      <c r="H43" s="432">
        <f>SUMIF(123:123,G43,124:124)-SUMIF(123:123,C43,124:124)+100</f>
        <v>96</v>
      </c>
      <c r="I43" s="457" t="s">
        <v>3349</v>
      </c>
      <c r="J43" s="432">
        <f>SUMIF(123:123,I43,124:124)-SUMIF(123:123,C43,124:124)+100</f>
        <v>96</v>
      </c>
      <c r="K43" s="609">
        <v>4</v>
      </c>
      <c r="L43" s="1134"/>
      <c r="M43" s="1125"/>
      <c r="N43" s="1125"/>
      <c r="O43" s="1125"/>
      <c r="P43" s="3291"/>
      <c r="Q43" s="1803" t="str">
        <f t="shared" si="11"/>
        <v>内部装修</v>
      </c>
      <c r="R43" s="770" t="s">
        <v>17</v>
      </c>
      <c r="S43" s="771">
        <f t="shared" si="12"/>
        <v>100</v>
      </c>
      <c r="T43" s="770" t="s">
        <v>17</v>
      </c>
      <c r="U43" s="771">
        <f t="shared" si="13"/>
        <v>96</v>
      </c>
      <c r="V43" s="770" t="s">
        <v>17</v>
      </c>
      <c r="W43" s="771">
        <f t="shared" si="14"/>
        <v>96</v>
      </c>
      <c r="X43" s="1806"/>
      <c r="Y43" s="3230"/>
      <c r="Z43" s="1807" t="str">
        <f t="shared" si="15"/>
        <v>内部装修</v>
      </c>
      <c r="AA43" s="1804">
        <f t="shared" si="3"/>
        <v>1</v>
      </c>
      <c r="AB43" s="1804">
        <f t="shared" si="4"/>
        <v>1.0416666666666667</v>
      </c>
      <c r="AC43" s="2666">
        <f t="shared" si="5"/>
        <v>1.0416666666666667</v>
      </c>
    </row>
    <row r="44" spans="1:29" ht="15.75" thickBot="1">
      <c r="A44" s="469"/>
      <c r="B44" s="419" t="s">
        <v>2554</v>
      </c>
      <c r="C44" s="457" t="s">
        <v>3066</v>
      </c>
      <c r="D44" s="432">
        <v>100</v>
      </c>
      <c r="E44" s="457" t="s">
        <v>3066</v>
      </c>
      <c r="F44" s="458">
        <f>SUMIF(125:125,E44,126:126)-SUMIF(125:125,C44,126:126)+100</f>
        <v>100</v>
      </c>
      <c r="G44" s="457" t="s">
        <v>3066</v>
      </c>
      <c r="H44" s="432">
        <f>SUMIF(125:125,G44,126:126)-SUMIF(125:125,C44,126:126)+100</f>
        <v>100</v>
      </c>
      <c r="I44" s="457" t="s">
        <v>3066</v>
      </c>
      <c r="J44" s="432">
        <f>SUMIF(125:125,I44,126:126)-SUMIF(125:125,C44,126:126)+100</f>
        <v>100</v>
      </c>
      <c r="K44" s="609">
        <v>2</v>
      </c>
      <c r="L44" s="1134"/>
      <c r="M44" s="1125"/>
      <c r="N44" s="1125"/>
      <c r="O44" s="1125"/>
      <c r="P44" s="3291"/>
      <c r="Q44" s="1803" t="str">
        <f t="shared" si="11"/>
        <v>内部装修维护情况</v>
      </c>
      <c r="R44" s="770" t="s">
        <v>17</v>
      </c>
      <c r="S44" s="771">
        <f t="shared" si="12"/>
        <v>100</v>
      </c>
      <c r="T44" s="770" t="s">
        <v>17</v>
      </c>
      <c r="U44" s="771">
        <f t="shared" si="13"/>
        <v>100</v>
      </c>
      <c r="V44" s="770" t="s">
        <v>17</v>
      </c>
      <c r="W44" s="771">
        <f t="shared" si="14"/>
        <v>100</v>
      </c>
      <c r="X44" s="1806"/>
      <c r="Y44" s="3230"/>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91"/>
      <c r="Q45" s="1788">
        <f t="shared" si="11"/>
        <v>111</v>
      </c>
      <c r="R45" s="766" t="s">
        <v>17</v>
      </c>
      <c r="S45" s="767">
        <f t="shared" si="12"/>
        <v>100</v>
      </c>
      <c r="T45" s="766" t="s">
        <v>17</v>
      </c>
      <c r="U45" s="767">
        <f t="shared" si="13"/>
        <v>100</v>
      </c>
      <c r="V45" s="766" t="s">
        <v>17</v>
      </c>
      <c r="W45" s="767">
        <f t="shared" si="14"/>
        <v>100</v>
      </c>
      <c r="X45" s="768"/>
      <c r="Y45" s="3230"/>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91"/>
      <c r="Q46" s="1803">
        <f t="shared" si="11"/>
        <v>111</v>
      </c>
      <c r="R46" s="770" t="s">
        <v>17</v>
      </c>
      <c r="S46" s="771">
        <f t="shared" si="12"/>
        <v>100</v>
      </c>
      <c r="T46" s="770" t="s">
        <v>17</v>
      </c>
      <c r="U46" s="771">
        <f t="shared" si="13"/>
        <v>100</v>
      </c>
      <c r="V46" s="770" t="s">
        <v>17</v>
      </c>
      <c r="W46" s="771">
        <f t="shared" si="14"/>
        <v>100</v>
      </c>
      <c r="X46" s="1806"/>
      <c r="Y46" s="3230"/>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92"/>
      <c r="Q47" s="1803">
        <f t="shared" si="11"/>
        <v>111</v>
      </c>
      <c r="R47" s="770" t="s">
        <v>17</v>
      </c>
      <c r="S47" s="771">
        <f t="shared" si="12"/>
        <v>100</v>
      </c>
      <c r="T47" s="770" t="s">
        <v>17</v>
      </c>
      <c r="U47" s="771">
        <f t="shared" si="13"/>
        <v>100</v>
      </c>
      <c r="V47" s="770" t="s">
        <v>17</v>
      </c>
      <c r="W47" s="771">
        <f t="shared" si="14"/>
        <v>100</v>
      </c>
      <c r="X47" s="1806"/>
      <c r="Y47" s="3293"/>
      <c r="Z47" s="1807">
        <f t="shared" si="15"/>
        <v>111</v>
      </c>
      <c r="AA47" s="1804">
        <f t="shared" si="3"/>
        <v>1</v>
      </c>
      <c r="AB47" s="1804">
        <f t="shared" si="4"/>
        <v>1</v>
      </c>
      <c r="AC47" s="2666">
        <f t="shared" si="5"/>
        <v>1</v>
      </c>
    </row>
    <row r="48" spans="1:29" ht="15">
      <c r="A48" s="476" t="s">
        <v>2555</v>
      </c>
      <c r="B48" s="477"/>
      <c r="C48" s="1401" t="s">
        <v>1</v>
      </c>
      <c r="D48" s="1402"/>
      <c r="E48" s="1403">
        <v>5.4</v>
      </c>
      <c r="F48" s="1404"/>
      <c r="G48" s="1405">
        <v>4.9000000000000004</v>
      </c>
      <c r="H48" s="1406"/>
      <c r="I48" s="1403">
        <v>5.5</v>
      </c>
      <c r="J48" s="482"/>
      <c r="K48" s="779"/>
      <c r="L48" s="1137"/>
      <c r="M48" s="1125"/>
      <c r="N48" s="1125"/>
      <c r="O48" s="1125"/>
      <c r="P48" s="3224" t="str">
        <f>A48</f>
        <v>成交单价（元/平方米）</v>
      </c>
      <c r="Q48" s="3225"/>
      <c r="R48" s="3289">
        <f>E48</f>
        <v>5.4</v>
      </c>
      <c r="S48" s="3289"/>
      <c r="T48" s="3289">
        <f>G48</f>
        <v>4.9000000000000004</v>
      </c>
      <c r="U48" s="3289"/>
      <c r="V48" s="3289">
        <f>I48</f>
        <v>5.5</v>
      </c>
      <c r="W48" s="3289"/>
      <c r="X48" s="443"/>
      <c r="Y48" s="777"/>
      <c r="Z48" s="443"/>
      <c r="AA48" s="443"/>
      <c r="AB48" s="443"/>
      <c r="AC48" s="626"/>
    </row>
    <row r="49" spans="1:29" ht="15.75" thickBot="1">
      <c r="A49" s="483" t="s">
        <v>2647</v>
      </c>
      <c r="B49" s="484"/>
      <c r="C49" s="1407">
        <f>R50</f>
        <v>6</v>
      </c>
      <c r="D49" s="1408"/>
      <c r="E49" s="1409">
        <f>R49</f>
        <v>6.4</v>
      </c>
      <c r="F49" s="1409"/>
      <c r="G49" s="1407">
        <f>T49</f>
        <v>5.4</v>
      </c>
      <c r="H49" s="1408"/>
      <c r="I49" s="1409">
        <f>V49</f>
        <v>6.1</v>
      </c>
      <c r="J49" s="486"/>
      <c r="K49" s="780"/>
      <c r="L49" s="1137"/>
      <c r="M49" s="1125"/>
      <c r="N49" s="1125"/>
      <c r="O49" s="1125"/>
      <c r="P49" s="3224" t="str">
        <f>A49</f>
        <v>比较价值（元/平方米）</v>
      </c>
      <c r="Q49" s="3225"/>
      <c r="R49" s="3289">
        <f>IF(F1="售价",ROUND(PRODUCT(R48,AA7:AA47),0),ROUND(PRODUCT(R48,AA7:AA47),1))</f>
        <v>6.4</v>
      </c>
      <c r="S49" s="3289"/>
      <c r="T49" s="3289">
        <f>IF(F1="售价",ROUND(PRODUCT(T48,AB7:AB47),0),ROUND(PRODUCT(T48,AB7:AB47),1))</f>
        <v>5.4</v>
      </c>
      <c r="U49" s="3289"/>
      <c r="V49" s="3289">
        <f>IF(F1="售价",ROUND(PRODUCT(V48,AC7:AC47),0),ROUND(PRODUCT(V48,AC7:AC47),1))</f>
        <v>6.1</v>
      </c>
      <c r="W49" s="3289"/>
      <c r="X49" s="443"/>
      <c r="Y49" s="443"/>
      <c r="Z49" s="443"/>
      <c r="AA49" s="443"/>
      <c r="AB49" s="443"/>
      <c r="AC49" s="626"/>
    </row>
    <row r="50" spans="1:29" ht="15.75" thickBot="1">
      <c r="A50" s="489" t="s">
        <v>2648</v>
      </c>
      <c r="B50" s="490"/>
      <c r="C50" s="1411">
        <f>R50</f>
        <v>6</v>
      </c>
      <c r="D50" s="1411"/>
      <c r="E50" s="1411"/>
      <c r="F50" s="1411"/>
      <c r="G50" s="1411"/>
      <c r="H50" s="1411"/>
      <c r="I50" s="1411"/>
      <c r="J50" s="491"/>
      <c r="K50" s="781"/>
      <c r="L50" s="1137"/>
      <c r="M50" s="1125"/>
      <c r="N50" s="1125"/>
      <c r="O50" s="1125"/>
      <c r="P50" s="3296" t="str">
        <f>A50</f>
        <v>估价对象XX用房的比较价值（楼面单价，元/平方米）</v>
      </c>
      <c r="Q50" s="3297"/>
      <c r="R50" s="3298">
        <f>IF(F1="售价",ROUND(AVERAGE(R49:V49),0),ROUND(AVERAGE(R49:V49),1))</f>
        <v>6</v>
      </c>
      <c r="S50" s="3298"/>
      <c r="T50" s="3298"/>
      <c r="U50" s="3298"/>
      <c r="V50" s="3298"/>
      <c r="W50" s="3298"/>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2649</v>
      </c>
      <c r="D53" s="495"/>
      <c r="E53" s="496">
        <f>IF(E48&lt;E49,E49/E48-1,E48/E49-1)</f>
        <v>0.18518518518518512</v>
      </c>
      <c r="F53" s="497" t="str">
        <f>IF(OR(E53&gt;=0.3,E53&lt;=-0.3),"超过30%","")</f>
        <v/>
      </c>
      <c r="G53" s="496">
        <f>IF(G48&lt;G49,G49/G48-1,G48/G49-1)</f>
        <v>0.1020408163265305</v>
      </c>
      <c r="H53" s="497" t="str">
        <f>IF(OR(G53&gt;=0.3,G53&lt;=-0.3),"超过30%","")</f>
        <v/>
      </c>
      <c r="I53" s="496">
        <f>IF(I48&lt;I49,I49/I48-1,I48/I49-1)</f>
        <v>0.10909090909090913</v>
      </c>
      <c r="J53" s="497" t="str">
        <f>IF(OR(I53&gt;=0.3,I53&lt;=-0.3),"超过30%","")</f>
        <v/>
      </c>
      <c r="K53" s="1099"/>
      <c r="L53" s="1100"/>
      <c r="M53" s="1138"/>
      <c r="N53" s="1138"/>
      <c r="O53" s="1138"/>
    </row>
    <row r="54" spans="1:29" ht="13.5" customHeight="1">
      <c r="A54" s="1138"/>
      <c r="B54" s="1138"/>
      <c r="C54" s="494" t="s">
        <v>2650</v>
      </c>
      <c r="D54" s="498"/>
      <c r="E54" s="496">
        <f>IF(E49&lt;G49,G49/E49-1,E49/G49-1)</f>
        <v>0.18518518518518512</v>
      </c>
      <c r="F54" s="497" t="str">
        <f>IF(OR(E54&gt;=0.2,E54&lt;=-0.2),"超过20%","")</f>
        <v/>
      </c>
      <c r="G54" s="496">
        <f>IF(G49&lt;I49,I49/G49-1,G49/I49-1)</f>
        <v>0.12962962962962954</v>
      </c>
      <c r="H54" s="497" t="str">
        <f>IF(OR(G54&gt;=0.2,G54&lt;=-0.2),"超过20%","")</f>
        <v/>
      </c>
      <c r="I54" s="496">
        <f>IF(I49&lt;E49,E49/I49-1,I49/E49-1)</f>
        <v>4.9180327868852514E-2</v>
      </c>
      <c r="J54" s="497" t="str">
        <f>IF(OR(I54&gt;=0.2,I54&lt;=-0.2),"超过20%","")</f>
        <v/>
      </c>
      <c r="K54" s="1099"/>
      <c r="L54" s="1100"/>
      <c r="M54" s="1138"/>
      <c r="N54" s="1138"/>
      <c r="O54" s="1138"/>
    </row>
    <row r="55" spans="1:29" s="499" customFormat="1" ht="13.5" customHeight="1">
      <c r="A55" s="1139"/>
      <c r="B55" s="1139"/>
      <c r="C55" s="494" t="s">
        <v>2651</v>
      </c>
      <c r="D55" s="498"/>
      <c r="E55" s="496">
        <f>IF(E48&lt;G48,G48/E48-1,E48/G48-1)</f>
        <v>0.1020408163265305</v>
      </c>
      <c r="F55" s="497" t="str">
        <f>IF(OR(E55&gt;=0.3,E55&lt;=-0.3),"超过30%","")</f>
        <v/>
      </c>
      <c r="G55" s="496">
        <f>IF(G48&lt;I48,I48/G48-1,G48/I48-1)</f>
        <v>0.12244897959183665</v>
      </c>
      <c r="H55" s="497" t="str">
        <f>IF(OR(G55&gt;=0.3,G55&lt;=-0.3),"超过30%","")</f>
        <v/>
      </c>
      <c r="I55" s="496">
        <f>IF(I48&lt;E48,E48/I48-1,I48/E48-1)</f>
        <v>1.8518518518518379E-2</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2652</v>
      </c>
      <c r="B58" s="755"/>
      <c r="C58" s="760"/>
      <c r="D58" s="760"/>
      <c r="E58" s="760"/>
      <c r="F58" s="761"/>
      <c r="G58" s="761"/>
      <c r="H58" s="760"/>
      <c r="I58" s="760"/>
      <c r="J58" s="760"/>
      <c r="K58" s="762"/>
      <c r="L58" s="1155"/>
      <c r="M58" s="1153"/>
      <c r="N58" s="1153"/>
      <c r="O58" s="1153"/>
      <c r="P58" s="2673"/>
      <c r="Q58" s="501"/>
    </row>
    <row r="59" spans="1:29" s="505" customFormat="1" ht="15">
      <c r="A59" s="502" t="s">
        <v>2526</v>
      </c>
      <c r="B59" s="503"/>
      <c r="C59" s="1567" t="str">
        <f>YEAR(C7)&amp;"-"&amp;MONTH(C7)</f>
        <v>2018-9</v>
      </c>
      <c r="D59" s="1568">
        <f>EDATE(C59,-1)</f>
        <v>43313</v>
      </c>
      <c r="E59" s="1568">
        <f>EDATE(D59,-1)</f>
        <v>43282</v>
      </c>
      <c r="F59" s="1568">
        <f t="shared" ref="F59:O59" si="16">EDATE(E59,-1)</f>
        <v>43252</v>
      </c>
      <c r="G59" s="1568">
        <f t="shared" si="16"/>
        <v>43221</v>
      </c>
      <c r="H59" s="1568">
        <f t="shared" si="16"/>
        <v>43191</v>
      </c>
      <c r="I59" s="1568">
        <f t="shared" si="16"/>
        <v>43160</v>
      </c>
      <c r="J59" s="1568">
        <f t="shared" si="16"/>
        <v>43132</v>
      </c>
      <c r="K59" s="1568">
        <f t="shared" si="16"/>
        <v>43101</v>
      </c>
      <c r="L59" s="1568">
        <f t="shared" si="16"/>
        <v>43070</v>
      </c>
      <c r="M59" s="1568">
        <f t="shared" si="16"/>
        <v>43040</v>
      </c>
      <c r="N59" s="1568">
        <f t="shared" si="16"/>
        <v>43009</v>
      </c>
      <c r="O59" s="1568">
        <f t="shared" si="16"/>
        <v>42979</v>
      </c>
      <c r="P59" s="1564"/>
    </row>
    <row r="60" spans="1:29" s="117" customFormat="1" ht="15">
      <c r="A60" s="506"/>
      <c r="B60" s="507"/>
      <c r="C60" s="1566">
        <v>100</v>
      </c>
      <c r="D60" s="509">
        <v>100</v>
      </c>
      <c r="E60" s="509">
        <v>100</v>
      </c>
      <c r="F60" s="509">
        <v>99</v>
      </c>
      <c r="G60" s="509">
        <v>99</v>
      </c>
      <c r="H60" s="509">
        <v>99</v>
      </c>
      <c r="I60" s="509">
        <v>98</v>
      </c>
      <c r="J60" s="509">
        <v>98</v>
      </c>
      <c r="K60" s="509">
        <v>98</v>
      </c>
      <c r="L60" s="509"/>
      <c r="M60" s="510"/>
      <c r="N60" s="509"/>
      <c r="O60" s="510"/>
      <c r="P60" s="2674"/>
    </row>
    <row r="61" spans="1:29" s="117" customFormat="1" ht="15.75" thickBot="1">
      <c r="A61" s="512" t="s">
        <v>2563</v>
      </c>
      <c r="B61" s="513"/>
      <c r="C61" s="514"/>
      <c r="D61" s="2985" t="s">
        <v>3271</v>
      </c>
      <c r="E61" s="515">
        <v>2000</v>
      </c>
      <c r="F61" s="515"/>
      <c r="G61" s="515">
        <v>2013</v>
      </c>
      <c r="H61" s="515"/>
      <c r="I61" s="515">
        <v>2016</v>
      </c>
      <c r="J61" s="515"/>
      <c r="K61" s="515"/>
      <c r="L61" s="515"/>
      <c r="M61" s="516"/>
      <c r="N61" s="515"/>
      <c r="O61" s="516"/>
      <c r="P61" s="2674"/>
      <c r="Q61" s="501"/>
    </row>
    <row r="62" spans="1:29" s="117" customFormat="1" ht="15">
      <c r="A62" s="518" t="s">
        <v>2528</v>
      </c>
      <c r="B62" s="507"/>
      <c r="C62" s="519" t="s">
        <v>2630</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2566</v>
      </c>
      <c r="B64" s="525" t="s">
        <v>2532</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2535</v>
      </c>
      <c r="C66" s="536" t="s">
        <v>2567</v>
      </c>
      <c r="D66" s="536" t="s">
        <v>2568</v>
      </c>
      <c r="E66" s="536" t="s">
        <v>2569</v>
      </c>
      <c r="F66" s="536" t="s">
        <v>2570</v>
      </c>
      <c r="G66" s="536" t="s">
        <v>2571</v>
      </c>
      <c r="H66" s="536" t="s">
        <v>2572</v>
      </c>
      <c r="I66" s="536" t="s">
        <v>2573</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2536</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2537</v>
      </c>
      <c r="B77" s="525" t="s">
        <v>2675</v>
      </c>
      <c r="C77" s="570" t="s">
        <v>2575</v>
      </c>
      <c r="D77" s="570" t="s">
        <v>2576</v>
      </c>
      <c r="E77" s="570" t="s">
        <v>2577</v>
      </c>
      <c r="F77" s="570" t="s">
        <v>2578</v>
      </c>
      <c r="G77" s="570" t="s">
        <v>2579</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2580</v>
      </c>
      <c r="C79" s="575" t="s">
        <v>2575</v>
      </c>
      <c r="D79" s="575" t="s">
        <v>2576</v>
      </c>
      <c r="E79" s="575" t="s">
        <v>2577</v>
      </c>
      <c r="F79" s="575" t="s">
        <v>2578</v>
      </c>
      <c r="G79" s="575" t="s">
        <v>2579</v>
      </c>
      <c r="H79" s="536"/>
      <c r="I79" s="536"/>
      <c r="J79" s="536"/>
      <c r="K79" s="537"/>
      <c r="L79" s="538"/>
      <c r="M79" s="539"/>
      <c r="N79" s="1146"/>
      <c r="O79" s="1146"/>
      <c r="P79" s="2676"/>
      <c r="Q79" s="501"/>
    </row>
    <row r="80" spans="1:17" ht="15.75" thickBot="1">
      <c r="A80" s="531"/>
      <c r="B80" s="540"/>
      <c r="C80" s="541">
        <v>100</v>
      </c>
      <c r="D80" s="541">
        <f>C80-$K17</f>
        <v>99</v>
      </c>
      <c r="E80" s="541">
        <f>D80-$K17</f>
        <v>98</v>
      </c>
      <c r="F80" s="541">
        <f>E80-$K17</f>
        <v>97</v>
      </c>
      <c r="G80" s="541">
        <f>F80-$K17</f>
        <v>96</v>
      </c>
      <c r="H80" s="541"/>
      <c r="I80" s="541"/>
      <c r="J80" s="541"/>
      <c r="K80" s="541"/>
      <c r="L80" s="541"/>
      <c r="M80" s="542"/>
      <c r="N80" s="1147"/>
      <c r="O80" s="1147"/>
      <c r="P80" s="2676"/>
      <c r="Q80" s="501"/>
    </row>
    <row r="81" spans="1:17" ht="15.75" thickTop="1">
      <c r="A81" s="531"/>
      <c r="B81" s="535" t="s">
        <v>2581</v>
      </c>
      <c r="C81" s="575" t="s">
        <v>2575</v>
      </c>
      <c r="D81" s="575" t="s">
        <v>2576</v>
      </c>
      <c r="E81" s="575" t="s">
        <v>2577</v>
      </c>
      <c r="F81" s="575" t="s">
        <v>2578</v>
      </c>
      <c r="G81" s="575" t="s">
        <v>2579</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2667</v>
      </c>
      <c r="C83" s="656" t="s">
        <v>2653</v>
      </c>
      <c r="D83" s="656" t="s">
        <v>2654</v>
      </c>
      <c r="E83" s="656" t="s">
        <v>2655</v>
      </c>
      <c r="F83" s="656" t="s">
        <v>2656</v>
      </c>
      <c r="G83" s="656" t="s">
        <v>2657</v>
      </c>
      <c r="H83" s="536"/>
      <c r="I83" s="536"/>
      <c r="J83" s="536"/>
      <c r="K83" s="536"/>
      <c r="L83" s="536"/>
      <c r="M83" s="1376"/>
      <c r="N83" s="1147"/>
      <c r="O83" s="1147"/>
      <c r="P83" s="2676"/>
      <c r="Q83" s="501"/>
    </row>
    <row r="84" spans="1:17" ht="15.75" thickBot="1">
      <c r="A84" s="531"/>
      <c r="B84" s="543"/>
      <c r="C84" s="541">
        <v>100</v>
      </c>
      <c r="D84" s="541">
        <f>C84-$K21</f>
        <v>99.5</v>
      </c>
      <c r="E84" s="541">
        <f>D84-$K21</f>
        <v>99</v>
      </c>
      <c r="F84" s="541">
        <f>E84-$K21</f>
        <v>98.5</v>
      </c>
      <c r="G84" s="541">
        <f>F84-$K21</f>
        <v>98</v>
      </c>
      <c r="H84" s="656"/>
      <c r="I84" s="656"/>
      <c r="J84" s="656"/>
      <c r="K84" s="656"/>
      <c r="L84" s="656"/>
      <c r="M84" s="447"/>
      <c r="N84" s="1147"/>
      <c r="O84" s="1147"/>
      <c r="P84" s="2676"/>
      <c r="Q84" s="501"/>
    </row>
    <row r="85" spans="1:17" ht="15.75" thickTop="1">
      <c r="A85" s="531"/>
      <c r="B85" s="535" t="s">
        <v>2676</v>
      </c>
      <c r="C85" s="575" t="s">
        <v>2575</v>
      </c>
      <c r="D85" s="575" t="s">
        <v>2576</v>
      </c>
      <c r="E85" s="575" t="s">
        <v>2577</v>
      </c>
      <c r="F85" s="575" t="s">
        <v>2578</v>
      </c>
      <c r="G85" s="575" t="s">
        <v>2579</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2677</v>
      </c>
      <c r="C87" s="2966" t="s">
        <v>3253</v>
      </c>
      <c r="D87" s="2966" t="s">
        <v>3255</v>
      </c>
      <c r="E87" s="2966" t="s">
        <v>3256</v>
      </c>
      <c r="F87" s="2966" t="s">
        <v>3258</v>
      </c>
      <c r="G87" s="2966" t="s">
        <v>3259</v>
      </c>
      <c r="H87" s="551"/>
      <c r="I87" s="551"/>
      <c r="J87" s="551"/>
      <c r="K87" s="551"/>
      <c r="L87" s="577"/>
      <c r="M87" s="578"/>
      <c r="N87" s="1145"/>
      <c r="O87" s="1145"/>
      <c r="P87" s="2676"/>
      <c r="Q87" s="501"/>
    </row>
    <row r="88" spans="1:17" s="117" customFormat="1" ht="15.75" thickBot="1">
      <c r="A88" s="576"/>
      <c r="B88" s="540"/>
      <c r="C88" s="579">
        <v>100</v>
      </c>
      <c r="D88" s="541">
        <f t="shared" ref="D88:M88" si="19">C88-$K25</f>
        <v>99.5</v>
      </c>
      <c r="E88" s="541">
        <f t="shared" si="19"/>
        <v>99</v>
      </c>
      <c r="F88" s="541">
        <f t="shared" si="19"/>
        <v>98.5</v>
      </c>
      <c r="G88" s="541">
        <f t="shared" si="19"/>
        <v>98</v>
      </c>
      <c r="H88" s="541">
        <f t="shared" si="19"/>
        <v>97.5</v>
      </c>
      <c r="I88" s="541">
        <f t="shared" si="19"/>
        <v>97</v>
      </c>
      <c r="J88" s="541">
        <f t="shared" si="19"/>
        <v>96.5</v>
      </c>
      <c r="K88" s="541">
        <f t="shared" si="19"/>
        <v>96</v>
      </c>
      <c r="L88" s="541">
        <f t="shared" si="19"/>
        <v>95.5</v>
      </c>
      <c r="M88" s="541">
        <f t="shared" si="19"/>
        <v>95</v>
      </c>
      <c r="N88" s="1147"/>
      <c r="O88" s="1147"/>
      <c r="P88" s="2676"/>
      <c r="Q88" s="501"/>
    </row>
    <row r="89" spans="1:17" s="117" customFormat="1" ht="15.75" thickTop="1">
      <c r="A89" s="576"/>
      <c r="B89" s="535" t="str">
        <f>B27</f>
        <v>楼层</v>
      </c>
      <c r="C89" s="2966" t="s">
        <v>3266</v>
      </c>
      <c r="D89" s="2966" t="s">
        <v>3268</v>
      </c>
      <c r="E89" s="2966" t="s">
        <v>3269</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2541</v>
      </c>
      <c r="B101" s="525" t="s">
        <v>2590</v>
      </c>
      <c r="C101" s="2962" t="s">
        <v>3275</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2591</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89">
        <f>'土地比较法-住宅、综合'!C117</f>
        <v>0</v>
      </c>
      <c r="D104" s="2989">
        <f>'土地比较法-住宅、综合'!D117</f>
        <v>10000</v>
      </c>
      <c r="E104" s="2989">
        <f>'土地比较法-住宅、综合'!E117</f>
        <v>20000</v>
      </c>
      <c r="F104" s="2989">
        <f>'土地比较法-住宅、综合'!F117</f>
        <v>40000</v>
      </c>
      <c r="G104" s="2989">
        <f>'土地比较法-住宅、综合'!G117</f>
        <v>80000</v>
      </c>
      <c r="H104" s="2989">
        <f>'土地比较法-住宅、综合'!H117</f>
        <v>160000</v>
      </c>
      <c r="I104" s="2989">
        <f>'土地比较法-住宅、综合'!I117</f>
        <v>320000</v>
      </c>
      <c r="J104" s="593">
        <v>10000000000</v>
      </c>
      <c r="K104" s="593"/>
      <c r="L104" s="594"/>
      <c r="M104" s="595"/>
      <c r="N104" s="1148"/>
      <c r="O104" s="1148"/>
      <c r="P104" s="2677"/>
      <c r="Q104" s="556"/>
    </row>
    <row r="105" spans="1:17" s="468" customFormat="1" ht="15.75" thickBot="1">
      <c r="A105" s="550"/>
      <c r="B105" s="540"/>
      <c r="C105" s="2990">
        <f>'土地比较法-住宅、综合'!C118</f>
        <v>100</v>
      </c>
      <c r="D105" s="2990">
        <f>'土地比较法-住宅、综合'!D118</f>
        <v>101</v>
      </c>
      <c r="E105" s="2990">
        <f>'土地比较法-住宅、综合'!E118</f>
        <v>102</v>
      </c>
      <c r="F105" s="2990">
        <f>'土地比较法-住宅、综合'!F118</f>
        <v>103</v>
      </c>
      <c r="G105" s="2990">
        <f>'土地比较法-住宅、综合'!G118</f>
        <v>104</v>
      </c>
      <c r="H105" s="2990">
        <f>'土地比较法-住宅、综合'!H118</f>
        <v>105</v>
      </c>
      <c r="I105" s="2990">
        <f>'土地比较法-住宅、综合'!I118</f>
        <v>106</v>
      </c>
      <c r="J105" s="2990">
        <f>I105+1</f>
        <v>107</v>
      </c>
      <c r="K105" s="533"/>
      <c r="L105" s="533"/>
      <c r="M105" s="534"/>
      <c r="N105" s="1147"/>
      <c r="O105" s="1147"/>
      <c r="P105" s="2677"/>
      <c r="Q105" s="556"/>
    </row>
    <row r="106" spans="1:17" ht="15" thickTop="1">
      <c r="A106" s="596"/>
      <c r="B106" s="535" t="s">
        <v>2592</v>
      </c>
      <c r="C106" s="2966" t="s">
        <v>3285</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2594</v>
      </c>
      <c r="C108" s="2966" t="s">
        <v>3281</v>
      </c>
      <c r="D108" s="2966" t="s">
        <v>3282</v>
      </c>
      <c r="E108" s="2966" t="s">
        <v>3283</v>
      </c>
      <c r="F108" s="2965" t="s">
        <v>3284</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2678</v>
      </c>
      <c r="C113" s="2962" t="s">
        <v>3273</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2595</v>
      </c>
      <c r="C115" s="2966" t="s">
        <v>3277</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2596</v>
      </c>
      <c r="C117" s="2987" t="s">
        <v>2653</v>
      </c>
      <c r="D117" s="2987" t="s">
        <v>2654</v>
      </c>
      <c r="E117" s="2987" t="s">
        <v>2655</v>
      </c>
      <c r="F117" s="2987" t="s">
        <v>2656</v>
      </c>
      <c r="G117" s="2987" t="s">
        <v>2657</v>
      </c>
      <c r="H117" s="580"/>
      <c r="I117" s="580"/>
      <c r="J117" s="580"/>
      <c r="K117" s="581"/>
      <c r="L117" s="582"/>
      <c r="M117" s="583"/>
      <c r="N117" s="1146"/>
      <c r="O117" s="1146"/>
      <c r="P117" s="2676"/>
      <c r="Q117" s="501"/>
    </row>
    <row r="118" spans="1:17" ht="15.75" thickBot="1">
      <c r="A118" s="531"/>
      <c r="B118" s="540"/>
      <c r="C118" s="541">
        <v>100</v>
      </c>
      <c r="D118" s="541">
        <f>C118-$K40</f>
        <v>99.5</v>
      </c>
      <c r="E118" s="541">
        <f>D118-$K40</f>
        <v>99</v>
      </c>
      <c r="F118" s="541">
        <f>E118-$K40</f>
        <v>98.5</v>
      </c>
      <c r="G118" s="541">
        <f>F118-$K40</f>
        <v>98</v>
      </c>
      <c r="H118" s="541"/>
      <c r="I118" s="541"/>
      <c r="J118" s="541"/>
      <c r="K118" s="541"/>
      <c r="L118" s="541"/>
      <c r="M118" s="542"/>
      <c r="N118" s="1147"/>
      <c r="O118" s="1147"/>
      <c r="P118" s="2676"/>
      <c r="Q118" s="501"/>
    </row>
    <row r="119" spans="1:17" ht="15" thickTop="1">
      <c r="A119" s="596"/>
      <c r="B119" s="632" t="s">
        <v>2679</v>
      </c>
      <c r="C119" s="2965" t="s">
        <v>3279</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2662</v>
      </c>
      <c r="C121" s="551" t="s">
        <v>3311</v>
      </c>
      <c r="D121" s="551" t="s">
        <v>3309</v>
      </c>
      <c r="E121" s="551" t="s">
        <v>3308</v>
      </c>
      <c r="F121" s="580" t="s">
        <v>3310</v>
      </c>
      <c r="G121" s="552" t="s">
        <v>3313</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2598</v>
      </c>
      <c r="C123" s="2966" t="s">
        <v>3281</v>
      </c>
      <c r="D123" s="2966" t="s">
        <v>3282</v>
      </c>
      <c r="E123" s="2966" t="s">
        <v>3283</v>
      </c>
      <c r="F123" s="2965" t="s">
        <v>3284</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96</v>
      </c>
      <c r="E124" s="541">
        <f t="shared" si="30"/>
        <v>92</v>
      </c>
      <c r="F124" s="541">
        <f t="shared" si="30"/>
        <v>88</v>
      </c>
      <c r="G124" s="541">
        <f t="shared" si="30"/>
        <v>84</v>
      </c>
      <c r="H124" s="541">
        <f t="shared" si="30"/>
        <v>80</v>
      </c>
      <c r="I124" s="541">
        <f t="shared" si="30"/>
        <v>76</v>
      </c>
      <c r="J124" s="541">
        <f t="shared" si="30"/>
        <v>72</v>
      </c>
      <c r="K124" s="541">
        <f t="shared" si="30"/>
        <v>68</v>
      </c>
      <c r="L124" s="541">
        <f t="shared" si="30"/>
        <v>64</v>
      </c>
      <c r="M124" s="542">
        <f t="shared" si="30"/>
        <v>60</v>
      </c>
      <c r="N124" s="1147"/>
      <c r="O124" s="1147"/>
      <c r="P124" s="2676"/>
      <c r="Q124" s="501"/>
    </row>
    <row r="125" spans="1:17" ht="15" thickTop="1">
      <c r="A125" s="596"/>
      <c r="B125" s="535" t="s">
        <v>2599</v>
      </c>
      <c r="C125" s="575" t="s">
        <v>2575</v>
      </c>
      <c r="D125" s="575" t="s">
        <v>2576</v>
      </c>
      <c r="E125" s="575" t="s">
        <v>2577</v>
      </c>
      <c r="F125" s="575" t="s">
        <v>2578</v>
      </c>
      <c r="G125" s="575" t="s">
        <v>2579</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2680</v>
      </c>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IF(C2="——",ROUND(C43*D3/10000,0),ROUND(C43*D3/10000,0)-D2)</f>
        <v>#DIV/0!</v>
      </c>
      <c r="C2" s="2578"/>
      <c r="D2" s="1118"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2307</v>
      </c>
      <c r="B3" s="606" t="e">
        <f ca="1">IF(C2="——",C43,ROUND(B2*10000/D3,0))</f>
        <v>#DIV/0!</v>
      </c>
      <c r="C3" s="397" t="s">
        <v>2622</v>
      </c>
      <c r="D3" s="396">
        <f>IF(D1="",'数据-汇总表'!E3,SUMIF('数据-汇总表'!$C19:$C33,D1,'数据-汇总表'!$E19:$E33))</f>
        <v>138263.03999999998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3" t="s">
        <v>2626</v>
      </c>
      <c r="AC4" s="3232" t="s">
        <v>2627</v>
      </c>
    </row>
    <row r="5" spans="1:29" ht="15">
      <c r="A5" s="401"/>
      <c r="B5" s="402"/>
      <c r="C5" s="3252" t="s">
        <v>2520</v>
      </c>
      <c r="D5" s="3253"/>
      <c r="E5" s="3259" t="s">
        <v>2521</v>
      </c>
      <c r="F5" s="3260"/>
      <c r="G5" s="3252" t="s">
        <v>2522</v>
      </c>
      <c r="H5" s="3253"/>
      <c r="I5" s="3252" t="s">
        <v>2523</v>
      </c>
      <c r="J5" s="3253"/>
      <c r="K5" s="607"/>
      <c r="L5" s="1124"/>
      <c r="M5" s="1125"/>
      <c r="N5" s="1125"/>
      <c r="O5" s="1125"/>
      <c r="P5" s="3240"/>
      <c r="Q5" s="3241"/>
      <c r="R5" s="3246"/>
      <c r="S5" s="3247"/>
      <c r="T5" s="3246"/>
      <c r="U5" s="3247"/>
      <c r="V5" s="3231"/>
      <c r="W5" s="3231"/>
      <c r="X5" s="1806"/>
      <c r="Y5" s="3246"/>
      <c r="Z5" s="3247"/>
      <c r="AA5" s="3233"/>
      <c r="AB5" s="3233"/>
      <c r="AC5" s="3233"/>
    </row>
    <row r="6" spans="1:29" ht="15.75" thickBot="1">
      <c r="A6" s="403"/>
      <c r="B6" s="404"/>
      <c r="C6" s="3250" t="s">
        <v>2524</v>
      </c>
      <c r="D6" s="3251"/>
      <c r="E6" s="3257" t="s">
        <v>2524</v>
      </c>
      <c r="F6" s="3258"/>
      <c r="G6" s="3250" t="s">
        <v>2524</v>
      </c>
      <c r="H6" s="3251"/>
      <c r="I6" s="3250" t="s">
        <v>2524</v>
      </c>
      <c r="J6" s="3251"/>
      <c r="K6" s="607" t="s">
        <v>2525</v>
      </c>
      <c r="L6" s="1124"/>
      <c r="M6" s="1125"/>
      <c r="N6" s="1125"/>
      <c r="O6" s="1125"/>
      <c r="P6" s="3242"/>
      <c r="Q6" s="3243"/>
      <c r="R6" s="3246"/>
      <c r="S6" s="3247"/>
      <c r="T6" s="3248"/>
      <c r="U6" s="3249"/>
      <c r="V6" s="3231"/>
      <c r="W6" s="3231"/>
      <c r="X6" s="1806"/>
      <c r="Y6" s="3248"/>
      <c r="Z6" s="3249"/>
      <c r="AA6" s="3234"/>
      <c r="AB6" s="3234"/>
      <c r="AC6" s="3234"/>
    </row>
    <row r="7" spans="1:29" s="117" customFormat="1" ht="15.75" thickBot="1">
      <c r="A7" s="405" t="s">
        <v>2526</v>
      </c>
      <c r="B7" s="406"/>
      <c r="C7" s="407">
        <f>'数据-取费表'!B2</f>
        <v>43363</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54" t="s">
        <v>2527</v>
      </c>
      <c r="Q7" s="3256"/>
      <c r="R7" s="766" t="s">
        <v>17</v>
      </c>
      <c r="S7" s="767">
        <f t="shared" ref="S7:S15" si="0">F7</f>
        <v>0</v>
      </c>
      <c r="T7" s="766" t="s">
        <v>17</v>
      </c>
      <c r="U7" s="767">
        <f t="shared" ref="U7:U15" si="1">H7</f>
        <v>0</v>
      </c>
      <c r="V7" s="766" t="s">
        <v>17</v>
      </c>
      <c r="W7" s="767">
        <f t="shared" ref="W7:W15" si="2">J7</f>
        <v>0</v>
      </c>
      <c r="X7" s="768"/>
      <c r="Y7" s="3254" t="s">
        <v>2527</v>
      </c>
      <c r="Z7" s="3255"/>
      <c r="AA7" s="769" t="e">
        <f>D7/F7</f>
        <v>#DIV/0!</v>
      </c>
      <c r="AB7" s="769" t="e">
        <f>D7/H7</f>
        <v>#DIV/0!</v>
      </c>
      <c r="AC7" s="769" t="e">
        <f>D7/J7</f>
        <v>#DIV/0!</v>
      </c>
    </row>
    <row r="8" spans="1:29" s="117" customFormat="1" ht="15.75" thickBot="1">
      <c r="A8" s="405" t="s">
        <v>2528</v>
      </c>
      <c r="B8" s="406"/>
      <c r="C8" s="411" t="s">
        <v>2529</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54" t="s">
        <v>2530</v>
      </c>
      <c r="Q8" s="3255"/>
      <c r="R8" s="766" t="s">
        <v>17</v>
      </c>
      <c r="S8" s="767">
        <f t="shared" si="0"/>
        <v>0</v>
      </c>
      <c r="T8" s="766" t="s">
        <v>17</v>
      </c>
      <c r="U8" s="767">
        <f t="shared" si="1"/>
        <v>0</v>
      </c>
      <c r="V8" s="766" t="s">
        <v>17</v>
      </c>
      <c r="W8" s="767">
        <f t="shared" si="2"/>
        <v>0</v>
      </c>
      <c r="X8" s="768"/>
      <c r="Y8" s="3254" t="s">
        <v>2530</v>
      </c>
      <c r="Z8" s="3255"/>
      <c r="AA8" s="769" t="e">
        <f t="shared" ref="AA8:AA40" si="3">D8/F8</f>
        <v>#DIV/0!</v>
      </c>
      <c r="AB8" s="769" t="e">
        <f t="shared" ref="AB8:AB40" si="4">D8/H8</f>
        <v>#DIV/0!</v>
      </c>
      <c r="AC8" s="769" t="e">
        <f t="shared" ref="AC8:AC40" si="5">D8/J8</f>
        <v>#DIV/0!</v>
      </c>
    </row>
    <row r="9" spans="1:29" s="117" customFormat="1">
      <c r="A9" s="412" t="s">
        <v>2531</v>
      </c>
      <c r="B9" s="71" t="s">
        <v>2532</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25"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25"/>
      <c r="Q10" s="1788" t="str">
        <f t="shared" si="6"/>
        <v>土地使用年限（年）</v>
      </c>
      <c r="R10" s="766" t="s">
        <v>17</v>
      </c>
      <c r="S10" s="767">
        <f t="shared" si="0"/>
        <v>100</v>
      </c>
      <c r="T10" s="766" t="s">
        <v>17</v>
      </c>
      <c r="U10" s="767">
        <f t="shared" si="1"/>
        <v>100</v>
      </c>
      <c r="V10" s="766" t="s">
        <v>17</v>
      </c>
      <c r="W10" s="767">
        <f t="shared" si="2"/>
        <v>100</v>
      </c>
      <c r="X10" s="768"/>
      <c r="Y10" s="3073"/>
      <c r="Z10" s="55" t="str">
        <f t="shared" si="7"/>
        <v>土地使用年限（年）</v>
      </c>
      <c r="AA10" s="769">
        <f t="shared" si="3"/>
        <v>1</v>
      </c>
      <c r="AB10" s="769">
        <f t="shared" si="4"/>
        <v>1</v>
      </c>
      <c r="AC10" s="769">
        <f t="shared" si="5"/>
        <v>1</v>
      </c>
    </row>
    <row r="11" spans="1:29" ht="15">
      <c r="A11" s="425"/>
      <c r="B11" s="419" t="s">
        <v>2536</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25"/>
      <c r="Q11" s="1788" t="str">
        <f t="shared" si="6"/>
        <v>容积率</v>
      </c>
      <c r="R11" s="766" t="s">
        <v>17</v>
      </c>
      <c r="S11" s="767" t="e">
        <f t="shared" si="0"/>
        <v>#N/A</v>
      </c>
      <c r="T11" s="766" t="s">
        <v>17</v>
      </c>
      <c r="U11" s="767" t="e">
        <f t="shared" si="1"/>
        <v>#N/A</v>
      </c>
      <c r="V11" s="766" t="s">
        <v>17</v>
      </c>
      <c r="W11" s="767" t="e">
        <f t="shared" si="2"/>
        <v>#N/A</v>
      </c>
      <c r="X11" s="768"/>
      <c r="Y11" s="3073"/>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25"/>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25"/>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25"/>
      <c r="Q14" s="1788">
        <f t="shared" si="6"/>
        <v>111</v>
      </c>
      <c r="R14" s="766" t="s">
        <v>17</v>
      </c>
      <c r="S14" s="767">
        <f t="shared" si="0"/>
        <v>100</v>
      </c>
      <c r="T14" s="766" t="s">
        <v>17</v>
      </c>
      <c r="U14" s="767">
        <f t="shared" si="1"/>
        <v>100</v>
      </c>
      <c r="V14" s="766" t="s">
        <v>17</v>
      </c>
      <c r="W14" s="767">
        <f t="shared" si="2"/>
        <v>100</v>
      </c>
      <c r="X14" s="768"/>
      <c r="Y14" s="3073"/>
      <c r="Z14" s="55">
        <f t="shared" si="7"/>
        <v>111</v>
      </c>
      <c r="AA14" s="769">
        <f t="shared" si="3"/>
        <v>1</v>
      </c>
      <c r="AB14" s="769">
        <f t="shared" si="4"/>
        <v>1</v>
      </c>
      <c r="AC14" s="769">
        <f t="shared" si="5"/>
        <v>1</v>
      </c>
    </row>
    <row r="15" spans="1:29" ht="15">
      <c r="A15" s="437" t="s">
        <v>2537</v>
      </c>
      <c r="B15" s="69" t="s">
        <v>2681</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27" t="s">
        <v>2538</v>
      </c>
      <c r="Q15" s="1803" t="str">
        <f t="shared" si="6"/>
        <v>产业集聚程度</v>
      </c>
      <c r="R15" s="770" t="s">
        <v>17</v>
      </c>
      <c r="S15" s="771">
        <f t="shared" si="0"/>
        <v>100</v>
      </c>
      <c r="T15" s="770" t="s">
        <v>17</v>
      </c>
      <c r="U15" s="771">
        <f t="shared" si="1"/>
        <v>100</v>
      </c>
      <c r="V15" s="770" t="s">
        <v>17</v>
      </c>
      <c r="W15" s="771">
        <f t="shared" si="2"/>
        <v>100</v>
      </c>
      <c r="X15" s="1806"/>
      <c r="Y15" s="3227" t="s">
        <v>2538</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28"/>
      <c r="Q16" s="1803"/>
      <c r="R16" s="770"/>
      <c r="S16" s="771"/>
      <c r="T16" s="770"/>
      <c r="U16" s="771"/>
      <c r="V16" s="770"/>
      <c r="W16" s="771"/>
      <c r="X16" s="1806"/>
      <c r="Y16" s="3228"/>
      <c r="Z16" s="1807"/>
      <c r="AA16" s="1804">
        <v>1</v>
      </c>
      <c r="AB16" s="1804">
        <v>1</v>
      </c>
      <c r="AC16" s="1804">
        <v>1</v>
      </c>
    </row>
    <row r="17" spans="1:29" ht="15">
      <c r="A17" s="425"/>
      <c r="B17" s="448" t="s">
        <v>2089</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28"/>
      <c r="Q17" s="1803" t="str">
        <f>B17</f>
        <v>交通便捷度</v>
      </c>
      <c r="R17" s="770" t="s">
        <v>17</v>
      </c>
      <c r="S17" s="771">
        <f>F17</f>
        <v>100</v>
      </c>
      <c r="T17" s="770" t="s">
        <v>17</v>
      </c>
      <c r="U17" s="771">
        <f>H17</f>
        <v>100</v>
      </c>
      <c r="V17" s="770" t="s">
        <v>17</v>
      </c>
      <c r="W17" s="771">
        <f>J17</f>
        <v>100</v>
      </c>
      <c r="X17" s="1806"/>
      <c r="Y17" s="3228"/>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28"/>
      <c r="Q18" s="1803"/>
      <c r="R18" s="770"/>
      <c r="S18" s="771"/>
      <c r="T18" s="770"/>
      <c r="U18" s="771"/>
      <c r="V18" s="770"/>
      <c r="W18" s="771"/>
      <c r="X18" s="1806"/>
      <c r="Y18" s="3228"/>
      <c r="Z18" s="1807"/>
      <c r="AA18" s="1804">
        <v>1</v>
      </c>
      <c r="AB18" s="1804">
        <v>1</v>
      </c>
      <c r="AC18" s="1804">
        <v>1</v>
      </c>
    </row>
    <row r="19" spans="1:29" ht="15">
      <c r="A19" s="425"/>
      <c r="B19" s="448" t="s">
        <v>2666</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28"/>
      <c r="Q19" s="1803" t="str">
        <f>B19</f>
        <v>公共配套设施</v>
      </c>
      <c r="R19" s="770" t="s">
        <v>17</v>
      </c>
      <c r="S19" s="771">
        <f>F19</f>
        <v>100</v>
      </c>
      <c r="T19" s="770" t="s">
        <v>17</v>
      </c>
      <c r="U19" s="771">
        <f>H19</f>
        <v>100</v>
      </c>
      <c r="V19" s="770" t="s">
        <v>17</v>
      </c>
      <c r="W19" s="771">
        <f>J19</f>
        <v>100</v>
      </c>
      <c r="X19" s="1806"/>
      <c r="Y19" s="3228"/>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28"/>
      <c r="Q20" s="1803"/>
      <c r="R20" s="770"/>
      <c r="S20" s="771"/>
      <c r="T20" s="770"/>
      <c r="U20" s="771"/>
      <c r="V20" s="770"/>
      <c r="W20" s="771"/>
      <c r="X20" s="1806"/>
      <c r="Y20" s="3228"/>
      <c r="Z20" s="1807"/>
      <c r="AA20" s="1804">
        <v>1</v>
      </c>
      <c r="AB20" s="1804">
        <v>1</v>
      </c>
      <c r="AC20" s="1804">
        <v>1</v>
      </c>
    </row>
    <row r="21" spans="1:29" ht="15">
      <c r="A21" s="425"/>
      <c r="B21" s="1378" t="s">
        <v>2667</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28"/>
      <c r="Q21" s="1803" t="str">
        <f>B21</f>
        <v>基础设施水平</v>
      </c>
      <c r="R21" s="770" t="s">
        <v>17</v>
      </c>
      <c r="S21" s="771">
        <f>F21</f>
        <v>100</v>
      </c>
      <c r="T21" s="770" t="s">
        <v>17</v>
      </c>
      <c r="U21" s="771">
        <f>H21</f>
        <v>100</v>
      </c>
      <c r="V21" s="770" t="s">
        <v>17</v>
      </c>
      <c r="W21" s="771">
        <f>J21</f>
        <v>100</v>
      </c>
      <c r="X21" s="1806"/>
      <c r="Y21" s="322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28"/>
      <c r="Q22" s="1803"/>
      <c r="R22" s="770"/>
      <c r="S22" s="771"/>
      <c r="T22" s="770"/>
      <c r="U22" s="771"/>
      <c r="V22" s="770"/>
      <c r="W22" s="771"/>
      <c r="X22" s="1806"/>
      <c r="Y22" s="3228"/>
      <c r="Z22" s="1807"/>
      <c r="AA22" s="1804">
        <v>1</v>
      </c>
      <c r="AB22" s="1804">
        <v>1</v>
      </c>
      <c r="AC22" s="1804">
        <v>1</v>
      </c>
    </row>
    <row r="23" spans="1:29" ht="15">
      <c r="A23" s="425"/>
      <c r="B23" s="448" t="s">
        <v>2668</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28"/>
      <c r="Q23" s="1803" t="str">
        <f>B23</f>
        <v>环境质量</v>
      </c>
      <c r="R23" s="770" t="s">
        <v>17</v>
      </c>
      <c r="S23" s="771">
        <f>F23</f>
        <v>100</v>
      </c>
      <c r="T23" s="770" t="s">
        <v>17</v>
      </c>
      <c r="U23" s="771">
        <f>H23</f>
        <v>100</v>
      </c>
      <c r="V23" s="770" t="s">
        <v>17</v>
      </c>
      <c r="W23" s="771">
        <f>J23</f>
        <v>100</v>
      </c>
      <c r="X23" s="1806"/>
      <c r="Y23" s="3228"/>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28"/>
      <c r="Q24" s="1803"/>
      <c r="R24" s="770"/>
      <c r="S24" s="771"/>
      <c r="T24" s="770"/>
      <c r="U24" s="771"/>
      <c r="V24" s="770"/>
      <c r="W24" s="771"/>
      <c r="X24" s="1806"/>
      <c r="Y24" s="3228"/>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28"/>
      <c r="Q25" s="1803">
        <f>B25</f>
        <v>111</v>
      </c>
      <c r="R25" s="770" t="s">
        <v>17</v>
      </c>
      <c r="S25" s="771">
        <f>F25</f>
        <v>100</v>
      </c>
      <c r="T25" s="770" t="s">
        <v>17</v>
      </c>
      <c r="U25" s="771">
        <f>H25</f>
        <v>100</v>
      </c>
      <c r="V25" s="770" t="s">
        <v>17</v>
      </c>
      <c r="W25" s="771">
        <f>J25</f>
        <v>100</v>
      </c>
      <c r="X25" s="1806"/>
      <c r="Y25" s="3228"/>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28"/>
      <c r="Q26" s="1803">
        <f t="shared" ref="Q26:Q40" si="11">B26</f>
        <v>111</v>
      </c>
      <c r="R26" s="770" t="s">
        <v>17</v>
      </c>
      <c r="S26" s="771">
        <f>F26</f>
        <v>100</v>
      </c>
      <c r="T26" s="770" t="s">
        <v>17</v>
      </c>
      <c r="U26" s="771">
        <f>H26</f>
        <v>100</v>
      </c>
      <c r="V26" s="770" t="s">
        <v>17</v>
      </c>
      <c r="W26" s="771">
        <f>J26</f>
        <v>100</v>
      </c>
      <c r="X26" s="1806"/>
      <c r="Y26" s="3228"/>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28"/>
      <c r="Q27" s="1788">
        <f t="shared" si="11"/>
        <v>111</v>
      </c>
      <c r="R27" s="766" t="s">
        <v>17</v>
      </c>
      <c r="S27" s="767">
        <f>F27</f>
        <v>100</v>
      </c>
      <c r="T27" s="766" t="s">
        <v>17</v>
      </c>
      <c r="U27" s="767">
        <f>H27</f>
        <v>100</v>
      </c>
      <c r="V27" s="766" t="s">
        <v>17</v>
      </c>
      <c r="W27" s="767">
        <f>J27</f>
        <v>100</v>
      </c>
      <c r="X27" s="768"/>
      <c r="Y27" s="3228"/>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28"/>
      <c r="Q28" s="1803">
        <f t="shared" si="11"/>
        <v>111</v>
      </c>
      <c r="R28" s="770" t="s">
        <v>17</v>
      </c>
      <c r="S28" s="771">
        <f t="shared" ref="S28:S40" si="12">F28</f>
        <v>100</v>
      </c>
      <c r="T28" s="770" t="s">
        <v>17</v>
      </c>
      <c r="U28" s="771">
        <f t="shared" ref="U28:U40" si="13">H28</f>
        <v>100</v>
      </c>
      <c r="V28" s="770" t="s">
        <v>17</v>
      </c>
      <c r="W28" s="771">
        <f t="shared" ref="W28:W40" si="14">J28</f>
        <v>100</v>
      </c>
      <c r="X28" s="1806"/>
      <c r="Y28" s="3228"/>
      <c r="Z28" s="1807">
        <f t="shared" ref="Z28:Z40" si="15">Q28</f>
        <v>111</v>
      </c>
      <c r="AA28" s="1804">
        <f t="shared" si="3"/>
        <v>1</v>
      </c>
      <c r="AB28" s="1804">
        <f t="shared" si="4"/>
        <v>1</v>
      </c>
      <c r="AC28" s="1804">
        <f t="shared" si="5"/>
        <v>1</v>
      </c>
    </row>
    <row r="29" spans="1:29" ht="15">
      <c r="A29" s="463" t="s">
        <v>2541</v>
      </c>
      <c r="B29" s="71" t="s">
        <v>2671</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29" t="s">
        <v>2543</v>
      </c>
      <c r="Q29" s="1803" t="str">
        <f t="shared" si="11"/>
        <v>建筑类型</v>
      </c>
      <c r="R29" s="770" t="s">
        <v>17</v>
      </c>
      <c r="S29" s="771">
        <f t="shared" si="12"/>
        <v>100</v>
      </c>
      <c r="T29" s="770" t="s">
        <v>17</v>
      </c>
      <c r="U29" s="771">
        <f t="shared" si="13"/>
        <v>100</v>
      </c>
      <c r="V29" s="770" t="s">
        <v>17</v>
      </c>
      <c r="W29" s="771">
        <f t="shared" si="14"/>
        <v>100</v>
      </c>
      <c r="X29" s="1806"/>
      <c r="Y29" s="3230" t="s">
        <v>2543</v>
      </c>
      <c r="Z29" s="1807" t="str">
        <f t="shared" si="15"/>
        <v>建筑类型</v>
      </c>
      <c r="AA29" s="1804">
        <f t="shared" si="3"/>
        <v>1</v>
      </c>
      <c r="AB29" s="1804">
        <f t="shared" si="4"/>
        <v>1</v>
      </c>
      <c r="AC29" s="1804">
        <f t="shared" si="5"/>
        <v>1</v>
      </c>
    </row>
    <row r="30" spans="1:29" s="468" customFormat="1" ht="15">
      <c r="A30" s="465"/>
      <c r="B30" s="419" t="s">
        <v>2544</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30"/>
      <c r="Q30" s="772" t="str">
        <f t="shared" si="11"/>
        <v>项目建筑规模</v>
      </c>
      <c r="R30" s="773" t="s">
        <v>17</v>
      </c>
      <c r="S30" s="774" t="e">
        <f t="shared" si="12"/>
        <v>#N/A</v>
      </c>
      <c r="T30" s="773" t="s">
        <v>17</v>
      </c>
      <c r="U30" s="774" t="e">
        <f t="shared" si="13"/>
        <v>#N/A</v>
      </c>
      <c r="V30" s="773" t="s">
        <v>17</v>
      </c>
      <c r="W30" s="774" t="e">
        <f t="shared" si="14"/>
        <v>#N/A</v>
      </c>
      <c r="X30" s="775"/>
      <c r="Y30" s="3230"/>
      <c r="Z30" s="776" t="str">
        <f t="shared" si="15"/>
        <v>项目建筑规模</v>
      </c>
      <c r="AA30" s="1804" t="e">
        <f t="shared" si="3"/>
        <v>#N/A</v>
      </c>
      <c r="AB30" s="1804" t="e">
        <f t="shared" si="4"/>
        <v>#N/A</v>
      </c>
      <c r="AC30" s="1804" t="e">
        <f t="shared" si="5"/>
        <v>#N/A</v>
      </c>
    </row>
    <row r="31" spans="1:29" ht="15">
      <c r="A31" s="469"/>
      <c r="B31" s="419" t="s">
        <v>2545</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30"/>
      <c r="Q31" s="1803" t="str">
        <f t="shared" si="11"/>
        <v>建筑结构</v>
      </c>
      <c r="R31" s="770" t="s">
        <v>17</v>
      </c>
      <c r="S31" s="771">
        <f t="shared" si="12"/>
        <v>100</v>
      </c>
      <c r="T31" s="770" t="s">
        <v>17</v>
      </c>
      <c r="U31" s="771">
        <f t="shared" si="13"/>
        <v>100</v>
      </c>
      <c r="V31" s="770" t="s">
        <v>17</v>
      </c>
      <c r="W31" s="771">
        <f t="shared" si="14"/>
        <v>100</v>
      </c>
      <c r="X31" s="1806"/>
      <c r="Y31" s="3230"/>
      <c r="Z31" s="1807" t="str">
        <f t="shared" si="15"/>
        <v>建筑结构</v>
      </c>
      <c r="AA31" s="1804">
        <f t="shared" si="3"/>
        <v>1</v>
      </c>
      <c r="AB31" s="1804">
        <f t="shared" si="4"/>
        <v>1</v>
      </c>
      <c r="AC31" s="1804">
        <f t="shared" si="5"/>
        <v>1</v>
      </c>
    </row>
    <row r="32" spans="1:29" ht="15">
      <c r="A32" s="469"/>
      <c r="B32" s="419" t="s">
        <v>2639</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30"/>
      <c r="Q32" s="1803" t="str">
        <f t="shared" si="11"/>
        <v>公共部分装修</v>
      </c>
      <c r="R32" s="770" t="s">
        <v>17</v>
      </c>
      <c r="S32" s="771">
        <f t="shared" si="12"/>
        <v>100</v>
      </c>
      <c r="T32" s="770" t="s">
        <v>17</v>
      </c>
      <c r="U32" s="771">
        <f t="shared" si="13"/>
        <v>100</v>
      </c>
      <c r="V32" s="770" t="s">
        <v>17</v>
      </c>
      <c r="W32" s="771">
        <f t="shared" si="14"/>
        <v>100</v>
      </c>
      <c r="X32" s="1806"/>
      <c r="Y32" s="3230"/>
      <c r="Z32" s="1807" t="str">
        <f t="shared" si="15"/>
        <v>公共部分装修</v>
      </c>
      <c r="AA32" s="1804">
        <f t="shared" si="3"/>
        <v>1</v>
      </c>
      <c r="AB32" s="1804">
        <f t="shared" si="4"/>
        <v>1</v>
      </c>
      <c r="AC32" s="1804">
        <f t="shared" si="5"/>
        <v>1</v>
      </c>
    </row>
    <row r="33" spans="1:29" ht="15">
      <c r="A33" s="469"/>
      <c r="B33" s="419" t="s">
        <v>2640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30"/>
      <c r="Q33" s="1803" t="str">
        <f t="shared" si="11"/>
        <v>成新度</v>
      </c>
      <c r="R33" s="770" t="s">
        <v>17</v>
      </c>
      <c r="S33" s="771" t="e">
        <f t="shared" si="12"/>
        <v>#N/A</v>
      </c>
      <c r="T33" s="770" t="s">
        <v>17</v>
      </c>
      <c r="U33" s="771" t="e">
        <f t="shared" si="13"/>
        <v>#N/A</v>
      </c>
      <c r="V33" s="770" t="s">
        <v>17</v>
      </c>
      <c r="W33" s="771" t="e">
        <f t="shared" si="14"/>
        <v>#N/A</v>
      </c>
      <c r="X33" s="1806"/>
      <c r="Y33" s="3230"/>
      <c r="Z33" s="1807" t="str">
        <f t="shared" si="15"/>
        <v>成新度</v>
      </c>
      <c r="AA33" s="1804" t="e">
        <f t="shared" si="3"/>
        <v>#N/A</v>
      </c>
      <c r="AB33" s="1804" t="e">
        <f t="shared" si="4"/>
        <v>#N/A</v>
      </c>
      <c r="AC33" s="1804" t="e">
        <f t="shared" si="5"/>
        <v>#N/A</v>
      </c>
    </row>
    <row r="34" spans="1:29" s="117" customFormat="1" ht="15">
      <c r="A34" s="470"/>
      <c r="B34" s="419" t="s">
        <v>2673</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30"/>
      <c r="Q34" s="1788" t="str">
        <f t="shared" si="11"/>
        <v>物业管理</v>
      </c>
      <c r="R34" s="766" t="s">
        <v>17</v>
      </c>
      <c r="S34" s="767">
        <f t="shared" si="12"/>
        <v>100</v>
      </c>
      <c r="T34" s="766" t="s">
        <v>17</v>
      </c>
      <c r="U34" s="767">
        <f t="shared" si="13"/>
        <v>100</v>
      </c>
      <c r="V34" s="766" t="s">
        <v>17</v>
      </c>
      <c r="W34" s="767">
        <f t="shared" si="14"/>
        <v>100</v>
      </c>
      <c r="X34" s="768"/>
      <c r="Y34" s="3230"/>
      <c r="Z34" s="55" t="str">
        <f t="shared" si="15"/>
        <v>物业管理</v>
      </c>
      <c r="AA34" s="769">
        <f t="shared" si="3"/>
        <v>1</v>
      </c>
      <c r="AB34" s="769">
        <f t="shared" si="4"/>
        <v>1</v>
      </c>
      <c r="AC34" s="769">
        <f t="shared" si="5"/>
        <v>1</v>
      </c>
    </row>
    <row r="35" spans="1:29" ht="15">
      <c r="A35" s="469"/>
      <c r="B35" s="419" t="s">
        <v>2641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30" t="s">
        <v>2543</v>
      </c>
      <c r="Q35" s="1803" t="str">
        <f t="shared" si="11"/>
        <v>市政基础设施</v>
      </c>
      <c r="R35" s="770" t="s">
        <v>17</v>
      </c>
      <c r="S35" s="771">
        <f t="shared" si="12"/>
        <v>100</v>
      </c>
      <c r="T35" s="770" t="s">
        <v>17</v>
      </c>
      <c r="U35" s="771">
        <f t="shared" si="13"/>
        <v>100</v>
      </c>
      <c r="V35" s="770" t="s">
        <v>17</v>
      </c>
      <c r="W35" s="771">
        <f t="shared" si="14"/>
        <v>100</v>
      </c>
      <c r="X35" s="1806"/>
      <c r="Y35" s="3230" t="s">
        <v>2543</v>
      </c>
      <c r="Z35" s="1807" t="str">
        <f t="shared" si="15"/>
        <v>市政基础设施</v>
      </c>
      <c r="AA35" s="1804">
        <f t="shared" si="3"/>
        <v>1</v>
      </c>
      <c r="AB35" s="1804">
        <f t="shared" si="4"/>
        <v>1</v>
      </c>
      <c r="AC35" s="1804">
        <f t="shared" si="5"/>
        <v>1</v>
      </c>
    </row>
    <row r="36" spans="1:29" ht="15">
      <c r="A36" s="469"/>
      <c r="B36" s="419" t="s">
        <v>2646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30"/>
      <c r="Q36" s="1803" t="str">
        <f t="shared" si="11"/>
        <v>内部装修</v>
      </c>
      <c r="R36" s="770" t="s">
        <v>17</v>
      </c>
      <c r="S36" s="771">
        <f t="shared" si="12"/>
        <v>100</v>
      </c>
      <c r="T36" s="770" t="s">
        <v>17</v>
      </c>
      <c r="U36" s="771">
        <f t="shared" si="13"/>
        <v>100</v>
      </c>
      <c r="V36" s="770" t="s">
        <v>17</v>
      </c>
      <c r="W36" s="771">
        <f t="shared" si="14"/>
        <v>100</v>
      </c>
      <c r="X36" s="1806"/>
      <c r="Y36" s="3230"/>
      <c r="Z36" s="1807" t="str">
        <f t="shared" si="15"/>
        <v>内部装修</v>
      </c>
      <c r="AA36" s="1804">
        <f t="shared" si="3"/>
        <v>1</v>
      </c>
      <c r="AB36" s="1804">
        <f t="shared" si="4"/>
        <v>1</v>
      </c>
      <c r="AC36" s="1804">
        <f t="shared" si="5"/>
        <v>1</v>
      </c>
    </row>
    <row r="37" spans="1:29" ht="15">
      <c r="A37" s="469"/>
      <c r="B37" s="419" t="s">
        <v>2682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30"/>
      <c r="Q37" s="1803" t="str">
        <f t="shared" si="11"/>
        <v>内部装修状况</v>
      </c>
      <c r="R37" s="770" t="s">
        <v>17</v>
      </c>
      <c r="S37" s="771">
        <f t="shared" si="12"/>
        <v>100</v>
      </c>
      <c r="T37" s="770" t="s">
        <v>17</v>
      </c>
      <c r="U37" s="771">
        <f t="shared" si="13"/>
        <v>100</v>
      </c>
      <c r="V37" s="770" t="s">
        <v>17</v>
      </c>
      <c r="W37" s="771">
        <f t="shared" si="14"/>
        <v>100</v>
      </c>
      <c r="X37" s="1806"/>
      <c r="Y37" s="3230"/>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30"/>
      <c r="Q38" s="772">
        <f t="shared" si="11"/>
        <v>111</v>
      </c>
      <c r="R38" s="773" t="s">
        <v>17</v>
      </c>
      <c r="S38" s="774">
        <f t="shared" si="12"/>
        <v>100</v>
      </c>
      <c r="T38" s="773" t="s">
        <v>17</v>
      </c>
      <c r="U38" s="774">
        <f t="shared" si="13"/>
        <v>100</v>
      </c>
      <c r="V38" s="773" t="s">
        <v>17</v>
      </c>
      <c r="W38" s="774">
        <f t="shared" si="14"/>
        <v>100</v>
      </c>
      <c r="X38" s="775"/>
      <c r="Y38" s="3230"/>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30"/>
      <c r="Q39" s="1803">
        <f t="shared" si="11"/>
        <v>111</v>
      </c>
      <c r="R39" s="770" t="s">
        <v>17</v>
      </c>
      <c r="S39" s="771">
        <f t="shared" si="12"/>
        <v>100</v>
      </c>
      <c r="T39" s="770" t="s">
        <v>17</v>
      </c>
      <c r="U39" s="771">
        <f t="shared" si="13"/>
        <v>100</v>
      </c>
      <c r="V39" s="770" t="s">
        <v>17</v>
      </c>
      <c r="W39" s="771">
        <f t="shared" si="14"/>
        <v>100</v>
      </c>
      <c r="X39" s="1806"/>
      <c r="Y39" s="3230"/>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93"/>
      <c r="Q40" s="1803">
        <f t="shared" si="11"/>
        <v>111</v>
      </c>
      <c r="R40" s="770" t="s">
        <v>17</v>
      </c>
      <c r="S40" s="771">
        <f t="shared" si="12"/>
        <v>100</v>
      </c>
      <c r="T40" s="770" t="s">
        <v>17</v>
      </c>
      <c r="U40" s="771">
        <f t="shared" si="13"/>
        <v>100</v>
      </c>
      <c r="V40" s="770" t="s">
        <v>17</v>
      </c>
      <c r="W40" s="771">
        <f t="shared" si="14"/>
        <v>100</v>
      </c>
      <c r="X40" s="1806"/>
      <c r="Y40" s="3293"/>
      <c r="Z40" s="1807">
        <f t="shared" si="15"/>
        <v>111</v>
      </c>
      <c r="AA40" s="1804">
        <f t="shared" si="3"/>
        <v>1</v>
      </c>
      <c r="AB40" s="1804">
        <f t="shared" si="4"/>
        <v>1</v>
      </c>
      <c r="AC40" s="1804">
        <f t="shared" si="5"/>
        <v>1</v>
      </c>
    </row>
    <row r="41" spans="1:29" ht="15">
      <c r="A41" s="476" t="s">
        <v>2555</v>
      </c>
      <c r="B41" s="477"/>
      <c r="C41" s="1401" t="s">
        <v>1</v>
      </c>
      <c r="D41" s="1402"/>
      <c r="E41" s="1403"/>
      <c r="F41" s="1404"/>
      <c r="G41" s="1405"/>
      <c r="H41" s="1406"/>
      <c r="I41" s="1403"/>
      <c r="J41" s="1406"/>
      <c r="K41" s="779"/>
      <c r="L41" s="1137"/>
      <c r="M41" s="1138"/>
      <c r="N41" s="1125"/>
      <c r="O41" s="1138"/>
      <c r="P41" s="3225" t="str">
        <f>A41</f>
        <v>成交单价（元/平方米）</v>
      </c>
      <c r="Q41" s="3225"/>
      <c r="R41" s="3289">
        <f>E41</f>
        <v>0</v>
      </c>
      <c r="S41" s="3289"/>
      <c r="T41" s="3289">
        <f>G41</f>
        <v>0</v>
      </c>
      <c r="U41" s="3289"/>
      <c r="V41" s="3289">
        <f>I41</f>
        <v>0</v>
      </c>
      <c r="W41" s="3289"/>
      <c r="X41" s="755"/>
      <c r="Y41" s="777"/>
      <c r="Z41" s="755"/>
      <c r="AA41" s="755"/>
      <c r="AB41" s="755"/>
      <c r="AC41" s="755"/>
    </row>
    <row r="42" spans="1:29" ht="15.75" thickBot="1">
      <c r="A42" s="483" t="s">
        <v>2647</v>
      </c>
      <c r="B42" s="484"/>
      <c r="C42" s="1407" t="e">
        <f>R43</f>
        <v>#DIV/0!</v>
      </c>
      <c r="D42" s="1408"/>
      <c r="E42" s="1409" t="e">
        <f>R42</f>
        <v>#DIV/0!</v>
      </c>
      <c r="F42" s="1409"/>
      <c r="G42" s="1407" t="e">
        <f>T42</f>
        <v>#DIV/0!</v>
      </c>
      <c r="H42" s="1408"/>
      <c r="I42" s="1409" t="e">
        <f>V42</f>
        <v>#DIV/0!</v>
      </c>
      <c r="J42" s="1408"/>
      <c r="K42" s="780"/>
      <c r="L42" s="1137"/>
      <c r="M42" s="1138"/>
      <c r="N42" s="1125"/>
      <c r="O42" s="1138"/>
      <c r="P42" s="3225" t="str">
        <f>A42</f>
        <v>比较价值（元/平方米）</v>
      </c>
      <c r="Q42" s="3225"/>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5"/>
      <c r="Y42" s="755"/>
      <c r="Z42" s="755"/>
      <c r="AA42" s="755"/>
      <c r="AB42" s="755"/>
      <c r="AC42" s="755"/>
    </row>
    <row r="43" spans="1:29" ht="15.75" thickBot="1">
      <c r="A43" s="489" t="s">
        <v>2648</v>
      </c>
      <c r="B43" s="490"/>
      <c r="C43" s="1411" t="e">
        <f>R43</f>
        <v>#DIV/0!</v>
      </c>
      <c r="D43" s="1411"/>
      <c r="E43" s="1411"/>
      <c r="F43" s="1411"/>
      <c r="G43" s="1411"/>
      <c r="H43" s="1411"/>
      <c r="I43" s="1411"/>
      <c r="J43" s="1411"/>
      <c r="K43" s="781"/>
      <c r="L43" s="1137"/>
      <c r="M43" s="1138"/>
      <c r="N43" s="1138"/>
      <c r="O43" s="1138"/>
      <c r="P43" s="3219" t="str">
        <f>A43</f>
        <v>估价对象XX用房的比较价值（楼面单价，元/平方米）</v>
      </c>
      <c r="Q43" s="3220"/>
      <c r="R43" s="3288" t="e">
        <f>IF(F1="售价",ROUND(AVERAGE(R42:V42),0),ROUND(AVERAGE(R42:V42),1))</f>
        <v>#DIV/0!</v>
      </c>
      <c r="S43" s="3288"/>
      <c r="T43" s="3288"/>
      <c r="U43" s="3288"/>
      <c r="V43" s="3288"/>
      <c r="W43" s="328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2652</v>
      </c>
      <c r="B51" s="755"/>
      <c r="C51" s="760"/>
      <c r="D51" s="760"/>
      <c r="E51" s="760"/>
      <c r="F51" s="761"/>
      <c r="G51" s="761"/>
      <c r="H51" s="760"/>
      <c r="I51" s="760"/>
      <c r="J51" s="760"/>
      <c r="K51" s="1154"/>
      <c r="L51" s="1155"/>
      <c r="M51" s="1153"/>
      <c r="N51" s="1153"/>
      <c r="O51" s="1153"/>
      <c r="P51" s="500"/>
      <c r="Q51" s="501"/>
    </row>
    <row r="52" spans="1:17" s="505" customFormat="1" ht="15">
      <c r="A52" s="502" t="s">
        <v>2526</v>
      </c>
      <c r="B52" s="503"/>
      <c r="C52" s="1567" t="str">
        <f>YEAR(C7)&amp;"-"&amp;MONTH(C7)</f>
        <v>2018-9</v>
      </c>
      <c r="D52" s="1568">
        <f>EDATE(C52,-1)</f>
        <v>43313</v>
      </c>
      <c r="E52" s="1568">
        <f t="shared" ref="E52:O52" si="16">EDATE(D52,-1)</f>
        <v>43282</v>
      </c>
      <c r="F52" s="1568">
        <f t="shared" si="16"/>
        <v>43252</v>
      </c>
      <c r="G52" s="1568">
        <f t="shared" si="16"/>
        <v>43221</v>
      </c>
      <c r="H52" s="1568">
        <f t="shared" si="16"/>
        <v>43191</v>
      </c>
      <c r="I52" s="1568">
        <f t="shared" si="16"/>
        <v>43160</v>
      </c>
      <c r="J52" s="1568">
        <f t="shared" si="16"/>
        <v>43132</v>
      </c>
      <c r="K52" s="1568">
        <f t="shared" si="16"/>
        <v>43101</v>
      </c>
      <c r="L52" s="1568">
        <f t="shared" si="16"/>
        <v>43070</v>
      </c>
      <c r="M52" s="1568">
        <f t="shared" si="16"/>
        <v>43040</v>
      </c>
      <c r="N52" s="1568">
        <f t="shared" si="16"/>
        <v>43009</v>
      </c>
      <c r="O52" s="1568">
        <f t="shared" si="16"/>
        <v>42979</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2563</v>
      </c>
      <c r="B54" s="513"/>
      <c r="C54" s="514"/>
      <c r="D54" s="515"/>
      <c r="E54" s="515"/>
      <c r="F54" s="515"/>
      <c r="G54" s="515"/>
      <c r="H54" s="515"/>
      <c r="I54" s="515"/>
      <c r="J54" s="515"/>
      <c r="K54" s="515"/>
      <c r="L54" s="515"/>
      <c r="M54" s="516"/>
      <c r="N54" s="515"/>
      <c r="O54" s="517"/>
      <c r="P54" s="501"/>
      <c r="Q54" s="501"/>
    </row>
    <row r="55" spans="1:17" s="117" customFormat="1" ht="15">
      <c r="A55" s="518" t="s">
        <v>2528</v>
      </c>
      <c r="B55" s="507"/>
      <c r="C55" s="519" t="s">
        <v>2630</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2566</v>
      </c>
      <c r="B57" s="525" t="s">
        <v>2532</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2535</v>
      </c>
      <c r="C59" s="536" t="s">
        <v>2567</v>
      </c>
      <c r="D59" s="536" t="s">
        <v>2568</v>
      </c>
      <c r="E59" s="536" t="s">
        <v>2569</v>
      </c>
      <c r="F59" s="536" t="s">
        <v>2570</v>
      </c>
      <c r="G59" s="536" t="s">
        <v>2571</v>
      </c>
      <c r="H59" s="536" t="s">
        <v>2572</v>
      </c>
      <c r="I59" s="536" t="s">
        <v>2573</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2536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2537</v>
      </c>
      <c r="B70" s="525" t="s">
        <v>2683</v>
      </c>
      <c r="C70" s="570" t="s">
        <v>2575</v>
      </c>
      <c r="D70" s="570" t="s">
        <v>2576</v>
      </c>
      <c r="E70" s="570" t="s">
        <v>2577</v>
      </c>
      <c r="F70" s="570" t="s">
        <v>2578</v>
      </c>
      <c r="G70" s="570" t="s">
        <v>2579</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2580</v>
      </c>
      <c r="C72" s="575" t="s">
        <v>2575</v>
      </c>
      <c r="D72" s="575" t="s">
        <v>2576</v>
      </c>
      <c r="E72" s="575" t="s">
        <v>2577</v>
      </c>
      <c r="F72" s="575" t="s">
        <v>2578</v>
      </c>
      <c r="G72" s="575" t="s">
        <v>2579</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2581</v>
      </c>
      <c r="C74" s="575" t="s">
        <v>2575</v>
      </c>
      <c r="D74" s="575" t="s">
        <v>2576</v>
      </c>
      <c r="E74" s="575" t="s">
        <v>2577</v>
      </c>
      <c r="F74" s="575" t="s">
        <v>2578</v>
      </c>
      <c r="G74" s="575" t="s">
        <v>2579</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2667</v>
      </c>
      <c r="C76" s="656" t="s">
        <v>2653</v>
      </c>
      <c r="D76" s="656" t="s">
        <v>2654</v>
      </c>
      <c r="E76" s="656" t="s">
        <v>2655</v>
      </c>
      <c r="F76" s="656" t="s">
        <v>2656</v>
      </c>
      <c r="G76" s="656" t="s">
        <v>2657</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2676</v>
      </c>
      <c r="C78" s="575" t="s">
        <v>2575</v>
      </c>
      <c r="D78" s="575" t="s">
        <v>2576</v>
      </c>
      <c r="E78" s="575" t="s">
        <v>2577</v>
      </c>
      <c r="F78" s="575" t="s">
        <v>2578</v>
      </c>
      <c r="G78" s="575" t="s">
        <v>2579</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2541</v>
      </c>
      <c r="B88" s="525" t="s">
        <v>2590</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2592</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2594</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2595</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2596</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2598</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2684</v>
      </c>
      <c r="C106" s="575" t="s">
        <v>2575</v>
      </c>
      <c r="D106" s="575" t="s">
        <v>2576</v>
      </c>
      <c r="E106" s="575" t="s">
        <v>2577</v>
      </c>
      <c r="F106" s="575" t="s">
        <v>2578</v>
      </c>
      <c r="G106" s="575" t="s">
        <v>2579</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2018年9月20日（评估专业人员实地查勘之日）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15"/>
      <c r="F1" s="2576"/>
      <c r="G1" s="1616" t="s">
        <v>2621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2305</v>
      </c>
      <c r="B2" s="1412" t="e">
        <f ca="1">IF(C2="——",IF(B37="元/平方米",ROUND(C39*D3/10000,0),ROUND(F3*C39/10000,0)),IF(B37="元/平方米",ROUND(C39*D3/10000,0),ROUND(F3*C39/10000,0))-D2)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2307</v>
      </c>
      <c r="B3" s="606" t="e">
        <f ca="1">IF(AND(C2="——",B37="元/平方米"),C39,ROUND(B2*10000/D3,0))</f>
        <v>#DIV/0!</v>
      </c>
      <c r="C3" s="397" t="s">
        <v>2622</v>
      </c>
      <c r="D3" s="396">
        <f>SUMIF('数据-汇总表'!$C19:$C33,D1,'数据-汇总表'!$E19:$E33)</f>
        <v>0</v>
      </c>
      <c r="E3" s="397" t="s">
        <v>2686</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3" t="s">
        <v>2626</v>
      </c>
      <c r="AC4" s="3232" t="s">
        <v>2627</v>
      </c>
    </row>
    <row r="5" spans="1:29" ht="15">
      <c r="A5" s="401"/>
      <c r="B5" s="402"/>
      <c r="C5" s="3252" t="s">
        <v>2520</v>
      </c>
      <c r="D5" s="3253"/>
      <c r="E5" s="3259" t="s">
        <v>2521</v>
      </c>
      <c r="F5" s="3260"/>
      <c r="G5" s="3252" t="s">
        <v>2522</v>
      </c>
      <c r="H5" s="3253"/>
      <c r="I5" s="3252" t="s">
        <v>2523</v>
      </c>
      <c r="J5" s="3253"/>
      <c r="K5" s="607"/>
      <c r="L5" s="1124"/>
      <c r="M5" s="1125"/>
      <c r="N5" s="1125"/>
      <c r="O5" s="1125"/>
      <c r="P5" s="3240"/>
      <c r="Q5" s="3241"/>
      <c r="R5" s="3246"/>
      <c r="S5" s="3247"/>
      <c r="T5" s="3246"/>
      <c r="U5" s="3247"/>
      <c r="V5" s="3231"/>
      <c r="W5" s="3231"/>
      <c r="X5" s="1806"/>
      <c r="Y5" s="3246"/>
      <c r="Z5" s="3247"/>
      <c r="AA5" s="3233"/>
      <c r="AB5" s="3233"/>
      <c r="AC5" s="3233"/>
    </row>
    <row r="6" spans="1:29" ht="15.75" thickBot="1">
      <c r="A6" s="403"/>
      <c r="B6" s="404"/>
      <c r="C6" s="3250" t="s">
        <v>2524</v>
      </c>
      <c r="D6" s="3251"/>
      <c r="E6" s="3257" t="s">
        <v>2524</v>
      </c>
      <c r="F6" s="3258"/>
      <c r="G6" s="3250" t="s">
        <v>2524</v>
      </c>
      <c r="H6" s="3251"/>
      <c r="I6" s="3250" t="s">
        <v>2524</v>
      </c>
      <c r="J6" s="3251"/>
      <c r="K6" s="607" t="s">
        <v>2525</v>
      </c>
      <c r="L6" s="1124"/>
      <c r="M6" s="1125"/>
      <c r="N6" s="1125"/>
      <c r="O6" s="1125"/>
      <c r="P6" s="3242"/>
      <c r="Q6" s="3243"/>
      <c r="R6" s="3246"/>
      <c r="S6" s="3247"/>
      <c r="T6" s="3248"/>
      <c r="U6" s="3249"/>
      <c r="V6" s="3231"/>
      <c r="W6" s="3231"/>
      <c r="X6" s="1806"/>
      <c r="Y6" s="3248"/>
      <c r="Z6" s="3249"/>
      <c r="AA6" s="3234"/>
      <c r="AB6" s="3234"/>
      <c r="AC6" s="3234"/>
    </row>
    <row r="7" spans="1:29" s="117" customFormat="1" ht="15.75" thickBot="1">
      <c r="A7" s="405" t="s">
        <v>2526</v>
      </c>
      <c r="B7" s="406"/>
      <c r="C7" s="407">
        <f>'数据-取费表'!B2</f>
        <v>43363</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54" t="s">
        <v>2527</v>
      </c>
      <c r="Q7" s="3256"/>
      <c r="R7" s="766" t="s">
        <v>17</v>
      </c>
      <c r="S7" s="767">
        <f t="shared" ref="S7:S14" si="0">F7</f>
        <v>0</v>
      </c>
      <c r="T7" s="766" t="s">
        <v>17</v>
      </c>
      <c r="U7" s="767">
        <f t="shared" ref="U7:U14" si="1">H7</f>
        <v>0</v>
      </c>
      <c r="V7" s="766" t="s">
        <v>17</v>
      </c>
      <c r="W7" s="767">
        <f t="shared" ref="W7:W14" si="2">J7</f>
        <v>0</v>
      </c>
      <c r="X7" s="768"/>
      <c r="Y7" s="3254" t="s">
        <v>2527</v>
      </c>
      <c r="Z7" s="3255"/>
      <c r="AA7" s="769" t="e">
        <f>D7/F7</f>
        <v>#DIV/0!</v>
      </c>
      <c r="AB7" s="769" t="e">
        <f>D7/H7</f>
        <v>#DIV/0!</v>
      </c>
      <c r="AC7" s="769" t="e">
        <f>D7/J7</f>
        <v>#DIV/0!</v>
      </c>
    </row>
    <row r="8" spans="1:29" s="117" customFormat="1" ht="15.75" thickBot="1">
      <c r="A8" s="405" t="s">
        <v>2528</v>
      </c>
      <c r="B8" s="406"/>
      <c r="C8" s="411" t="s">
        <v>2630</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54" t="s">
        <v>2530</v>
      </c>
      <c r="Q8" s="3255"/>
      <c r="R8" s="766" t="s">
        <v>17</v>
      </c>
      <c r="S8" s="767">
        <f t="shared" si="0"/>
        <v>0</v>
      </c>
      <c r="T8" s="766" t="s">
        <v>17</v>
      </c>
      <c r="U8" s="767">
        <f t="shared" si="1"/>
        <v>0</v>
      </c>
      <c r="V8" s="766" t="s">
        <v>17</v>
      </c>
      <c r="W8" s="767">
        <f t="shared" si="2"/>
        <v>0</v>
      </c>
      <c r="X8" s="768"/>
      <c r="Y8" s="3254" t="s">
        <v>2530</v>
      </c>
      <c r="Z8" s="3255"/>
      <c r="AA8" s="769" t="e">
        <f t="shared" ref="AA8:AA36" si="3">D8/F8</f>
        <v>#DIV/0!</v>
      </c>
      <c r="AB8" s="769" t="e">
        <f t="shared" ref="AB8:AB36" si="4">D8/H8</f>
        <v>#DIV/0!</v>
      </c>
      <c r="AC8" s="769" t="e">
        <f t="shared" ref="AC8:AC36" si="5">D8/J8</f>
        <v>#DIV/0!</v>
      </c>
    </row>
    <row r="9" spans="1:29" s="117" customFormat="1">
      <c r="A9" s="68" t="s">
        <v>2531</v>
      </c>
      <c r="B9" s="636" t="s">
        <v>2532</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25" t="s">
        <v>2533</v>
      </c>
      <c r="Q9" s="1788" t="str">
        <f t="shared" ref="Q9:Q14" si="6">B9</f>
        <v>用途</v>
      </c>
      <c r="R9" s="766" t="s">
        <v>17</v>
      </c>
      <c r="S9" s="767">
        <f t="shared" si="0"/>
        <v>100</v>
      </c>
      <c r="T9" s="766" t="s">
        <v>17</v>
      </c>
      <c r="U9" s="767">
        <f t="shared" si="1"/>
        <v>100</v>
      </c>
      <c r="V9" s="766" t="s">
        <v>17</v>
      </c>
      <c r="W9" s="767">
        <f t="shared" si="2"/>
        <v>100</v>
      </c>
      <c r="X9" s="768"/>
      <c r="Y9" s="3073" t="s">
        <v>2534</v>
      </c>
      <c r="Z9" s="55" t="str">
        <f t="shared" ref="Z9:Z14" si="7">Q9</f>
        <v>用途</v>
      </c>
      <c r="AA9" s="769">
        <f t="shared" si="3"/>
        <v>1</v>
      </c>
      <c r="AB9" s="769">
        <f t="shared" si="4"/>
        <v>1</v>
      </c>
      <c r="AC9" s="769">
        <f t="shared" si="5"/>
        <v>1</v>
      </c>
    </row>
    <row r="10" spans="1:29" s="424" customFormat="1" ht="27">
      <c r="A10" s="637"/>
      <c r="B10" s="638" t="s">
        <v>2535</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25"/>
      <c r="Q10" s="1788" t="str">
        <f t="shared" si="6"/>
        <v>土地使用年限（年）</v>
      </c>
      <c r="R10" s="766" t="s">
        <v>17</v>
      </c>
      <c r="S10" s="767">
        <f t="shared" si="0"/>
        <v>100</v>
      </c>
      <c r="T10" s="766" t="s">
        <v>17</v>
      </c>
      <c r="U10" s="767">
        <f t="shared" si="1"/>
        <v>100</v>
      </c>
      <c r="V10" s="766" t="s">
        <v>17</v>
      </c>
      <c r="W10" s="767">
        <f t="shared" si="2"/>
        <v>100</v>
      </c>
      <c r="X10" s="768"/>
      <c r="Y10" s="3073"/>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25"/>
      <c r="Q11" s="1788">
        <f t="shared" si="6"/>
        <v>111</v>
      </c>
      <c r="R11" s="766" t="s">
        <v>17</v>
      </c>
      <c r="S11" s="767">
        <f t="shared" si="0"/>
        <v>100</v>
      </c>
      <c r="T11" s="766" t="s">
        <v>17</v>
      </c>
      <c r="U11" s="767">
        <f t="shared" si="1"/>
        <v>100</v>
      </c>
      <c r="V11" s="766" t="s">
        <v>17</v>
      </c>
      <c r="W11" s="767">
        <f t="shared" si="2"/>
        <v>100</v>
      </c>
      <c r="X11" s="768"/>
      <c r="Y11" s="3073"/>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25"/>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25"/>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769">
        <f t="shared" si="5"/>
        <v>1</v>
      </c>
    </row>
    <row r="14" spans="1:29" ht="15">
      <c r="A14" s="398" t="s">
        <v>2537</v>
      </c>
      <c r="B14" s="625" t="s">
        <v>2687</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27" t="s">
        <v>2538</v>
      </c>
      <c r="Q14" s="1803" t="str">
        <f t="shared" si="6"/>
        <v>交通便捷度</v>
      </c>
      <c r="R14" s="770" t="s">
        <v>17</v>
      </c>
      <c r="S14" s="771">
        <f t="shared" si="0"/>
        <v>100</v>
      </c>
      <c r="T14" s="770" t="s">
        <v>17</v>
      </c>
      <c r="U14" s="771">
        <f t="shared" si="1"/>
        <v>100</v>
      </c>
      <c r="V14" s="770" t="s">
        <v>17</v>
      </c>
      <c r="W14" s="771">
        <f t="shared" si="2"/>
        <v>100</v>
      </c>
      <c r="X14" s="1806"/>
      <c r="Y14" s="3227" t="s">
        <v>2538</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28"/>
      <c r="Q15" s="1803"/>
      <c r="R15" s="770"/>
      <c r="S15" s="771"/>
      <c r="T15" s="770"/>
      <c r="U15" s="771"/>
      <c r="V15" s="770"/>
      <c r="W15" s="771"/>
      <c r="X15" s="1806"/>
      <c r="Y15" s="3228"/>
      <c r="Z15" s="1807"/>
      <c r="AA15" s="1804">
        <v>1</v>
      </c>
      <c r="AB15" s="1804">
        <v>1</v>
      </c>
      <c r="AC15" s="1804">
        <v>1</v>
      </c>
    </row>
    <row r="16" spans="1:29" ht="15">
      <c r="A16" s="401"/>
      <c r="B16" s="627" t="s">
        <v>2666</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28"/>
      <c r="Q16" s="1803" t="str">
        <f>B16</f>
        <v>公共配套设施</v>
      </c>
      <c r="R16" s="770" t="s">
        <v>17</v>
      </c>
      <c r="S16" s="771">
        <f>F16</f>
        <v>100</v>
      </c>
      <c r="T16" s="770" t="s">
        <v>17</v>
      </c>
      <c r="U16" s="771">
        <f>H16</f>
        <v>100</v>
      </c>
      <c r="V16" s="770" t="s">
        <v>17</v>
      </c>
      <c r="W16" s="771">
        <f>J16</f>
        <v>100</v>
      </c>
      <c r="X16" s="1806"/>
      <c r="Y16" s="3228"/>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28"/>
      <c r="Q17" s="1803"/>
      <c r="R17" s="770"/>
      <c r="S17" s="771"/>
      <c r="T17" s="770"/>
      <c r="U17" s="771"/>
      <c r="V17" s="770"/>
      <c r="W17" s="771"/>
      <c r="X17" s="1806"/>
      <c r="Y17" s="3228"/>
      <c r="Z17" s="1807"/>
      <c r="AA17" s="1804">
        <v>1</v>
      </c>
      <c r="AB17" s="1804">
        <v>1</v>
      </c>
      <c r="AC17" s="1804">
        <v>1</v>
      </c>
    </row>
    <row r="18" spans="1:29" ht="15">
      <c r="A18" s="401"/>
      <c r="B18" s="629" t="s">
        <v>2667</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28"/>
      <c r="Q18" s="1803" t="str">
        <f>B18</f>
        <v>基础设施水平</v>
      </c>
      <c r="R18" s="770" t="s">
        <v>17</v>
      </c>
      <c r="S18" s="771">
        <f>F18</f>
        <v>100</v>
      </c>
      <c r="T18" s="770" t="s">
        <v>17</v>
      </c>
      <c r="U18" s="771">
        <f>H18</f>
        <v>100</v>
      </c>
      <c r="V18" s="770" t="s">
        <v>17</v>
      </c>
      <c r="W18" s="771">
        <f>J18</f>
        <v>100</v>
      </c>
      <c r="X18" s="1806"/>
      <c r="Y18" s="3228"/>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28"/>
      <c r="Q19" s="1803"/>
      <c r="R19" s="770"/>
      <c r="S19" s="771"/>
      <c r="T19" s="770"/>
      <c r="U19" s="771"/>
      <c r="V19" s="770"/>
      <c r="W19" s="771"/>
      <c r="X19" s="1806"/>
      <c r="Y19" s="3228"/>
      <c r="Z19" s="1807"/>
      <c r="AA19" s="1804">
        <v>1</v>
      </c>
      <c r="AB19" s="1804">
        <v>1</v>
      </c>
      <c r="AC19" s="1804">
        <v>1</v>
      </c>
    </row>
    <row r="20" spans="1:29" ht="15">
      <c r="A20" s="401"/>
      <c r="B20" s="627" t="s">
        <v>2688</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28"/>
      <c r="Q20" s="1803" t="str">
        <f>B20</f>
        <v>自然及人文环境</v>
      </c>
      <c r="R20" s="770" t="s">
        <v>17</v>
      </c>
      <c r="S20" s="771">
        <f>F20</f>
        <v>100</v>
      </c>
      <c r="T20" s="770" t="s">
        <v>17</v>
      </c>
      <c r="U20" s="771">
        <f>H20</f>
        <v>100</v>
      </c>
      <c r="V20" s="770" t="s">
        <v>17</v>
      </c>
      <c r="W20" s="771">
        <f>J20</f>
        <v>100</v>
      </c>
      <c r="X20" s="1806"/>
      <c r="Y20" s="3228"/>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28"/>
      <c r="Q21" s="1803"/>
      <c r="R21" s="770"/>
      <c r="S21" s="771"/>
      <c r="T21" s="770"/>
      <c r="U21" s="771"/>
      <c r="V21" s="770"/>
      <c r="W21" s="771"/>
      <c r="X21" s="1806"/>
      <c r="Y21" s="3228"/>
      <c r="Z21" s="1807"/>
      <c r="AA21" s="1804">
        <v>1</v>
      </c>
      <c r="AB21" s="1804">
        <v>1</v>
      </c>
      <c r="AC21" s="1804">
        <v>1</v>
      </c>
    </row>
    <row r="22" spans="1:29" ht="15">
      <c r="A22" s="401"/>
      <c r="B22" s="627" t="s">
        <v>2689</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28"/>
      <c r="Q22" s="1803" t="str">
        <f>B22</f>
        <v>楼层</v>
      </c>
      <c r="R22" s="770" t="s">
        <v>17</v>
      </c>
      <c r="S22" s="771">
        <f>F22</f>
        <v>100</v>
      </c>
      <c r="T22" s="770" t="s">
        <v>17</v>
      </c>
      <c r="U22" s="771">
        <f>H22</f>
        <v>100</v>
      </c>
      <c r="V22" s="770" t="s">
        <v>17</v>
      </c>
      <c r="W22" s="771">
        <f>J22</f>
        <v>100</v>
      </c>
      <c r="X22" s="1806"/>
      <c r="Y22" s="3228"/>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28"/>
      <c r="Q23" s="1803">
        <f>B23</f>
        <v>111</v>
      </c>
      <c r="R23" s="770" t="s">
        <v>17</v>
      </c>
      <c r="S23" s="771">
        <f>F23</f>
        <v>100</v>
      </c>
      <c r="T23" s="770" t="s">
        <v>17</v>
      </c>
      <c r="U23" s="771">
        <f>H23</f>
        <v>100</v>
      </c>
      <c r="V23" s="770" t="s">
        <v>17</v>
      </c>
      <c r="W23" s="771">
        <f>J23</f>
        <v>100</v>
      </c>
      <c r="X23" s="1806"/>
      <c r="Y23" s="3228"/>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28"/>
      <c r="Q24" s="1803">
        <f t="shared" ref="Q24:Q36" si="11">B24</f>
        <v>111</v>
      </c>
      <c r="R24" s="770" t="s">
        <v>17</v>
      </c>
      <c r="S24" s="771">
        <f>F24</f>
        <v>100</v>
      </c>
      <c r="T24" s="770" t="s">
        <v>17</v>
      </c>
      <c r="U24" s="771">
        <f>H24</f>
        <v>100</v>
      </c>
      <c r="V24" s="770" t="s">
        <v>17</v>
      </c>
      <c r="W24" s="771">
        <f>J24</f>
        <v>100</v>
      </c>
      <c r="X24" s="1806"/>
      <c r="Y24" s="3228"/>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28"/>
      <c r="Q25" s="1788">
        <f t="shared" si="11"/>
        <v>111</v>
      </c>
      <c r="R25" s="766" t="s">
        <v>17</v>
      </c>
      <c r="S25" s="767">
        <f>F25</f>
        <v>100</v>
      </c>
      <c r="T25" s="766" t="s">
        <v>17</v>
      </c>
      <c r="U25" s="767">
        <f>H25</f>
        <v>100</v>
      </c>
      <c r="V25" s="766" t="s">
        <v>17</v>
      </c>
      <c r="W25" s="767">
        <f>J25</f>
        <v>100</v>
      </c>
      <c r="X25" s="768"/>
      <c r="Y25" s="3228"/>
      <c r="Z25" s="55">
        <f>Q25</f>
        <v>111</v>
      </c>
      <c r="AA25" s="1804">
        <f>D25/F25</f>
        <v>1</v>
      </c>
      <c r="AB25" s="1804">
        <f>D25/H25</f>
        <v>1</v>
      </c>
      <c r="AC25" s="1804">
        <f>D25/J25</f>
        <v>1</v>
      </c>
    </row>
    <row r="26" spans="1:29" ht="15">
      <c r="A26" s="648" t="s">
        <v>2541</v>
      </c>
      <c r="B26" s="70" t="s">
        <v>2690</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29" t="s">
        <v>2543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30" t="s">
        <v>2543</v>
      </c>
      <c r="Z26" s="1807" t="str">
        <f t="shared" ref="Z26:Z36" si="15">Q26</f>
        <v>配套类型</v>
      </c>
      <c r="AA26" s="1804">
        <f t="shared" si="3"/>
        <v>1</v>
      </c>
      <c r="AB26" s="1804">
        <f t="shared" si="4"/>
        <v>1</v>
      </c>
      <c r="AC26" s="1804">
        <f t="shared" si="5"/>
        <v>1</v>
      </c>
    </row>
    <row r="27" spans="1:29" s="468" customFormat="1" ht="15">
      <c r="A27" s="649"/>
      <c r="B27" s="650" t="s">
        <v>2691</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30"/>
      <c r="Q27" s="772" t="str">
        <f t="shared" si="11"/>
        <v>项目停车位配比</v>
      </c>
      <c r="R27" s="773" t="s">
        <v>17</v>
      </c>
      <c r="S27" s="774">
        <f t="shared" si="12"/>
        <v>100</v>
      </c>
      <c r="T27" s="773" t="s">
        <v>17</v>
      </c>
      <c r="U27" s="774">
        <f t="shared" si="13"/>
        <v>100</v>
      </c>
      <c r="V27" s="773" t="s">
        <v>17</v>
      </c>
      <c r="W27" s="774">
        <f t="shared" si="14"/>
        <v>100</v>
      </c>
      <c r="X27" s="775"/>
      <c r="Y27" s="3230"/>
      <c r="Z27" s="776" t="str">
        <f t="shared" si="15"/>
        <v>项目停车位配比</v>
      </c>
      <c r="AA27" s="1804">
        <f t="shared" si="3"/>
        <v>1</v>
      </c>
      <c r="AB27" s="1804">
        <f t="shared" si="4"/>
        <v>1</v>
      </c>
      <c r="AC27" s="1804">
        <f t="shared" si="5"/>
        <v>1</v>
      </c>
    </row>
    <row r="28" spans="1:29" ht="15">
      <c r="A28" s="652"/>
      <c r="B28" s="650" t="s">
        <v>2692</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30"/>
      <c r="Q28" s="1803" t="str">
        <f t="shared" si="11"/>
        <v>公共部分装修</v>
      </c>
      <c r="R28" s="770" t="s">
        <v>17</v>
      </c>
      <c r="S28" s="771">
        <f t="shared" si="12"/>
        <v>100</v>
      </c>
      <c r="T28" s="770" t="s">
        <v>17</v>
      </c>
      <c r="U28" s="771">
        <f t="shared" si="13"/>
        <v>100</v>
      </c>
      <c r="V28" s="770" t="s">
        <v>17</v>
      </c>
      <c r="W28" s="771">
        <f t="shared" si="14"/>
        <v>100</v>
      </c>
      <c r="X28" s="1806"/>
      <c r="Y28" s="3230"/>
      <c r="Z28" s="1807" t="str">
        <f t="shared" si="15"/>
        <v>公共部分装修</v>
      </c>
      <c r="AA28" s="1804">
        <f t="shared" si="3"/>
        <v>1</v>
      </c>
      <c r="AB28" s="1804">
        <f t="shared" si="4"/>
        <v>1</v>
      </c>
      <c r="AC28" s="1804">
        <f t="shared" si="5"/>
        <v>1</v>
      </c>
    </row>
    <row r="29" spans="1:29" ht="15">
      <c r="A29" s="652"/>
      <c r="B29" s="650" t="s">
        <v>2693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30"/>
      <c r="Q29" s="1803" t="str">
        <f t="shared" si="11"/>
        <v>成新率</v>
      </c>
      <c r="R29" s="770" t="s">
        <v>17</v>
      </c>
      <c r="S29" s="771" t="e">
        <f t="shared" si="12"/>
        <v>#N/A</v>
      </c>
      <c r="T29" s="770" t="s">
        <v>17</v>
      </c>
      <c r="U29" s="771" t="e">
        <f t="shared" si="13"/>
        <v>#N/A</v>
      </c>
      <c r="V29" s="770" t="s">
        <v>17</v>
      </c>
      <c r="W29" s="771" t="e">
        <f t="shared" si="14"/>
        <v>#N/A</v>
      </c>
      <c r="X29" s="1806"/>
      <c r="Y29" s="3230"/>
      <c r="Z29" s="1807" t="str">
        <f t="shared" si="15"/>
        <v>成新率</v>
      </c>
      <c r="AA29" s="1804" t="e">
        <f t="shared" si="3"/>
        <v>#N/A</v>
      </c>
      <c r="AB29" s="1804" t="e">
        <f t="shared" si="4"/>
        <v>#N/A</v>
      </c>
      <c r="AC29" s="1804" t="e">
        <f t="shared" si="5"/>
        <v>#N/A</v>
      </c>
    </row>
    <row r="30" spans="1:29" ht="15">
      <c r="A30" s="652"/>
      <c r="B30" s="650" t="s">
        <v>2694</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30"/>
      <c r="Q30" s="1803" t="str">
        <f t="shared" si="11"/>
        <v>物业等级</v>
      </c>
      <c r="R30" s="770" t="s">
        <v>17</v>
      </c>
      <c r="S30" s="771">
        <f t="shared" si="12"/>
        <v>100</v>
      </c>
      <c r="T30" s="770" t="s">
        <v>17</v>
      </c>
      <c r="U30" s="771">
        <f t="shared" si="13"/>
        <v>100</v>
      </c>
      <c r="V30" s="770" t="s">
        <v>17</v>
      </c>
      <c r="W30" s="771">
        <f t="shared" si="14"/>
        <v>100</v>
      </c>
      <c r="X30" s="1806"/>
      <c r="Y30" s="3230"/>
      <c r="Z30" s="1807" t="str">
        <f t="shared" si="15"/>
        <v>物业等级</v>
      </c>
      <c r="AA30" s="1804">
        <f t="shared" si="3"/>
        <v>1</v>
      </c>
      <c r="AB30" s="1804">
        <f t="shared" si="4"/>
        <v>1</v>
      </c>
      <c r="AC30" s="1804">
        <f t="shared" si="5"/>
        <v>1</v>
      </c>
    </row>
    <row r="31" spans="1:29" s="117" customFormat="1" ht="15">
      <c r="A31" s="654"/>
      <c r="B31" s="650" t="s">
        <v>2695</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30"/>
      <c r="Q31" s="1788" t="str">
        <f t="shared" si="11"/>
        <v>停车位面积</v>
      </c>
      <c r="R31" s="766" t="s">
        <v>17</v>
      </c>
      <c r="S31" s="767" t="e">
        <f t="shared" si="12"/>
        <v>#N/A</v>
      </c>
      <c r="T31" s="766" t="s">
        <v>17</v>
      </c>
      <c r="U31" s="767" t="e">
        <f t="shared" si="13"/>
        <v>#N/A</v>
      </c>
      <c r="V31" s="766" t="s">
        <v>17</v>
      </c>
      <c r="W31" s="767" t="e">
        <f t="shared" si="14"/>
        <v>#N/A</v>
      </c>
      <c r="X31" s="768"/>
      <c r="Y31" s="3230"/>
      <c r="Z31" s="55" t="str">
        <f t="shared" si="15"/>
        <v>停车位面积</v>
      </c>
      <c r="AA31" s="769" t="e">
        <f t="shared" si="3"/>
        <v>#N/A</v>
      </c>
      <c r="AB31" s="769" t="e">
        <f t="shared" si="4"/>
        <v>#N/A</v>
      </c>
      <c r="AC31" s="769" t="e">
        <f t="shared" si="5"/>
        <v>#N/A</v>
      </c>
    </row>
    <row r="32" spans="1:29" ht="15">
      <c r="A32" s="652"/>
      <c r="B32" s="650" t="s">
        <v>2696</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30" t="s">
        <v>2543</v>
      </c>
      <c r="Q32" s="1803" t="str">
        <f t="shared" si="11"/>
        <v>车位类型</v>
      </c>
      <c r="R32" s="770" t="s">
        <v>17</v>
      </c>
      <c r="S32" s="771">
        <f t="shared" si="12"/>
        <v>100</v>
      </c>
      <c r="T32" s="770" t="s">
        <v>17</v>
      </c>
      <c r="U32" s="771">
        <f t="shared" si="13"/>
        <v>100</v>
      </c>
      <c r="V32" s="770" t="s">
        <v>17</v>
      </c>
      <c r="W32" s="771">
        <f t="shared" si="14"/>
        <v>100</v>
      </c>
      <c r="X32" s="1806"/>
      <c r="Y32" s="3230" t="s">
        <v>2543</v>
      </c>
      <c r="Z32" s="1807" t="str">
        <f t="shared" si="15"/>
        <v>车位类型</v>
      </c>
      <c r="AA32" s="1804">
        <f t="shared" si="3"/>
        <v>1</v>
      </c>
      <c r="AB32" s="1804">
        <f t="shared" si="4"/>
        <v>1</v>
      </c>
      <c r="AC32" s="1804">
        <f t="shared" si="5"/>
        <v>1</v>
      </c>
    </row>
    <row r="33" spans="1:29" ht="15">
      <c r="A33" s="652"/>
      <c r="B33" s="650" t="s">
        <v>2697</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30"/>
      <c r="Q33" s="1803" t="str">
        <f t="shared" si="11"/>
        <v>是否直接入户</v>
      </c>
      <c r="R33" s="770" t="s">
        <v>17</v>
      </c>
      <c r="S33" s="771">
        <f t="shared" si="12"/>
        <v>100</v>
      </c>
      <c r="T33" s="770" t="s">
        <v>17</v>
      </c>
      <c r="U33" s="771">
        <f t="shared" si="13"/>
        <v>100</v>
      </c>
      <c r="V33" s="770" t="s">
        <v>17</v>
      </c>
      <c r="W33" s="771">
        <f t="shared" si="14"/>
        <v>100</v>
      </c>
      <c r="X33" s="1806"/>
      <c r="Y33" s="3230"/>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30"/>
      <c r="Q34" s="1803">
        <f t="shared" si="11"/>
        <v>111</v>
      </c>
      <c r="R34" s="770" t="s">
        <v>17</v>
      </c>
      <c r="S34" s="771">
        <f t="shared" si="12"/>
        <v>100</v>
      </c>
      <c r="T34" s="770" t="s">
        <v>17</v>
      </c>
      <c r="U34" s="771">
        <f t="shared" si="13"/>
        <v>100</v>
      </c>
      <c r="V34" s="770" t="s">
        <v>17</v>
      </c>
      <c r="W34" s="771">
        <f t="shared" si="14"/>
        <v>100</v>
      </c>
      <c r="X34" s="1806"/>
      <c r="Y34" s="3230"/>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30"/>
      <c r="Q35" s="772">
        <f t="shared" si="11"/>
        <v>111</v>
      </c>
      <c r="R35" s="773" t="s">
        <v>17</v>
      </c>
      <c r="S35" s="774">
        <f t="shared" si="12"/>
        <v>100</v>
      </c>
      <c r="T35" s="773" t="s">
        <v>17</v>
      </c>
      <c r="U35" s="774">
        <f t="shared" si="13"/>
        <v>100</v>
      </c>
      <c r="V35" s="773" t="s">
        <v>17</v>
      </c>
      <c r="W35" s="774">
        <f t="shared" si="14"/>
        <v>100</v>
      </c>
      <c r="X35" s="775"/>
      <c r="Y35" s="3230"/>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30"/>
      <c r="Q36" s="1803">
        <f t="shared" si="11"/>
        <v>111</v>
      </c>
      <c r="R36" s="770" t="s">
        <v>17</v>
      </c>
      <c r="S36" s="771">
        <f t="shared" si="12"/>
        <v>100</v>
      </c>
      <c r="T36" s="770" t="s">
        <v>17</v>
      </c>
      <c r="U36" s="771">
        <f t="shared" si="13"/>
        <v>100</v>
      </c>
      <c r="V36" s="770" t="s">
        <v>17</v>
      </c>
      <c r="W36" s="771">
        <f t="shared" si="14"/>
        <v>100</v>
      </c>
      <c r="X36" s="1806"/>
      <c r="Y36" s="3230"/>
      <c r="Z36" s="1807">
        <f t="shared" si="15"/>
        <v>111</v>
      </c>
      <c r="AA36" s="1804">
        <f t="shared" si="3"/>
        <v>1</v>
      </c>
      <c r="AB36" s="1804">
        <f t="shared" si="4"/>
        <v>1</v>
      </c>
      <c r="AC36" s="1804">
        <f t="shared" si="5"/>
        <v>1</v>
      </c>
    </row>
    <row r="37" spans="1:29" ht="15">
      <c r="A37" s="476" t="s">
        <v>2698</v>
      </c>
      <c r="B37" s="2687" t="s">
        <v>2699</v>
      </c>
      <c r="C37" s="1401" t="s">
        <v>1</v>
      </c>
      <c r="D37" s="1402"/>
      <c r="E37" s="1403"/>
      <c r="F37" s="1404"/>
      <c r="G37" s="1405"/>
      <c r="H37" s="1406"/>
      <c r="I37" s="1403"/>
      <c r="J37" s="1406"/>
      <c r="K37" s="615"/>
      <c r="L37" s="1137"/>
      <c r="M37" s="1138"/>
      <c r="N37" s="1125"/>
      <c r="O37" s="1138"/>
      <c r="P37" s="3225" t="str">
        <f>A37</f>
        <v>成交单价</v>
      </c>
      <c r="Q37" s="3225"/>
      <c r="R37" s="3289">
        <f>E37</f>
        <v>0</v>
      </c>
      <c r="S37" s="3289"/>
      <c r="T37" s="3289">
        <f>G37</f>
        <v>0</v>
      </c>
      <c r="U37" s="3289"/>
      <c r="V37" s="3289">
        <f>I37</f>
        <v>0</v>
      </c>
      <c r="W37" s="3289"/>
      <c r="X37" s="755"/>
      <c r="Y37" s="777"/>
      <c r="Z37" s="755"/>
      <c r="AA37" s="755"/>
      <c r="AB37" s="755"/>
      <c r="AC37" s="755"/>
    </row>
    <row r="38" spans="1:29" ht="15.75" thickBot="1">
      <c r="A38" s="483" t="s">
        <v>2700</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25" t="str">
        <f>A38</f>
        <v>比较价值（元/平方米）</v>
      </c>
      <c r="Q38" s="3225"/>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755"/>
      <c r="Y38" s="755"/>
      <c r="Z38" s="755"/>
      <c r="AA38" s="755"/>
      <c r="AB38" s="755"/>
      <c r="AC38" s="755"/>
    </row>
    <row r="39" spans="1:29" ht="15.75" thickBot="1">
      <c r="A39" s="489" t="s">
        <v>2701</v>
      </c>
      <c r="B39" s="490"/>
      <c r="C39" s="1411" t="e">
        <f>R39</f>
        <v>#DIV/0!</v>
      </c>
      <c r="D39" s="1411"/>
      <c r="E39" s="1411"/>
      <c r="F39" s="1411"/>
      <c r="G39" s="1411"/>
      <c r="H39" s="1411"/>
      <c r="I39" s="1411"/>
      <c r="J39" s="1411"/>
      <c r="K39" s="617"/>
      <c r="L39" s="1137"/>
      <c r="M39" s="1138"/>
      <c r="N39" s="1138"/>
      <c r="O39" s="1138"/>
      <c r="P39" s="3219" t="str">
        <f>A39</f>
        <v>估价对象XX用房的比较价值（楼面单价，元/平方米）</v>
      </c>
      <c r="Q39" s="3220"/>
      <c r="R39" s="3288" t="e">
        <f>IF(F1="售价",ROUND(AVERAGE(R38:V38),0),ROUND(AVERAGE(R38:V38),1))</f>
        <v>#DIV/0!</v>
      </c>
      <c r="S39" s="3288"/>
      <c r="T39" s="3288"/>
      <c r="U39" s="3288"/>
      <c r="V39" s="3288"/>
      <c r="W39" s="328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2705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2706</v>
      </c>
      <c r="B48" s="503"/>
      <c r="C48" s="1567" t="str">
        <f>YEAR(C7)&amp;"-"&amp;MONTH(C7)</f>
        <v>2018-9</v>
      </c>
      <c r="D48" s="1568">
        <f>EDATE(C48,-1)</f>
        <v>43313</v>
      </c>
      <c r="E48" s="1568">
        <f t="shared" ref="E48:O48" si="16">EDATE(D48,-1)</f>
        <v>43282</v>
      </c>
      <c r="F48" s="1568">
        <f t="shared" si="16"/>
        <v>43252</v>
      </c>
      <c r="G48" s="1568">
        <f t="shared" si="16"/>
        <v>43221</v>
      </c>
      <c r="H48" s="1568">
        <f t="shared" si="16"/>
        <v>43191</v>
      </c>
      <c r="I48" s="1568">
        <f t="shared" si="16"/>
        <v>43160</v>
      </c>
      <c r="J48" s="1568">
        <f t="shared" si="16"/>
        <v>43132</v>
      </c>
      <c r="K48" s="1568">
        <f t="shared" si="16"/>
        <v>43101</v>
      </c>
      <c r="L48" s="1568">
        <f t="shared" si="16"/>
        <v>43070</v>
      </c>
      <c r="M48" s="1568">
        <f t="shared" si="16"/>
        <v>43040</v>
      </c>
      <c r="N48" s="1568">
        <f t="shared" si="16"/>
        <v>43009</v>
      </c>
      <c r="O48" s="1568">
        <f t="shared" si="16"/>
        <v>42979</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2563</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2528</v>
      </c>
      <c r="B51" s="507"/>
      <c r="C51" s="519" t="s">
        <v>2630</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2566</v>
      </c>
      <c r="B53" s="525" t="s">
        <v>2532</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2535</v>
      </c>
      <c r="C55" s="536" t="s">
        <v>2567</v>
      </c>
      <c r="D55" s="536" t="s">
        <v>2568</v>
      </c>
      <c r="E55" s="536" t="s">
        <v>2569</v>
      </c>
      <c r="F55" s="536" t="s">
        <v>2570</v>
      </c>
      <c r="G55" s="536" t="s">
        <v>2571</v>
      </c>
      <c r="H55" s="536" t="s">
        <v>2572</v>
      </c>
      <c r="I55" s="536" t="s">
        <v>2573</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2537</v>
      </c>
      <c r="B63" s="525" t="s">
        <v>2580</v>
      </c>
      <c r="C63" s="570" t="s">
        <v>2575</v>
      </c>
      <c r="D63" s="570" t="s">
        <v>2576</v>
      </c>
      <c r="E63" s="570" t="s">
        <v>2577</v>
      </c>
      <c r="F63" s="570" t="s">
        <v>2578</v>
      </c>
      <c r="G63" s="570" t="s">
        <v>2579</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2581</v>
      </c>
      <c r="C65" s="575" t="s">
        <v>2575</v>
      </c>
      <c r="D65" s="575" t="s">
        <v>2576</v>
      </c>
      <c r="E65" s="575" t="s">
        <v>2577</v>
      </c>
      <c r="F65" s="575" t="s">
        <v>2578</v>
      </c>
      <c r="G65" s="575" t="s">
        <v>2579</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2667</v>
      </c>
      <c r="C67" s="656" t="s">
        <v>2653</v>
      </c>
      <c r="D67" s="656" t="s">
        <v>2654</v>
      </c>
      <c r="E67" s="656" t="s">
        <v>2655</v>
      </c>
      <c r="F67" s="656" t="s">
        <v>2656</v>
      </c>
      <c r="G67" s="656" t="s">
        <v>2657</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2587</v>
      </c>
      <c r="C69" s="575" t="s">
        <v>2575</v>
      </c>
      <c r="D69" s="575" t="s">
        <v>2576</v>
      </c>
      <c r="E69" s="575" t="s">
        <v>2577</v>
      </c>
      <c r="F69" s="575" t="s">
        <v>2578</v>
      </c>
      <c r="G69" s="575" t="s">
        <v>2579</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2707</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2541</v>
      </c>
      <c r="B79" s="525" t="s">
        <v>2708</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2709</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2594</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2711</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2713</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2714</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IF(C2="——",ROUND(C37*D3/10000,0),ROUND(C37*D3/10000,0)-D2)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 ca="1">IF(C2="——",C37,ROUND(B2*10000/D3,0))</f>
        <v>#DIV/0!</v>
      </c>
      <c r="C3" s="397" t="s">
        <v>2622</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3" t="s">
        <v>2626</v>
      </c>
      <c r="AC4" s="3232" t="s">
        <v>2627</v>
      </c>
    </row>
    <row r="5" spans="1:29" ht="15">
      <c r="A5" s="401"/>
      <c r="B5" s="402"/>
      <c r="C5" s="3252" t="s">
        <v>2520</v>
      </c>
      <c r="D5" s="3253"/>
      <c r="E5" s="3259" t="s">
        <v>2521</v>
      </c>
      <c r="F5" s="3260"/>
      <c r="G5" s="3252" t="s">
        <v>2522</v>
      </c>
      <c r="H5" s="3253"/>
      <c r="I5" s="3252" t="s">
        <v>2523</v>
      </c>
      <c r="J5" s="3253"/>
      <c r="K5" s="607"/>
      <c r="L5" s="1124"/>
      <c r="M5" s="1125"/>
      <c r="N5" s="1125"/>
      <c r="O5" s="1125"/>
      <c r="P5" s="3240"/>
      <c r="Q5" s="3241"/>
      <c r="R5" s="3246"/>
      <c r="S5" s="3247"/>
      <c r="T5" s="3246"/>
      <c r="U5" s="3247"/>
      <c r="V5" s="3231"/>
      <c r="W5" s="3231"/>
      <c r="X5" s="1806"/>
      <c r="Y5" s="3246"/>
      <c r="Z5" s="3247"/>
      <c r="AA5" s="3233"/>
      <c r="AB5" s="3233"/>
      <c r="AC5" s="3233"/>
    </row>
    <row r="6" spans="1:29" ht="15.75" thickBot="1">
      <c r="A6" s="403"/>
      <c r="B6" s="404"/>
      <c r="C6" s="3250" t="s">
        <v>2524</v>
      </c>
      <c r="D6" s="3251"/>
      <c r="E6" s="3257" t="s">
        <v>2524</v>
      </c>
      <c r="F6" s="3258"/>
      <c r="G6" s="3250" t="s">
        <v>2524</v>
      </c>
      <c r="H6" s="3251"/>
      <c r="I6" s="3250" t="s">
        <v>2524</v>
      </c>
      <c r="J6" s="3251"/>
      <c r="K6" s="607" t="s">
        <v>2525</v>
      </c>
      <c r="L6" s="1124"/>
      <c r="M6" s="1125"/>
      <c r="N6" s="1125"/>
      <c r="O6" s="1125"/>
      <c r="P6" s="3242"/>
      <c r="Q6" s="3243"/>
      <c r="R6" s="3246"/>
      <c r="S6" s="3247"/>
      <c r="T6" s="3248"/>
      <c r="U6" s="3249"/>
      <c r="V6" s="3231"/>
      <c r="W6" s="3231"/>
      <c r="X6" s="1806"/>
      <c r="Y6" s="3248"/>
      <c r="Z6" s="3249"/>
      <c r="AA6" s="3234"/>
      <c r="AB6" s="3234"/>
      <c r="AC6" s="3234"/>
    </row>
    <row r="7" spans="1:29" s="117" customFormat="1" ht="15.75" thickBot="1">
      <c r="A7" s="405" t="s">
        <v>2526</v>
      </c>
      <c r="B7" s="406"/>
      <c r="C7" s="407">
        <f>'数据-取费表'!B2</f>
        <v>43363</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54" t="s">
        <v>2527</v>
      </c>
      <c r="Q7" s="3256"/>
      <c r="R7" s="766" t="s">
        <v>17</v>
      </c>
      <c r="S7" s="767">
        <f t="shared" ref="S7:S14" si="0">F7</f>
        <v>0</v>
      </c>
      <c r="T7" s="766" t="s">
        <v>17</v>
      </c>
      <c r="U7" s="767">
        <f t="shared" ref="U7:U14" si="1">H7</f>
        <v>0</v>
      </c>
      <c r="V7" s="766" t="s">
        <v>17</v>
      </c>
      <c r="W7" s="767">
        <f t="shared" ref="W7:W14" si="2">J7</f>
        <v>0</v>
      </c>
      <c r="X7" s="768"/>
      <c r="Y7" s="3254" t="s">
        <v>2527</v>
      </c>
      <c r="Z7" s="3255"/>
      <c r="AA7" s="769" t="e">
        <f>D7/F7</f>
        <v>#DIV/0!</v>
      </c>
      <c r="AB7" s="769" t="e">
        <f>D7/H7</f>
        <v>#DIV/0!</v>
      </c>
      <c r="AC7" s="769" t="e">
        <f>D7/J7</f>
        <v>#DIV/0!</v>
      </c>
    </row>
    <row r="8" spans="1:29" s="117" customFormat="1" ht="15.75" thickBot="1">
      <c r="A8" s="405" t="s">
        <v>2528</v>
      </c>
      <c r="B8" s="406"/>
      <c r="C8" s="411" t="s">
        <v>2630</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54" t="s">
        <v>2530</v>
      </c>
      <c r="Q8" s="3255"/>
      <c r="R8" s="766" t="s">
        <v>17</v>
      </c>
      <c r="S8" s="767">
        <f t="shared" si="0"/>
        <v>0</v>
      </c>
      <c r="T8" s="766" t="s">
        <v>17</v>
      </c>
      <c r="U8" s="767">
        <f t="shared" si="1"/>
        <v>0</v>
      </c>
      <c r="V8" s="766" t="s">
        <v>17</v>
      </c>
      <c r="W8" s="767">
        <f t="shared" si="2"/>
        <v>0</v>
      </c>
      <c r="X8" s="768"/>
      <c r="Y8" s="3254" t="s">
        <v>2530</v>
      </c>
      <c r="Z8" s="3255"/>
      <c r="AA8" s="769" t="e">
        <f t="shared" ref="AA8:AA34" si="3">D8/F8</f>
        <v>#DIV/0!</v>
      </c>
      <c r="AB8" s="769" t="e">
        <f t="shared" ref="AB8:AB34" si="4">D8/H8</f>
        <v>#DIV/0!</v>
      </c>
      <c r="AC8" s="769" t="e">
        <f t="shared" ref="AC8:AC34" si="5">D8/J8</f>
        <v>#DIV/0!</v>
      </c>
    </row>
    <row r="9" spans="1:29" s="117" customFormat="1">
      <c r="A9" s="412" t="s">
        <v>2531</v>
      </c>
      <c r="B9" s="71" t="s">
        <v>2532</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25" t="s">
        <v>2533</v>
      </c>
      <c r="Q9" s="1788" t="str">
        <f t="shared" ref="Q9:Q14" si="6">B9</f>
        <v>用途</v>
      </c>
      <c r="R9" s="766" t="s">
        <v>17</v>
      </c>
      <c r="S9" s="767">
        <f t="shared" si="0"/>
        <v>100</v>
      </c>
      <c r="T9" s="766" t="s">
        <v>17</v>
      </c>
      <c r="U9" s="767">
        <f t="shared" si="1"/>
        <v>100</v>
      </c>
      <c r="V9" s="766" t="s">
        <v>17</v>
      </c>
      <c r="W9" s="767">
        <f t="shared" si="2"/>
        <v>100</v>
      </c>
      <c r="X9" s="768"/>
      <c r="Y9" s="3073" t="s">
        <v>2534</v>
      </c>
      <c r="Z9" s="55" t="str">
        <f t="shared" ref="Z9:Z14" si="7">Q9</f>
        <v>用途</v>
      </c>
      <c r="AA9" s="769">
        <f t="shared" si="3"/>
        <v>1</v>
      </c>
      <c r="AB9" s="769">
        <f t="shared" si="4"/>
        <v>1</v>
      </c>
      <c r="AC9" s="769">
        <f t="shared" si="5"/>
        <v>1</v>
      </c>
    </row>
    <row r="10" spans="1:29" s="424" customFormat="1" ht="27">
      <c r="A10" s="418"/>
      <c r="B10" s="419" t="s">
        <v>2535</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25"/>
      <c r="Q10" s="1788" t="str">
        <f t="shared" si="6"/>
        <v>土地使用年限（年）</v>
      </c>
      <c r="R10" s="766" t="s">
        <v>17</v>
      </c>
      <c r="S10" s="767">
        <f t="shared" si="0"/>
        <v>100</v>
      </c>
      <c r="T10" s="766" t="s">
        <v>17</v>
      </c>
      <c r="U10" s="767">
        <f t="shared" si="1"/>
        <v>100</v>
      </c>
      <c r="V10" s="766" t="s">
        <v>17</v>
      </c>
      <c r="W10" s="767">
        <f t="shared" si="2"/>
        <v>100</v>
      </c>
      <c r="X10" s="768"/>
      <c r="Y10" s="3073"/>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25"/>
      <c r="Q11" s="1788">
        <f t="shared" si="6"/>
        <v>111</v>
      </c>
      <c r="R11" s="766" t="s">
        <v>17</v>
      </c>
      <c r="S11" s="767">
        <f t="shared" si="0"/>
        <v>100</v>
      </c>
      <c r="T11" s="766" t="s">
        <v>17</v>
      </c>
      <c r="U11" s="767">
        <f t="shared" si="1"/>
        <v>100</v>
      </c>
      <c r="V11" s="766" t="s">
        <v>17</v>
      </c>
      <c r="W11" s="767">
        <f t="shared" si="2"/>
        <v>100</v>
      </c>
      <c r="X11" s="768"/>
      <c r="Y11" s="3073"/>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25"/>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25"/>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769">
        <f t="shared" si="5"/>
        <v>1</v>
      </c>
    </row>
    <row r="14" spans="1:29" ht="15">
      <c r="A14" s="437" t="s">
        <v>2537</v>
      </c>
      <c r="B14" s="69" t="s">
        <v>2687</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27" t="s">
        <v>2538</v>
      </c>
      <c r="Q14" s="1803" t="str">
        <f t="shared" si="6"/>
        <v>交通便捷度</v>
      </c>
      <c r="R14" s="770" t="s">
        <v>17</v>
      </c>
      <c r="S14" s="771">
        <f t="shared" si="0"/>
        <v>100</v>
      </c>
      <c r="T14" s="770" t="s">
        <v>17</v>
      </c>
      <c r="U14" s="771">
        <f t="shared" si="1"/>
        <v>100</v>
      </c>
      <c r="V14" s="770" t="s">
        <v>17</v>
      </c>
      <c r="W14" s="771">
        <f t="shared" si="2"/>
        <v>100</v>
      </c>
      <c r="X14" s="1806"/>
      <c r="Y14" s="3227" t="s">
        <v>2538</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28"/>
      <c r="Q15" s="1803"/>
      <c r="R15" s="770"/>
      <c r="S15" s="771"/>
      <c r="T15" s="770"/>
      <c r="U15" s="771"/>
      <c r="V15" s="770"/>
      <c r="W15" s="771"/>
      <c r="X15" s="1806"/>
      <c r="Y15" s="3228"/>
      <c r="Z15" s="1807"/>
      <c r="AA15" s="1804">
        <v>1</v>
      </c>
      <c r="AB15" s="1804">
        <v>1</v>
      </c>
      <c r="AC15" s="1804">
        <v>1</v>
      </c>
    </row>
    <row r="16" spans="1:29" ht="15">
      <c r="A16" s="425"/>
      <c r="B16" s="448" t="s">
        <v>2666</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28"/>
      <c r="Q16" s="1803" t="str">
        <f>B16</f>
        <v>公共配套设施</v>
      </c>
      <c r="R16" s="770" t="s">
        <v>17</v>
      </c>
      <c r="S16" s="771">
        <f>F16</f>
        <v>100</v>
      </c>
      <c r="T16" s="770" t="s">
        <v>17</v>
      </c>
      <c r="U16" s="771">
        <f>H16</f>
        <v>100</v>
      </c>
      <c r="V16" s="770" t="s">
        <v>17</v>
      </c>
      <c r="W16" s="771">
        <f>J16</f>
        <v>100</v>
      </c>
      <c r="X16" s="1806"/>
      <c r="Y16" s="3228"/>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28"/>
      <c r="Q17" s="1803"/>
      <c r="R17" s="770"/>
      <c r="S17" s="771"/>
      <c r="T17" s="770"/>
      <c r="U17" s="771"/>
      <c r="V17" s="770"/>
      <c r="W17" s="771"/>
      <c r="X17" s="1806"/>
      <c r="Y17" s="3228"/>
      <c r="Z17" s="1807"/>
      <c r="AA17" s="1804">
        <v>1</v>
      </c>
      <c r="AB17" s="1804">
        <v>1</v>
      </c>
      <c r="AC17" s="1804">
        <v>1</v>
      </c>
    </row>
    <row r="18" spans="1:29" ht="15">
      <c r="A18" s="425"/>
      <c r="B18" s="1378" t="s">
        <v>2667</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28"/>
      <c r="Q18" s="1803" t="str">
        <f>B18</f>
        <v>基础设施水平</v>
      </c>
      <c r="R18" s="770" t="s">
        <v>17</v>
      </c>
      <c r="S18" s="771">
        <f>F18</f>
        <v>100</v>
      </c>
      <c r="T18" s="770" t="s">
        <v>17</v>
      </c>
      <c r="U18" s="771">
        <f>H18</f>
        <v>100</v>
      </c>
      <c r="V18" s="770" t="s">
        <v>17</v>
      </c>
      <c r="W18" s="771">
        <f>J18</f>
        <v>100</v>
      </c>
      <c r="X18" s="1806"/>
      <c r="Y18" s="3228"/>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28"/>
      <c r="Q19" s="1803"/>
      <c r="R19" s="770"/>
      <c r="S19" s="771"/>
      <c r="T19" s="770"/>
      <c r="U19" s="771"/>
      <c r="V19" s="770"/>
      <c r="W19" s="771"/>
      <c r="X19" s="1806"/>
      <c r="Y19" s="3228"/>
      <c r="Z19" s="1807"/>
      <c r="AA19" s="1804">
        <v>1</v>
      </c>
      <c r="AB19" s="1804">
        <v>1</v>
      </c>
      <c r="AC19" s="1804">
        <v>1</v>
      </c>
    </row>
    <row r="20" spans="1:29" ht="15">
      <c r="A20" s="425"/>
      <c r="B20" s="448" t="s">
        <v>2688</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28"/>
      <c r="Q20" s="1803" t="str">
        <f>B20</f>
        <v>自然及人文环境</v>
      </c>
      <c r="R20" s="770" t="s">
        <v>17</v>
      </c>
      <c r="S20" s="771">
        <f>F20</f>
        <v>100</v>
      </c>
      <c r="T20" s="770" t="s">
        <v>17</v>
      </c>
      <c r="U20" s="771">
        <f>H20</f>
        <v>100</v>
      </c>
      <c r="V20" s="770" t="s">
        <v>17</v>
      </c>
      <c r="W20" s="771">
        <f>J20</f>
        <v>100</v>
      </c>
      <c r="X20" s="1806"/>
      <c r="Y20" s="3228"/>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28"/>
      <c r="Q21" s="1803"/>
      <c r="R21" s="770"/>
      <c r="S21" s="771"/>
      <c r="T21" s="770"/>
      <c r="U21" s="771"/>
      <c r="V21" s="770"/>
      <c r="W21" s="771"/>
      <c r="X21" s="1806"/>
      <c r="Y21" s="3228"/>
      <c r="Z21" s="1807"/>
      <c r="AA21" s="1804">
        <v>1</v>
      </c>
      <c r="AB21" s="1804">
        <v>1</v>
      </c>
      <c r="AC21" s="1804">
        <v>1</v>
      </c>
    </row>
    <row r="22" spans="1:29" ht="15">
      <c r="A22" s="425"/>
      <c r="B22" s="448" t="s">
        <v>2689</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28"/>
      <c r="Q22" s="1803" t="str">
        <f>B22</f>
        <v>楼层</v>
      </c>
      <c r="R22" s="770" t="s">
        <v>17</v>
      </c>
      <c r="S22" s="771">
        <f>F22</f>
        <v>100</v>
      </c>
      <c r="T22" s="770" t="s">
        <v>17</v>
      </c>
      <c r="U22" s="771">
        <f>H22</f>
        <v>100</v>
      </c>
      <c r="V22" s="770" t="s">
        <v>17</v>
      </c>
      <c r="W22" s="771">
        <f>J22</f>
        <v>100</v>
      </c>
      <c r="X22" s="1806"/>
      <c r="Y22" s="3228"/>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28"/>
      <c r="Q23" s="1803">
        <f>B23</f>
        <v>111</v>
      </c>
      <c r="R23" s="770" t="s">
        <v>17</v>
      </c>
      <c r="S23" s="771">
        <f>F23</f>
        <v>100</v>
      </c>
      <c r="T23" s="770" t="s">
        <v>17</v>
      </c>
      <c r="U23" s="771">
        <f>H23</f>
        <v>100</v>
      </c>
      <c r="V23" s="770" t="s">
        <v>17</v>
      </c>
      <c r="W23" s="771">
        <f>J23</f>
        <v>100</v>
      </c>
      <c r="X23" s="1806"/>
      <c r="Y23" s="3228"/>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28"/>
      <c r="Q24" s="1803">
        <f t="shared" ref="Q24:Q34" si="11">B24</f>
        <v>111</v>
      </c>
      <c r="R24" s="770" t="s">
        <v>17</v>
      </c>
      <c r="S24" s="771">
        <f>F24</f>
        <v>100</v>
      </c>
      <c r="T24" s="770" t="s">
        <v>17</v>
      </c>
      <c r="U24" s="771">
        <f>H24</f>
        <v>100</v>
      </c>
      <c r="V24" s="770" t="s">
        <v>17</v>
      </c>
      <c r="W24" s="771">
        <f>J24</f>
        <v>100</v>
      </c>
      <c r="X24" s="1806"/>
      <c r="Y24" s="3228"/>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28"/>
      <c r="Q25" s="1788">
        <f t="shared" si="11"/>
        <v>111</v>
      </c>
      <c r="R25" s="766" t="s">
        <v>17</v>
      </c>
      <c r="S25" s="767">
        <f>F25</f>
        <v>100</v>
      </c>
      <c r="T25" s="766" t="s">
        <v>17</v>
      </c>
      <c r="U25" s="767">
        <f>H25</f>
        <v>100</v>
      </c>
      <c r="V25" s="766" t="s">
        <v>17</v>
      </c>
      <c r="W25" s="767">
        <f>J25</f>
        <v>100</v>
      </c>
      <c r="X25" s="768"/>
      <c r="Y25" s="3228"/>
      <c r="Z25" s="55">
        <f>Q25</f>
        <v>111</v>
      </c>
      <c r="AA25" s="1804">
        <f>D25/F25</f>
        <v>1</v>
      </c>
      <c r="AB25" s="1804">
        <f>D25/H25</f>
        <v>1</v>
      </c>
      <c r="AC25" s="1804">
        <f>D25/J25</f>
        <v>1</v>
      </c>
    </row>
    <row r="26" spans="1:29" ht="15">
      <c r="A26" s="463" t="s">
        <v>2541</v>
      </c>
      <c r="B26" s="71" t="s">
        <v>2692</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29" t="s">
        <v>2543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30" t="s">
        <v>2543</v>
      </c>
      <c r="Z26" s="1807" t="str">
        <f t="shared" ref="Z26:Z34" si="15">Q26</f>
        <v>公共部分装修</v>
      </c>
      <c r="AA26" s="1804">
        <f t="shared" si="3"/>
        <v>1</v>
      </c>
      <c r="AB26" s="1804">
        <f t="shared" si="4"/>
        <v>1</v>
      </c>
      <c r="AC26" s="1804">
        <f t="shared" si="5"/>
        <v>1</v>
      </c>
    </row>
    <row r="27" spans="1:29" s="468" customFormat="1" ht="15">
      <c r="A27" s="465"/>
      <c r="B27" s="419" t="s">
        <v>2693</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30"/>
      <c r="Q27" s="772" t="str">
        <f t="shared" si="11"/>
        <v>成新率</v>
      </c>
      <c r="R27" s="773" t="s">
        <v>17</v>
      </c>
      <c r="S27" s="774" t="e">
        <f t="shared" si="12"/>
        <v>#N/A</v>
      </c>
      <c r="T27" s="773" t="s">
        <v>17</v>
      </c>
      <c r="U27" s="774" t="e">
        <f t="shared" si="13"/>
        <v>#N/A</v>
      </c>
      <c r="V27" s="773" t="s">
        <v>17</v>
      </c>
      <c r="W27" s="774" t="e">
        <f t="shared" si="14"/>
        <v>#N/A</v>
      </c>
      <c r="X27" s="775"/>
      <c r="Y27" s="3230"/>
      <c r="Z27" s="776" t="str">
        <f t="shared" si="15"/>
        <v>成新率</v>
      </c>
      <c r="AA27" s="1804" t="e">
        <f t="shared" si="3"/>
        <v>#N/A</v>
      </c>
      <c r="AB27" s="1804" t="e">
        <f t="shared" si="4"/>
        <v>#N/A</v>
      </c>
      <c r="AC27" s="1804" t="e">
        <f t="shared" si="5"/>
        <v>#N/A</v>
      </c>
    </row>
    <row r="28" spans="1:29" ht="15">
      <c r="A28" s="469"/>
      <c r="B28" s="419" t="s">
        <v>2694</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30"/>
      <c r="Q28" s="1803" t="str">
        <f t="shared" si="11"/>
        <v>物业等级</v>
      </c>
      <c r="R28" s="770" t="s">
        <v>17</v>
      </c>
      <c r="S28" s="771">
        <f t="shared" si="12"/>
        <v>100</v>
      </c>
      <c r="T28" s="770" t="s">
        <v>17</v>
      </c>
      <c r="U28" s="771">
        <f t="shared" si="13"/>
        <v>100</v>
      </c>
      <c r="V28" s="770" t="s">
        <v>17</v>
      </c>
      <c r="W28" s="771">
        <f t="shared" si="14"/>
        <v>100</v>
      </c>
      <c r="X28" s="1806"/>
      <c r="Y28" s="3230"/>
      <c r="Z28" s="1807" t="str">
        <f t="shared" si="15"/>
        <v>物业等级</v>
      </c>
      <c r="AA28" s="1804">
        <f t="shared" si="3"/>
        <v>1</v>
      </c>
      <c r="AB28" s="1804">
        <f t="shared" si="4"/>
        <v>1</v>
      </c>
      <c r="AC28" s="1804">
        <f t="shared" si="5"/>
        <v>1</v>
      </c>
    </row>
    <row r="29" spans="1:29" ht="15">
      <c r="A29" s="469"/>
      <c r="B29" s="419" t="s">
        <v>2715</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30"/>
      <c r="Q29" s="1803" t="str">
        <f t="shared" si="11"/>
        <v>有无电梯</v>
      </c>
      <c r="R29" s="770" t="s">
        <v>17</v>
      </c>
      <c r="S29" s="771">
        <f t="shared" si="12"/>
        <v>100</v>
      </c>
      <c r="T29" s="770" t="s">
        <v>17</v>
      </c>
      <c r="U29" s="771">
        <f t="shared" si="13"/>
        <v>100</v>
      </c>
      <c r="V29" s="770" t="s">
        <v>17</v>
      </c>
      <c r="W29" s="771">
        <f t="shared" si="14"/>
        <v>100</v>
      </c>
      <c r="X29" s="1806"/>
      <c r="Y29" s="3230"/>
      <c r="Z29" s="1807" t="str">
        <f t="shared" si="15"/>
        <v>有无电梯</v>
      </c>
      <c r="AA29" s="1804">
        <f t="shared" si="3"/>
        <v>1</v>
      </c>
      <c r="AB29" s="1804">
        <f t="shared" si="4"/>
        <v>1</v>
      </c>
      <c r="AC29" s="1804">
        <f t="shared" si="5"/>
        <v>1</v>
      </c>
    </row>
    <row r="30" spans="1:29" ht="15">
      <c r="A30" s="469"/>
      <c r="B30" s="419" t="s">
        <v>2716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30"/>
      <c r="Q30" s="1803" t="str">
        <f t="shared" si="11"/>
        <v>建筑面积</v>
      </c>
      <c r="R30" s="770" t="s">
        <v>17</v>
      </c>
      <c r="S30" s="771" t="e">
        <f t="shared" si="12"/>
        <v>#N/A</v>
      </c>
      <c r="T30" s="770" t="s">
        <v>17</v>
      </c>
      <c r="U30" s="771" t="e">
        <f t="shared" si="13"/>
        <v>#N/A</v>
      </c>
      <c r="V30" s="770" t="s">
        <v>17</v>
      </c>
      <c r="W30" s="771" t="e">
        <f t="shared" si="14"/>
        <v>#N/A</v>
      </c>
      <c r="X30" s="1806"/>
      <c r="Y30" s="3230"/>
      <c r="Z30" s="1807" t="str">
        <f t="shared" si="15"/>
        <v>建筑面积</v>
      </c>
      <c r="AA30" s="1804" t="e">
        <f t="shared" si="3"/>
        <v>#N/A</v>
      </c>
      <c r="AB30" s="1804" t="e">
        <f t="shared" si="4"/>
        <v>#N/A</v>
      </c>
      <c r="AC30" s="1804" t="e">
        <f t="shared" si="5"/>
        <v>#N/A</v>
      </c>
    </row>
    <row r="31" spans="1:29" s="117" customFormat="1" ht="15">
      <c r="A31" s="470"/>
      <c r="B31" s="419" t="s">
        <v>2717</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30"/>
      <c r="Q31" s="1788" t="str">
        <f t="shared" si="11"/>
        <v>是否封闭</v>
      </c>
      <c r="R31" s="766" t="s">
        <v>17</v>
      </c>
      <c r="S31" s="767">
        <f t="shared" si="12"/>
        <v>100</v>
      </c>
      <c r="T31" s="766" t="s">
        <v>17</v>
      </c>
      <c r="U31" s="767">
        <f t="shared" si="13"/>
        <v>100</v>
      </c>
      <c r="V31" s="766" t="s">
        <v>17</v>
      </c>
      <c r="W31" s="767">
        <f t="shared" si="14"/>
        <v>100</v>
      </c>
      <c r="X31" s="768"/>
      <c r="Y31" s="3230"/>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30" t="s">
        <v>2543</v>
      </c>
      <c r="Q32" s="1803">
        <f t="shared" si="11"/>
        <v>111</v>
      </c>
      <c r="R32" s="770" t="s">
        <v>17</v>
      </c>
      <c r="S32" s="771">
        <f t="shared" si="12"/>
        <v>100</v>
      </c>
      <c r="T32" s="770" t="s">
        <v>17</v>
      </c>
      <c r="U32" s="771">
        <f t="shared" si="13"/>
        <v>100</v>
      </c>
      <c r="V32" s="770" t="s">
        <v>17</v>
      </c>
      <c r="W32" s="771">
        <f t="shared" si="14"/>
        <v>100</v>
      </c>
      <c r="X32" s="1806"/>
      <c r="Y32" s="3230" t="s">
        <v>2543</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30"/>
      <c r="Q33" s="1803">
        <f t="shared" si="11"/>
        <v>111</v>
      </c>
      <c r="R33" s="770" t="s">
        <v>17</v>
      </c>
      <c r="S33" s="771">
        <f t="shared" si="12"/>
        <v>100</v>
      </c>
      <c r="T33" s="770" t="s">
        <v>17</v>
      </c>
      <c r="U33" s="771">
        <f t="shared" si="13"/>
        <v>100</v>
      </c>
      <c r="V33" s="770" t="s">
        <v>17</v>
      </c>
      <c r="W33" s="771">
        <f t="shared" si="14"/>
        <v>100</v>
      </c>
      <c r="X33" s="1806"/>
      <c r="Y33" s="3230"/>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30"/>
      <c r="Q34" s="1803">
        <f t="shared" si="11"/>
        <v>111</v>
      </c>
      <c r="R34" s="770" t="s">
        <v>17</v>
      </c>
      <c r="S34" s="771">
        <f t="shared" si="12"/>
        <v>100</v>
      </c>
      <c r="T34" s="770" t="s">
        <v>17</v>
      </c>
      <c r="U34" s="771">
        <f t="shared" si="13"/>
        <v>100</v>
      </c>
      <c r="V34" s="770" t="s">
        <v>17</v>
      </c>
      <c r="W34" s="771">
        <f t="shared" si="14"/>
        <v>100</v>
      </c>
      <c r="X34" s="1806"/>
      <c r="Y34" s="3230"/>
      <c r="Z34" s="1807">
        <f t="shared" si="15"/>
        <v>111</v>
      </c>
      <c r="AA34" s="1804">
        <f t="shared" si="3"/>
        <v>1</v>
      </c>
      <c r="AB34" s="1804">
        <f t="shared" si="4"/>
        <v>1</v>
      </c>
      <c r="AC34" s="1804">
        <f t="shared" si="5"/>
        <v>1</v>
      </c>
    </row>
    <row r="35" spans="1:29" ht="15">
      <c r="A35" s="476" t="s">
        <v>2555</v>
      </c>
      <c r="B35" s="477"/>
      <c r="C35" s="1401" t="s">
        <v>1</v>
      </c>
      <c r="D35" s="1402"/>
      <c r="E35" s="1403"/>
      <c r="F35" s="1404"/>
      <c r="G35" s="1405"/>
      <c r="H35" s="1406"/>
      <c r="I35" s="1403"/>
      <c r="J35" s="1406"/>
      <c r="K35" s="779"/>
      <c r="L35" s="1137"/>
      <c r="M35" s="1138"/>
      <c r="N35" s="1125"/>
      <c r="O35" s="1138"/>
      <c r="P35" s="3225" t="str">
        <f>A35</f>
        <v>成交单价（元/平方米）</v>
      </c>
      <c r="Q35" s="3225"/>
      <c r="R35" s="3289">
        <f>E35</f>
        <v>0</v>
      </c>
      <c r="S35" s="3289"/>
      <c r="T35" s="3289">
        <f>G35</f>
        <v>0</v>
      </c>
      <c r="U35" s="3289"/>
      <c r="V35" s="3289">
        <f>I35</f>
        <v>0</v>
      </c>
      <c r="W35" s="3289"/>
      <c r="X35" s="755"/>
      <c r="Y35" s="777"/>
      <c r="Z35" s="755"/>
      <c r="AA35" s="755"/>
      <c r="AB35" s="755"/>
      <c r="AC35" s="755"/>
    </row>
    <row r="36" spans="1:29" ht="15.75" thickBot="1">
      <c r="A36" s="483" t="s">
        <v>2647</v>
      </c>
      <c r="B36" s="484"/>
      <c r="C36" s="1407" t="e">
        <f>R37</f>
        <v>#DIV/0!</v>
      </c>
      <c r="D36" s="1408"/>
      <c r="E36" s="1409" t="e">
        <f>R36</f>
        <v>#DIV/0!</v>
      </c>
      <c r="F36" s="1409"/>
      <c r="G36" s="1407" t="e">
        <f>T36</f>
        <v>#DIV/0!</v>
      </c>
      <c r="H36" s="1408"/>
      <c r="I36" s="1409" t="e">
        <f>V36</f>
        <v>#DIV/0!</v>
      </c>
      <c r="J36" s="1408"/>
      <c r="K36" s="780"/>
      <c r="L36" s="1137"/>
      <c r="M36" s="1138"/>
      <c r="N36" s="1125"/>
      <c r="O36" s="1138"/>
      <c r="P36" s="3225" t="str">
        <f>A36</f>
        <v>比较价值（元/平方米）</v>
      </c>
      <c r="Q36" s="3225"/>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5"/>
      <c r="Y36" s="755"/>
      <c r="Z36" s="755"/>
      <c r="AA36" s="755"/>
      <c r="AB36" s="755"/>
      <c r="AC36" s="755"/>
    </row>
    <row r="37" spans="1:29" ht="15.75" thickBot="1">
      <c r="A37" s="489" t="s">
        <v>2648</v>
      </c>
      <c r="B37" s="490"/>
      <c r="C37" s="1411" t="e">
        <f>R37</f>
        <v>#DIV/0!</v>
      </c>
      <c r="D37" s="1411"/>
      <c r="E37" s="1411"/>
      <c r="F37" s="1411"/>
      <c r="G37" s="1411"/>
      <c r="H37" s="1411"/>
      <c r="I37" s="1411"/>
      <c r="J37" s="1411"/>
      <c r="K37" s="781"/>
      <c r="L37" s="1137"/>
      <c r="M37" s="1138"/>
      <c r="N37" s="1138"/>
      <c r="O37" s="1138"/>
      <c r="P37" s="3219" t="str">
        <f>A37</f>
        <v>估价对象XX用房的比较价值（楼面单价，元/平方米）</v>
      </c>
      <c r="Q37" s="3220"/>
      <c r="R37" s="3288" t="e">
        <f>IF(F1="售价",ROUND(AVERAGE(R36:V36),0),ROUND(AVERAGE(R36:V36),1))</f>
        <v>#DIV/0!</v>
      </c>
      <c r="S37" s="3288"/>
      <c r="T37" s="3288"/>
      <c r="U37" s="3288"/>
      <c r="V37" s="3288"/>
      <c r="W37" s="328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2649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2652</v>
      </c>
      <c r="B45" s="755"/>
      <c r="C45" s="760"/>
      <c r="D45" s="760"/>
      <c r="E45" s="760"/>
      <c r="F45" s="761"/>
      <c r="G45" s="761"/>
      <c r="H45" s="760"/>
      <c r="I45" s="760"/>
      <c r="J45" s="760"/>
      <c r="K45" s="762"/>
      <c r="L45" s="763"/>
      <c r="M45" s="760"/>
      <c r="N45" s="760"/>
      <c r="O45" s="760"/>
      <c r="P45" s="500"/>
      <c r="Q45" s="501"/>
    </row>
    <row r="46" spans="1:29" s="505" customFormat="1" ht="15">
      <c r="A46" s="502" t="s">
        <v>2526</v>
      </c>
      <c r="B46" s="503"/>
      <c r="C46" s="1567" t="str">
        <f>YEAR(C7)&amp;"-"&amp;MONTH(C7)</f>
        <v>2018-9</v>
      </c>
      <c r="D46" s="1568">
        <f>EDATE(C46,-1)</f>
        <v>43313</v>
      </c>
      <c r="E46" s="1568">
        <f t="shared" ref="E46:O46" si="16">EDATE(D46,-1)</f>
        <v>43282</v>
      </c>
      <c r="F46" s="1568">
        <f t="shared" si="16"/>
        <v>43252</v>
      </c>
      <c r="G46" s="1568">
        <f t="shared" si="16"/>
        <v>43221</v>
      </c>
      <c r="H46" s="1568">
        <f t="shared" si="16"/>
        <v>43191</v>
      </c>
      <c r="I46" s="1568">
        <f t="shared" si="16"/>
        <v>43160</v>
      </c>
      <c r="J46" s="1568">
        <f t="shared" si="16"/>
        <v>43132</v>
      </c>
      <c r="K46" s="1568">
        <f t="shared" si="16"/>
        <v>43101</v>
      </c>
      <c r="L46" s="1568">
        <f t="shared" si="16"/>
        <v>43070</v>
      </c>
      <c r="M46" s="1568">
        <f t="shared" si="16"/>
        <v>43040</v>
      </c>
      <c r="N46" s="1568">
        <f t="shared" si="16"/>
        <v>43009</v>
      </c>
      <c r="O46" s="1568">
        <f t="shared" si="16"/>
        <v>42979</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2563</v>
      </c>
      <c r="B48" s="513"/>
      <c r="C48" s="514"/>
      <c r="D48" s="515"/>
      <c r="E48" s="515"/>
      <c r="F48" s="515"/>
      <c r="G48" s="515"/>
      <c r="H48" s="515"/>
      <c r="I48" s="515"/>
      <c r="J48" s="515"/>
      <c r="K48" s="515"/>
      <c r="L48" s="515"/>
      <c r="M48" s="516"/>
      <c r="N48" s="515"/>
      <c r="O48" s="517"/>
      <c r="P48" s="501"/>
      <c r="Q48" s="501"/>
    </row>
    <row r="49" spans="1:17" s="117" customFormat="1" ht="15">
      <c r="A49" s="518" t="s">
        <v>2528</v>
      </c>
      <c r="B49" s="507"/>
      <c r="C49" s="519" t="s">
        <v>2630</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2566</v>
      </c>
      <c r="B51" s="525" t="s">
        <v>2532</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2535</v>
      </c>
      <c r="C53" s="536" t="s">
        <v>2567</v>
      </c>
      <c r="D53" s="536" t="s">
        <v>2568</v>
      </c>
      <c r="E53" s="536" t="s">
        <v>2569</v>
      </c>
      <c r="F53" s="536" t="s">
        <v>2570</v>
      </c>
      <c r="G53" s="536" t="s">
        <v>2571</v>
      </c>
      <c r="H53" s="536" t="s">
        <v>2572</v>
      </c>
      <c r="I53" s="536" t="s">
        <v>2573</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2537</v>
      </c>
      <c r="B61" s="525" t="s">
        <v>2580</v>
      </c>
      <c r="C61" s="570" t="s">
        <v>2575</v>
      </c>
      <c r="D61" s="570" t="s">
        <v>2576</v>
      </c>
      <c r="E61" s="570" t="s">
        <v>2577</v>
      </c>
      <c r="F61" s="570" t="s">
        <v>2578</v>
      </c>
      <c r="G61" s="570" t="s">
        <v>2579</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2718</v>
      </c>
      <c r="C63" s="575" t="s">
        <v>2575</v>
      </c>
      <c r="D63" s="575" t="s">
        <v>2576</v>
      </c>
      <c r="E63" s="575" t="s">
        <v>2577</v>
      </c>
      <c r="F63" s="575" t="s">
        <v>2578</v>
      </c>
      <c r="G63" s="575" t="s">
        <v>2579</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2667</v>
      </c>
      <c r="C65" s="656" t="s">
        <v>2653</v>
      </c>
      <c r="D65" s="656" t="s">
        <v>2654</v>
      </c>
      <c r="E65" s="656" t="s">
        <v>2655</v>
      </c>
      <c r="F65" s="656" t="s">
        <v>2656</v>
      </c>
      <c r="G65" s="656" t="s">
        <v>2657</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2587</v>
      </c>
      <c r="C67" s="575" t="s">
        <v>2575</v>
      </c>
      <c r="D67" s="575" t="s">
        <v>2576</v>
      </c>
      <c r="E67" s="575" t="s">
        <v>2577</v>
      </c>
      <c r="F67" s="575" t="s">
        <v>2578</v>
      </c>
      <c r="G67" s="575" t="s">
        <v>2579</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2707</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2541</v>
      </c>
      <c r="B77" s="525" t="s">
        <v>2594</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2711</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2719</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2721</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2722</v>
      </c>
      <c r="B1" s="392"/>
      <c r="C1" s="393" t="s">
        <v>2774</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2305</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ROUND(IF(D3="",B2*10000/'数据-汇总表'!E3,B2*10000/D3),0)</f>
        <v>#DIV/0!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3" t="s">
        <v>2626</v>
      </c>
      <c r="AC4" s="3232" t="s">
        <v>2627</v>
      </c>
    </row>
    <row r="5" spans="1:29" ht="15">
      <c r="A5" s="401"/>
      <c r="B5" s="402"/>
      <c r="C5" s="3252" t="s">
        <v>2520</v>
      </c>
      <c r="D5" s="3253"/>
      <c r="E5" s="3259" t="s">
        <v>2521</v>
      </c>
      <c r="F5" s="3260"/>
      <c r="G5" s="3252" t="s">
        <v>2522</v>
      </c>
      <c r="H5" s="3253"/>
      <c r="I5" s="3252" t="s">
        <v>2523</v>
      </c>
      <c r="J5" s="3253"/>
      <c r="K5" s="607"/>
      <c r="L5" s="1124"/>
      <c r="M5" s="1125"/>
      <c r="N5" s="1125"/>
      <c r="O5" s="1125"/>
      <c r="P5" s="3240"/>
      <c r="Q5" s="3241"/>
      <c r="R5" s="3246"/>
      <c r="S5" s="3247"/>
      <c r="T5" s="3246"/>
      <c r="U5" s="3247"/>
      <c r="V5" s="3231"/>
      <c r="W5" s="3231"/>
      <c r="X5" s="1806"/>
      <c r="Y5" s="3246"/>
      <c r="Z5" s="3247"/>
      <c r="AA5" s="3233"/>
      <c r="AB5" s="3233"/>
      <c r="AC5" s="3233"/>
    </row>
    <row r="6" spans="1:29" ht="15.75" thickBot="1">
      <c r="A6" s="403"/>
      <c r="B6" s="404"/>
      <c r="C6" s="3313" t="s">
        <v>2775</v>
      </c>
      <c r="D6" s="3314"/>
      <c r="E6" s="3315" t="s">
        <v>2775</v>
      </c>
      <c r="F6" s="3316"/>
      <c r="G6" s="3313" t="s">
        <v>2775</v>
      </c>
      <c r="H6" s="3314"/>
      <c r="I6" s="3313" t="s">
        <v>2775</v>
      </c>
      <c r="J6" s="3314"/>
      <c r="K6" s="607" t="s">
        <v>2525</v>
      </c>
      <c r="L6" s="1124"/>
      <c r="M6" s="1125"/>
      <c r="N6" s="1125"/>
      <c r="O6" s="1125"/>
      <c r="P6" s="3242"/>
      <c r="Q6" s="3243"/>
      <c r="R6" s="3246"/>
      <c r="S6" s="3247"/>
      <c r="T6" s="3248"/>
      <c r="U6" s="3249"/>
      <c r="V6" s="3231"/>
      <c r="W6" s="3231"/>
      <c r="X6" s="1806"/>
      <c r="Y6" s="3248"/>
      <c r="Z6" s="3249"/>
      <c r="AA6" s="3234"/>
      <c r="AB6" s="3234"/>
      <c r="AC6" s="3234"/>
    </row>
    <row r="7" spans="1:29" s="117" customFormat="1" ht="15.75" thickBot="1">
      <c r="A7" s="405" t="s">
        <v>2526</v>
      </c>
      <c r="B7" s="406"/>
      <c r="C7" s="407">
        <f>'数据-取费表'!B2</f>
        <v>43363</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54" t="s">
        <v>2527</v>
      </c>
      <c r="Q7" s="3256"/>
      <c r="R7" s="766" t="s">
        <v>17</v>
      </c>
      <c r="S7" s="767">
        <f t="shared" ref="S7:S15" si="0">F7</f>
        <v>0</v>
      </c>
      <c r="T7" s="766" t="s">
        <v>17</v>
      </c>
      <c r="U7" s="767">
        <f t="shared" ref="U7:U15" si="1">H7</f>
        <v>0</v>
      </c>
      <c r="V7" s="766" t="s">
        <v>17</v>
      </c>
      <c r="W7" s="767">
        <f t="shared" ref="W7:W15" si="2">J7</f>
        <v>0</v>
      </c>
      <c r="X7" s="768"/>
      <c r="Y7" s="3254" t="s">
        <v>2527</v>
      </c>
      <c r="Z7" s="3255"/>
      <c r="AA7" s="769" t="e">
        <f>D7/F7</f>
        <v>#DIV/0!</v>
      </c>
      <c r="AB7" s="769" t="e">
        <f>D7/H7</f>
        <v>#DIV/0!</v>
      </c>
      <c r="AC7" s="769" t="e">
        <f>D7/J7</f>
        <v>#DIV/0!</v>
      </c>
    </row>
    <row r="8" spans="1:29" s="117" customFormat="1" ht="15.75" thickBot="1">
      <c r="A8" s="405" t="s">
        <v>2528</v>
      </c>
      <c r="B8" s="406"/>
      <c r="C8" s="411" t="s">
        <v>2529</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54" t="s">
        <v>2530</v>
      </c>
      <c r="Q8" s="3255"/>
      <c r="R8" s="766" t="s">
        <v>17</v>
      </c>
      <c r="S8" s="767">
        <f t="shared" si="0"/>
        <v>0</v>
      </c>
      <c r="T8" s="766" t="s">
        <v>17</v>
      </c>
      <c r="U8" s="767">
        <f t="shared" si="1"/>
        <v>0</v>
      </c>
      <c r="V8" s="766" t="s">
        <v>17</v>
      </c>
      <c r="W8" s="767">
        <f t="shared" si="2"/>
        <v>0</v>
      </c>
      <c r="X8" s="768"/>
      <c r="Y8" s="3254" t="s">
        <v>2530</v>
      </c>
      <c r="Z8" s="3255"/>
      <c r="AA8" s="769" t="e">
        <f t="shared" ref="AA8:AA40" si="3">D8/F8</f>
        <v>#DIV/0!</v>
      </c>
      <c r="AB8" s="769" t="e">
        <f t="shared" ref="AB8:AB40" si="4">D8/H8</f>
        <v>#DIV/0!</v>
      </c>
      <c r="AC8" s="769" t="e">
        <f t="shared" ref="AC8:AC40" si="5">D8/J8</f>
        <v>#DIV/0!</v>
      </c>
    </row>
    <row r="9" spans="1:29" s="117" customFormat="1">
      <c r="A9" s="412" t="s">
        <v>2531</v>
      </c>
      <c r="B9" s="71" t="s">
        <v>2532</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25"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769">
        <f t="shared" si="5"/>
        <v>1</v>
      </c>
    </row>
    <row r="10" spans="1:29" s="424" customFormat="1" ht="27">
      <c r="A10" s="418"/>
      <c r="B10" s="419" t="s">
        <v>2535</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25"/>
      <c r="Q10" s="1788" t="str">
        <f t="shared" si="6"/>
        <v>土地使用年限（年）</v>
      </c>
      <c r="R10" s="766" t="s">
        <v>17</v>
      </c>
      <c r="S10" s="767">
        <f t="shared" si="0"/>
        <v>101</v>
      </c>
      <c r="T10" s="766" t="s">
        <v>17</v>
      </c>
      <c r="U10" s="767">
        <f t="shared" si="1"/>
        <v>101</v>
      </c>
      <c r="V10" s="766" t="s">
        <v>17</v>
      </c>
      <c r="W10" s="767">
        <f t="shared" si="2"/>
        <v>101</v>
      </c>
      <c r="X10" s="768"/>
      <c r="Y10" s="3073"/>
      <c r="Z10" s="55" t="str">
        <f t="shared" si="7"/>
        <v>土地使用年限（年）</v>
      </c>
      <c r="AA10" s="769">
        <f t="shared" si="3"/>
        <v>0.99009900990099009</v>
      </c>
      <c r="AB10" s="769">
        <f t="shared" si="4"/>
        <v>0.99009900990099009</v>
      </c>
      <c r="AC10" s="769">
        <f t="shared" si="5"/>
        <v>0.99009900990099009</v>
      </c>
    </row>
    <row r="11" spans="1:29" ht="15">
      <c r="A11" s="425"/>
      <c r="B11" s="419" t="s">
        <v>2536</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25"/>
      <c r="Q11" s="1788" t="str">
        <f t="shared" si="6"/>
        <v>容积率</v>
      </c>
      <c r="R11" s="766" t="s">
        <v>17</v>
      </c>
      <c r="S11" s="767" t="e">
        <f t="shared" si="0"/>
        <v>#N/A</v>
      </c>
      <c r="T11" s="766" t="s">
        <v>17</v>
      </c>
      <c r="U11" s="767" t="e">
        <f t="shared" si="1"/>
        <v>#N/A</v>
      </c>
      <c r="V11" s="766" t="s">
        <v>17</v>
      </c>
      <c r="W11" s="767" t="e">
        <f t="shared" si="2"/>
        <v>#N/A</v>
      </c>
      <c r="X11" s="768"/>
      <c r="Y11" s="3073"/>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25"/>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25"/>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25"/>
      <c r="Q14" s="1788">
        <f t="shared" si="6"/>
        <v>111</v>
      </c>
      <c r="R14" s="766" t="s">
        <v>17</v>
      </c>
      <c r="S14" s="767">
        <f t="shared" si="0"/>
        <v>100</v>
      </c>
      <c r="T14" s="766" t="s">
        <v>17</v>
      </c>
      <c r="U14" s="767">
        <f t="shared" si="1"/>
        <v>100</v>
      </c>
      <c r="V14" s="766" t="s">
        <v>17</v>
      </c>
      <c r="W14" s="767">
        <f t="shared" si="2"/>
        <v>100</v>
      </c>
      <c r="X14" s="768"/>
      <c r="Y14" s="3073"/>
      <c r="Z14" s="55">
        <f t="shared" si="7"/>
        <v>111</v>
      </c>
      <c r="AA14" s="769">
        <f t="shared" si="3"/>
        <v>1</v>
      </c>
      <c r="AB14" s="769">
        <f t="shared" si="4"/>
        <v>1</v>
      </c>
      <c r="AC14" s="769">
        <f t="shared" si="5"/>
        <v>1</v>
      </c>
    </row>
    <row r="15" spans="1:29" ht="15">
      <c r="A15" s="437" t="s">
        <v>2537</v>
      </c>
      <c r="B15" s="625" t="s">
        <v>2776</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27" t="s">
        <v>2538</v>
      </c>
      <c r="Q15" s="1803" t="str">
        <f t="shared" si="6"/>
        <v>产业集聚程度</v>
      </c>
      <c r="R15" s="770" t="s">
        <v>17</v>
      </c>
      <c r="S15" s="771">
        <f t="shared" si="0"/>
        <v>100</v>
      </c>
      <c r="T15" s="770" t="s">
        <v>17</v>
      </c>
      <c r="U15" s="771">
        <f t="shared" si="1"/>
        <v>100</v>
      </c>
      <c r="V15" s="770" t="s">
        <v>17</v>
      </c>
      <c r="W15" s="771">
        <f t="shared" si="2"/>
        <v>100</v>
      </c>
      <c r="X15" s="1806"/>
      <c r="Y15" s="3227" t="s">
        <v>2538</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28"/>
      <c r="Q16" s="1803"/>
      <c r="R16" s="770"/>
      <c r="S16" s="771"/>
      <c r="T16" s="770"/>
      <c r="U16" s="771"/>
      <c r="V16" s="770"/>
      <c r="W16" s="771"/>
      <c r="X16" s="1806"/>
      <c r="Y16" s="3228"/>
      <c r="Z16" s="1807"/>
      <c r="AA16" s="1804">
        <v>1</v>
      </c>
      <c r="AB16" s="1804">
        <v>1</v>
      </c>
      <c r="AC16" s="1804">
        <v>1</v>
      </c>
    </row>
    <row r="17" spans="1:29" ht="15">
      <c r="A17" s="425"/>
      <c r="B17" s="627" t="s">
        <v>2687</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28"/>
      <c r="Q17" s="1803" t="str">
        <f>B17</f>
        <v>交通便捷度</v>
      </c>
      <c r="R17" s="770" t="s">
        <v>17</v>
      </c>
      <c r="S17" s="771">
        <f>F17</f>
        <v>100</v>
      </c>
      <c r="T17" s="770" t="s">
        <v>17</v>
      </c>
      <c r="U17" s="771">
        <f>H17</f>
        <v>100</v>
      </c>
      <c r="V17" s="770" t="s">
        <v>17</v>
      </c>
      <c r="W17" s="771">
        <f>J17</f>
        <v>100</v>
      </c>
      <c r="X17" s="1806"/>
      <c r="Y17" s="3228"/>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28"/>
      <c r="Q18" s="1803"/>
      <c r="R18" s="770"/>
      <c r="S18" s="771"/>
      <c r="T18" s="770"/>
      <c r="U18" s="771"/>
      <c r="V18" s="770"/>
      <c r="W18" s="771"/>
      <c r="X18" s="1806"/>
      <c r="Y18" s="3228"/>
      <c r="Z18" s="1807"/>
      <c r="AA18" s="1804">
        <v>1</v>
      </c>
      <c r="AB18" s="1804">
        <v>1</v>
      </c>
      <c r="AC18" s="1804">
        <v>1</v>
      </c>
    </row>
    <row r="19" spans="1:29" ht="15">
      <c r="A19" s="425"/>
      <c r="B19" s="627" t="s">
        <v>2726</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28"/>
      <c r="Q19" s="1803" t="str">
        <f t="shared" ref="Q19:Q33" si="8">B19</f>
        <v>区域土地利用方向</v>
      </c>
      <c r="R19" s="770" t="s">
        <v>17</v>
      </c>
      <c r="S19" s="771">
        <f>F19</f>
        <v>100</v>
      </c>
      <c r="T19" s="770" t="s">
        <v>17</v>
      </c>
      <c r="U19" s="771">
        <f>H19</f>
        <v>100</v>
      </c>
      <c r="V19" s="770" t="s">
        <v>17</v>
      </c>
      <c r="W19" s="771">
        <f>J19</f>
        <v>100</v>
      </c>
      <c r="X19" s="1806"/>
      <c r="Y19" s="3228"/>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28"/>
      <c r="Q20" s="1803"/>
      <c r="R20" s="770"/>
      <c r="S20" s="771"/>
      <c r="T20" s="770"/>
      <c r="U20" s="771"/>
      <c r="V20" s="770"/>
      <c r="W20" s="771"/>
      <c r="X20" s="1806"/>
      <c r="Y20" s="3228"/>
      <c r="Z20" s="1807"/>
      <c r="AA20" s="1804"/>
      <c r="AB20" s="1804"/>
      <c r="AC20" s="1804"/>
    </row>
    <row r="21" spans="1:29" ht="15">
      <c r="A21" s="401"/>
      <c r="B21" s="627" t="s">
        <v>2777</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28"/>
      <c r="Q21" s="1803" t="str">
        <f t="shared" si="8"/>
        <v>环境状况</v>
      </c>
      <c r="R21" s="770" t="s">
        <v>17</v>
      </c>
      <c r="S21" s="771">
        <f>F21</f>
        <v>100</v>
      </c>
      <c r="T21" s="770" t="s">
        <v>17</v>
      </c>
      <c r="U21" s="771">
        <f>H21</f>
        <v>100</v>
      </c>
      <c r="V21" s="770" t="s">
        <v>17</v>
      </c>
      <c r="W21" s="771">
        <f>J21</f>
        <v>100</v>
      </c>
      <c r="X21" s="1806"/>
      <c r="Y21" s="3228"/>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28"/>
      <c r="Q22" s="1803"/>
      <c r="R22" s="770"/>
      <c r="S22" s="771"/>
      <c r="T22" s="770"/>
      <c r="U22" s="771"/>
      <c r="V22" s="770"/>
      <c r="W22" s="771"/>
      <c r="X22" s="1806"/>
      <c r="Y22" s="3228"/>
      <c r="Z22" s="1807"/>
      <c r="AA22" s="1804">
        <v>1</v>
      </c>
      <c r="AB22" s="1804">
        <v>1</v>
      </c>
      <c r="AC22" s="1804">
        <v>1</v>
      </c>
    </row>
    <row r="23" spans="1:29" s="117" customFormat="1" ht="15">
      <c r="A23" s="645"/>
      <c r="B23" s="629" t="s">
        <v>2632</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28"/>
      <c r="Q23" s="1788" t="str">
        <f t="shared" si="8"/>
        <v>公共配套设施</v>
      </c>
      <c r="R23" s="766" t="s">
        <v>17</v>
      </c>
      <c r="S23" s="767">
        <f>F23</f>
        <v>100</v>
      </c>
      <c r="T23" s="766" t="s">
        <v>17</v>
      </c>
      <c r="U23" s="767">
        <f>H23</f>
        <v>100</v>
      </c>
      <c r="V23" s="766" t="s">
        <v>17</v>
      </c>
      <c r="W23" s="767">
        <f>J23</f>
        <v>100</v>
      </c>
      <c r="X23" s="768"/>
      <c r="Y23" s="3228"/>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28"/>
      <c r="Q24" s="1788"/>
      <c r="R24" s="766"/>
      <c r="S24" s="767"/>
      <c r="T24" s="766"/>
      <c r="U24" s="767"/>
      <c r="V24" s="766"/>
      <c r="W24" s="767"/>
      <c r="X24" s="768"/>
      <c r="Y24" s="3228"/>
      <c r="Z24" s="55"/>
      <c r="AA24" s="769">
        <v>1</v>
      </c>
      <c r="AB24" s="769">
        <v>1</v>
      </c>
      <c r="AC24" s="769">
        <v>1</v>
      </c>
    </row>
    <row r="25" spans="1:29" s="117" customFormat="1" ht="15">
      <c r="A25" s="645"/>
      <c r="B25" s="629" t="s">
        <v>2633</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28"/>
      <c r="Q25" s="1788" t="str">
        <f t="shared" ref="Q25" si="9">B25</f>
        <v>基础设施水平</v>
      </c>
      <c r="R25" s="766" t="s">
        <v>17</v>
      </c>
      <c r="S25" s="767">
        <f>F25</f>
        <v>100</v>
      </c>
      <c r="T25" s="766" t="s">
        <v>17</v>
      </c>
      <c r="U25" s="767">
        <f>H25</f>
        <v>100</v>
      </c>
      <c r="V25" s="766" t="s">
        <v>17</v>
      </c>
      <c r="W25" s="767">
        <f>J25</f>
        <v>100</v>
      </c>
      <c r="X25" s="768"/>
      <c r="Y25" s="3228"/>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28"/>
      <c r="Q26" s="1788"/>
      <c r="R26" s="766"/>
      <c r="S26" s="767"/>
      <c r="T26" s="766"/>
      <c r="U26" s="767"/>
      <c r="V26" s="766"/>
      <c r="W26" s="767"/>
      <c r="X26" s="768"/>
      <c r="Y26" s="3228"/>
      <c r="Z26" s="55"/>
      <c r="AA26" s="769">
        <v>1</v>
      </c>
      <c r="AB26" s="769">
        <v>1</v>
      </c>
      <c r="AC26" s="769">
        <v>1</v>
      </c>
    </row>
    <row r="27" spans="1:29" ht="15">
      <c r="A27" s="425"/>
      <c r="B27" s="628" t="s">
        <v>2634</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28"/>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28"/>
      <c r="Z27" s="1807" t="str">
        <f t="shared" ref="Z27:Z40" si="13">Q27</f>
        <v>临街状况</v>
      </c>
      <c r="AA27" s="1804">
        <f t="shared" si="3"/>
        <v>1</v>
      </c>
      <c r="AB27" s="1804">
        <f t="shared" si="4"/>
        <v>1</v>
      </c>
      <c r="AC27" s="1804">
        <f t="shared" si="5"/>
        <v>1</v>
      </c>
    </row>
    <row r="28" spans="1:29" ht="27">
      <c r="A28" s="425"/>
      <c r="B28" s="629" t="s">
        <v>2669</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28"/>
      <c r="Q28" s="1803" t="str">
        <f t="shared" si="8"/>
        <v>毗邻道路的类型与等级</v>
      </c>
      <c r="R28" s="770" t="s">
        <v>17</v>
      </c>
      <c r="S28" s="771">
        <f t="shared" si="10"/>
        <v>100</v>
      </c>
      <c r="T28" s="770" t="s">
        <v>17</v>
      </c>
      <c r="U28" s="771">
        <f t="shared" si="11"/>
        <v>100</v>
      </c>
      <c r="V28" s="770" t="s">
        <v>17</v>
      </c>
      <c r="W28" s="771">
        <f t="shared" si="12"/>
        <v>100</v>
      </c>
      <c r="X28" s="1806"/>
      <c r="Y28" s="3228"/>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28"/>
      <c r="Q29" s="1803"/>
      <c r="R29" s="770"/>
      <c r="S29" s="771"/>
      <c r="T29" s="770"/>
      <c r="U29" s="771"/>
      <c r="V29" s="770"/>
      <c r="W29" s="771"/>
      <c r="X29" s="1806"/>
      <c r="Y29" s="3228"/>
      <c r="Z29" s="1807"/>
      <c r="AA29" s="1804">
        <v>1</v>
      </c>
      <c r="AB29" s="1804">
        <v>1</v>
      </c>
      <c r="AC29" s="1804">
        <v>1</v>
      </c>
    </row>
    <row r="30" spans="1:29" ht="15">
      <c r="A30" s="425"/>
      <c r="B30" s="650" t="s">
        <v>2728</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28"/>
      <c r="Q30" s="1803" t="str">
        <f t="shared" si="8"/>
        <v>土地级别</v>
      </c>
      <c r="R30" s="770" t="s">
        <v>17</v>
      </c>
      <c r="S30" s="771">
        <f t="shared" si="10"/>
        <v>100</v>
      </c>
      <c r="T30" s="770" t="s">
        <v>17</v>
      </c>
      <c r="U30" s="771">
        <f t="shared" si="11"/>
        <v>100</v>
      </c>
      <c r="V30" s="770" t="s">
        <v>17</v>
      </c>
      <c r="W30" s="771">
        <f t="shared" si="12"/>
        <v>100</v>
      </c>
      <c r="X30" s="1806"/>
      <c r="Y30" s="3228"/>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28"/>
      <c r="Q31" s="1803">
        <f t="shared" si="8"/>
        <v>111</v>
      </c>
      <c r="R31" s="770" t="s">
        <v>17</v>
      </c>
      <c r="S31" s="771">
        <f t="shared" si="10"/>
        <v>100</v>
      </c>
      <c r="T31" s="770" t="s">
        <v>17</v>
      </c>
      <c r="U31" s="771">
        <f t="shared" si="11"/>
        <v>100</v>
      </c>
      <c r="V31" s="770" t="s">
        <v>17</v>
      </c>
      <c r="W31" s="771">
        <f t="shared" si="12"/>
        <v>100</v>
      </c>
      <c r="X31" s="1806"/>
      <c r="Y31" s="3228"/>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29" t="s">
        <v>2543</v>
      </c>
      <c r="Q32" s="1803">
        <f t="shared" si="8"/>
        <v>111</v>
      </c>
      <c r="R32" s="770" t="s">
        <v>17</v>
      </c>
      <c r="S32" s="771">
        <f t="shared" si="10"/>
        <v>100</v>
      </c>
      <c r="T32" s="770" t="s">
        <v>17</v>
      </c>
      <c r="U32" s="771">
        <f t="shared" si="11"/>
        <v>100</v>
      </c>
      <c r="V32" s="770" t="s">
        <v>17</v>
      </c>
      <c r="W32" s="771">
        <f t="shared" si="12"/>
        <v>100</v>
      </c>
      <c r="X32" s="1806"/>
      <c r="Y32" s="3230" t="s">
        <v>2543</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30"/>
      <c r="Q33" s="1803">
        <f t="shared" si="8"/>
        <v>111</v>
      </c>
      <c r="R33" s="773" t="s">
        <v>17</v>
      </c>
      <c r="S33" s="774">
        <f t="shared" si="10"/>
        <v>100</v>
      </c>
      <c r="T33" s="773" t="s">
        <v>17</v>
      </c>
      <c r="U33" s="774">
        <f t="shared" si="11"/>
        <v>100</v>
      </c>
      <c r="V33" s="773" t="s">
        <v>17</v>
      </c>
      <c r="W33" s="774">
        <f t="shared" si="12"/>
        <v>100</v>
      </c>
      <c r="X33" s="775"/>
      <c r="Y33" s="3230"/>
      <c r="Z33" s="776">
        <f t="shared" si="13"/>
        <v>111</v>
      </c>
      <c r="AA33" s="1804">
        <f t="shared" si="3"/>
        <v>1</v>
      </c>
      <c r="AB33" s="1804">
        <f t="shared" si="4"/>
        <v>1</v>
      </c>
      <c r="AC33" s="1804">
        <f t="shared" si="5"/>
        <v>1</v>
      </c>
    </row>
    <row r="34" spans="1:29" ht="15">
      <c r="A34" s="437" t="s">
        <v>2541</v>
      </c>
      <c r="B34" s="453" t="s">
        <v>2729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30"/>
      <c r="Q34" s="1803" t="str">
        <f>B34</f>
        <v>宗地面积</v>
      </c>
      <c r="R34" s="770" t="s">
        <v>17</v>
      </c>
      <c r="S34" s="771" t="e">
        <f t="shared" si="10"/>
        <v>#N/A</v>
      </c>
      <c r="T34" s="770" t="s">
        <v>17</v>
      </c>
      <c r="U34" s="771" t="e">
        <f t="shared" si="11"/>
        <v>#N/A</v>
      </c>
      <c r="V34" s="770" t="s">
        <v>17</v>
      </c>
      <c r="W34" s="771" t="e">
        <f t="shared" si="12"/>
        <v>#N/A</v>
      </c>
      <c r="X34" s="1806"/>
      <c r="Y34" s="3230"/>
      <c r="Z34" s="1807" t="str">
        <f t="shared" si="13"/>
        <v>宗地面积</v>
      </c>
      <c r="AA34" s="1804" t="e">
        <f t="shared" si="3"/>
        <v>#N/A</v>
      </c>
      <c r="AB34" s="1804" t="e">
        <f t="shared" si="4"/>
        <v>#N/A</v>
      </c>
      <c r="AC34" s="1804" t="e">
        <f t="shared" si="5"/>
        <v>#N/A</v>
      </c>
    </row>
    <row r="35" spans="1:29" ht="15">
      <c r="A35" s="469"/>
      <c r="B35" s="419" t="s">
        <v>2730</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30"/>
      <c r="Q35" s="1803" t="str">
        <f t="shared" ref="Q35:Q40" si="14">B35</f>
        <v>宗地形状</v>
      </c>
      <c r="R35" s="770" t="s">
        <v>17</v>
      </c>
      <c r="S35" s="771">
        <f t="shared" si="10"/>
        <v>100</v>
      </c>
      <c r="T35" s="770" t="s">
        <v>17</v>
      </c>
      <c r="U35" s="771">
        <f t="shared" si="11"/>
        <v>100</v>
      </c>
      <c r="V35" s="770" t="s">
        <v>17</v>
      </c>
      <c r="W35" s="771">
        <f t="shared" si="12"/>
        <v>100</v>
      </c>
      <c r="X35" s="1806"/>
      <c r="Y35" s="3230"/>
      <c r="Z35" s="1807" t="str">
        <f t="shared" si="13"/>
        <v>宗地形状</v>
      </c>
      <c r="AA35" s="1804">
        <f t="shared" si="3"/>
        <v>1</v>
      </c>
      <c r="AB35" s="1804">
        <f t="shared" si="4"/>
        <v>1</v>
      </c>
      <c r="AC35" s="1804">
        <f t="shared" si="5"/>
        <v>1</v>
      </c>
    </row>
    <row r="36" spans="1:29" s="117" customFormat="1" ht="15">
      <c r="A36" s="470"/>
      <c r="B36" s="419" t="s">
        <v>2732</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30"/>
      <c r="Q36" s="1803" t="str">
        <f t="shared" si="14"/>
        <v>宗地开发程度</v>
      </c>
      <c r="R36" s="766" t="s">
        <v>17</v>
      </c>
      <c r="S36" s="767">
        <f t="shared" si="10"/>
        <v>100</v>
      </c>
      <c r="T36" s="766" t="s">
        <v>17</v>
      </c>
      <c r="U36" s="767">
        <f t="shared" si="11"/>
        <v>100</v>
      </c>
      <c r="V36" s="766" t="s">
        <v>17</v>
      </c>
      <c r="W36" s="767">
        <f t="shared" si="12"/>
        <v>100</v>
      </c>
      <c r="X36" s="768"/>
      <c r="Y36" s="3230"/>
      <c r="Z36" s="55" t="str">
        <f t="shared" si="13"/>
        <v>宗地开发程度</v>
      </c>
      <c r="AA36" s="769">
        <f t="shared" si="3"/>
        <v>1</v>
      </c>
      <c r="AB36" s="769">
        <f t="shared" si="4"/>
        <v>1</v>
      </c>
      <c r="AC36" s="769">
        <f t="shared" si="5"/>
        <v>1</v>
      </c>
    </row>
    <row r="37" spans="1:29" ht="15">
      <c r="A37" s="469"/>
      <c r="B37" s="419" t="s">
        <v>2733</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30" t="s">
        <v>2543</v>
      </c>
      <c r="Q37" s="1803" t="str">
        <f t="shared" si="14"/>
        <v>工程地质条件</v>
      </c>
      <c r="R37" s="770" t="s">
        <v>17</v>
      </c>
      <c r="S37" s="771">
        <f t="shared" si="10"/>
        <v>100</v>
      </c>
      <c r="T37" s="770" t="s">
        <v>17</v>
      </c>
      <c r="U37" s="771">
        <f t="shared" si="11"/>
        <v>100</v>
      </c>
      <c r="V37" s="770" t="s">
        <v>17</v>
      </c>
      <c r="W37" s="771">
        <f t="shared" si="12"/>
        <v>100</v>
      </c>
      <c r="X37" s="1806"/>
      <c r="Y37" s="3230" t="s">
        <v>2543</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30"/>
      <c r="Q38" s="1803">
        <f t="shared" si="14"/>
        <v>111</v>
      </c>
      <c r="R38" s="770" t="s">
        <v>17</v>
      </c>
      <c r="S38" s="771">
        <f t="shared" si="10"/>
        <v>100</v>
      </c>
      <c r="T38" s="770" t="s">
        <v>17</v>
      </c>
      <c r="U38" s="771">
        <f t="shared" si="11"/>
        <v>100</v>
      </c>
      <c r="V38" s="770" t="s">
        <v>17</v>
      </c>
      <c r="W38" s="771">
        <f t="shared" si="12"/>
        <v>100</v>
      </c>
      <c r="X38" s="1806"/>
      <c r="Y38" s="3230"/>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30"/>
      <c r="Q39" s="1803">
        <f t="shared" si="14"/>
        <v>111</v>
      </c>
      <c r="R39" s="770" t="s">
        <v>17</v>
      </c>
      <c r="S39" s="771">
        <f t="shared" si="10"/>
        <v>100</v>
      </c>
      <c r="T39" s="770" t="s">
        <v>17</v>
      </c>
      <c r="U39" s="771">
        <f t="shared" si="11"/>
        <v>100</v>
      </c>
      <c r="V39" s="770" t="s">
        <v>17</v>
      </c>
      <c r="W39" s="771">
        <f t="shared" si="12"/>
        <v>100</v>
      </c>
      <c r="X39" s="1806"/>
      <c r="Y39" s="3230"/>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30"/>
      <c r="Q40" s="1803">
        <f t="shared" si="14"/>
        <v>111</v>
      </c>
      <c r="R40" s="773" t="s">
        <v>17</v>
      </c>
      <c r="S40" s="774">
        <f t="shared" si="10"/>
        <v>100</v>
      </c>
      <c r="T40" s="773" t="s">
        <v>17</v>
      </c>
      <c r="U40" s="774">
        <f t="shared" si="11"/>
        <v>100</v>
      </c>
      <c r="V40" s="773" t="s">
        <v>17</v>
      </c>
      <c r="W40" s="774">
        <f t="shared" si="12"/>
        <v>100</v>
      </c>
      <c r="X40" s="775"/>
      <c r="Y40" s="3230"/>
      <c r="Z40" s="776">
        <f t="shared" si="13"/>
        <v>111</v>
      </c>
      <c r="AA40" s="1804">
        <f t="shared" si="3"/>
        <v>1</v>
      </c>
      <c r="AB40" s="1804">
        <f t="shared" si="4"/>
        <v>1</v>
      </c>
      <c r="AC40" s="1804">
        <f t="shared" si="5"/>
        <v>1</v>
      </c>
    </row>
    <row r="41" spans="1:29" ht="15">
      <c r="A41" s="476" t="s">
        <v>2698</v>
      </c>
      <c r="B41" s="2696" t="s">
        <v>2778</v>
      </c>
      <c r="C41" s="678" t="s">
        <v>1</v>
      </c>
      <c r="D41" s="478"/>
      <c r="E41" s="479"/>
      <c r="F41" s="480"/>
      <c r="G41" s="481"/>
      <c r="H41" s="482"/>
      <c r="I41" s="479"/>
      <c r="J41" s="482"/>
      <c r="K41" s="779"/>
      <c r="L41" s="1137"/>
      <c r="M41" s="1125"/>
      <c r="N41" s="1125"/>
      <c r="O41" s="1138"/>
      <c r="P41" s="3225" t="str">
        <f>A41</f>
        <v>成交单价</v>
      </c>
      <c r="Q41" s="3225"/>
      <c r="R41" s="3231">
        <f>E41</f>
        <v>0</v>
      </c>
      <c r="S41" s="3231"/>
      <c r="T41" s="3231">
        <f>G41</f>
        <v>0</v>
      </c>
      <c r="U41" s="3231"/>
      <c r="V41" s="3231">
        <f>I41</f>
        <v>0</v>
      </c>
      <c r="W41" s="3231"/>
      <c r="X41" s="755"/>
      <c r="Y41" s="777"/>
      <c r="Z41" s="755"/>
      <c r="AA41" s="755"/>
      <c r="AB41" s="755"/>
      <c r="AC41" s="755"/>
    </row>
    <row r="42" spans="1:29" ht="15.75" thickBot="1">
      <c r="A42" s="483" t="s">
        <v>2647</v>
      </c>
      <c r="B42" s="679"/>
      <c r="C42" s="487" t="e">
        <f>R43</f>
        <v>#DIV/0!</v>
      </c>
      <c r="D42" s="486"/>
      <c r="E42" s="487" t="e">
        <f>R42</f>
        <v>#DIV/0!</v>
      </c>
      <c r="F42" s="488"/>
      <c r="G42" s="485" t="e">
        <f>T42</f>
        <v>#DIV/0!</v>
      </c>
      <c r="H42" s="486"/>
      <c r="I42" s="487" t="e">
        <f>V42</f>
        <v>#DIV/0!</v>
      </c>
      <c r="J42" s="486"/>
      <c r="K42" s="780"/>
      <c r="L42" s="1137"/>
      <c r="M42" s="1125"/>
      <c r="N42" s="1125"/>
      <c r="O42" s="1138"/>
      <c r="P42" s="3225" t="str">
        <f>A42</f>
        <v>比较价值（元/平方米）</v>
      </c>
      <c r="Q42" s="3225"/>
      <c r="R42" s="3218" t="e">
        <f>ROUND(PRODUCT(R41,AA7:AA40),0)</f>
        <v>#DIV/0!</v>
      </c>
      <c r="S42" s="3218"/>
      <c r="T42" s="3218" t="e">
        <f>ROUND(PRODUCT(T41,AB7:AB40),0)</f>
        <v>#DIV/0!</v>
      </c>
      <c r="U42" s="3218"/>
      <c r="V42" s="3218" t="e">
        <f>ROUND(PRODUCT(V41,AC7:AC40),0)</f>
        <v>#DIV/0!</v>
      </c>
      <c r="W42" s="3218"/>
      <c r="X42" s="755"/>
      <c r="Y42" s="755"/>
      <c r="Z42" s="755"/>
      <c r="AA42" s="755"/>
      <c r="AB42" s="755"/>
      <c r="AC42" s="755"/>
    </row>
    <row r="43" spans="1:29" ht="15.75" thickBot="1">
      <c r="A43" s="489" t="s">
        <v>2648</v>
      </c>
      <c r="B43" s="490"/>
      <c r="C43" s="491" t="e">
        <f>R43</f>
        <v>#DIV/0!</v>
      </c>
      <c r="D43" s="491"/>
      <c r="E43" s="491"/>
      <c r="F43" s="491"/>
      <c r="G43" s="491"/>
      <c r="H43" s="491"/>
      <c r="I43" s="491"/>
      <c r="J43" s="491"/>
      <c r="K43" s="781"/>
      <c r="L43" s="1137"/>
      <c r="M43" s="1125"/>
      <c r="N43" s="1125"/>
      <c r="O43" s="1138"/>
      <c r="P43" s="3219" t="str">
        <f>A43</f>
        <v>估价对象XX用房的比较价值（楼面单价，元/平方米）</v>
      </c>
      <c r="Q43" s="3220"/>
      <c r="R43" s="3221" t="e">
        <f>ROUND(AVERAGE(R42:V42),0)</f>
        <v>#DIV/0!</v>
      </c>
      <c r="S43" s="3221"/>
      <c r="T43" s="3221"/>
      <c r="U43" s="3221"/>
      <c r="V43" s="3221"/>
      <c r="W43" s="3221"/>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2736</v>
      </c>
      <c r="B50" s="681" t="s">
        <v>2737</v>
      </c>
      <c r="C50" s="2697" t="s">
        <v>2738</v>
      </c>
      <c r="D50" s="2698" t="s">
        <v>2739</v>
      </c>
      <c r="E50" s="682" t="s">
        <v>2740</v>
      </c>
      <c r="F50" s="683" t="s">
        <v>2741</v>
      </c>
      <c r="G50" s="3222" t="s">
        <v>2742</v>
      </c>
      <c r="H50" s="3223"/>
      <c r="I50" s="1807" t="s">
        <v>2779</v>
      </c>
      <c r="J50" s="1807">
        <f>项目基本情况!F35</f>
        <v>0</v>
      </c>
      <c r="K50" s="2700" t="s">
        <v>2744</v>
      </c>
      <c r="L50" s="1100"/>
      <c r="M50" s="1138"/>
      <c r="N50" s="1138"/>
      <c r="O50" s="1138"/>
    </row>
    <row r="51" spans="1:17" s="688" customFormat="1">
      <c r="A51" s="684" t="s">
        <v>2745</v>
      </c>
      <c r="B51" s="685" t="e">
        <f>C43</f>
        <v>#DIV/0!</v>
      </c>
      <c r="C51" s="686">
        <v>1</v>
      </c>
      <c r="D51" s="1157">
        <v>1</v>
      </c>
      <c r="E51" s="686">
        <f>'数据-汇总表'!E8+'数据-汇总表'!E9</f>
        <v>109309.91</v>
      </c>
      <c r="F51" s="687" t="e">
        <f t="shared" ref="F51:F60" si="15">ROUND(B51*E51/10000,0)</f>
        <v>#DIV/0!</v>
      </c>
      <c r="G51" s="3224"/>
      <c r="H51" s="3225"/>
      <c r="I51" s="937">
        <v>1</v>
      </c>
      <c r="J51" s="937">
        <v>1</v>
      </c>
      <c r="K51" s="1139"/>
      <c r="L51" s="936"/>
      <c r="M51" s="936"/>
      <c r="N51" s="936"/>
      <c r="O51" s="936"/>
    </row>
    <row r="52" spans="1:17" s="688" customFormat="1">
      <c r="A52" s="689" t="s">
        <v>2746</v>
      </c>
      <c r="B52" s="259" t="e">
        <f>ROUND($C$43*C52*D52,0)</f>
        <v>#DIV/0!</v>
      </c>
      <c r="C52" s="197">
        <f t="shared" ref="C52:C60" si="16">IF($C$50="北京市系数",I52,J52)</f>
        <v>0.7</v>
      </c>
      <c r="D52" s="1158">
        <v>0.25</v>
      </c>
      <c r="E52" s="690"/>
      <c r="F52" s="687" t="e">
        <f t="shared" si="15"/>
        <v>#DIV/0!</v>
      </c>
      <c r="G52" s="3226" t="s">
        <v>2747</v>
      </c>
      <c r="H52" s="1098" t="str">
        <f>项目基本情况!B37</f>
        <v>五级</v>
      </c>
      <c r="I52" s="937">
        <f>SUMIF(修正!A45:A56,H52,修正!B45:B56)</f>
        <v>0.7</v>
      </c>
      <c r="J52" s="938"/>
      <c r="K52" s="1138"/>
      <c r="L52" s="936"/>
      <c r="M52" s="936"/>
      <c r="N52" s="936"/>
      <c r="O52" s="936"/>
    </row>
    <row r="53" spans="1:17" s="688" customFormat="1">
      <c r="A53" s="689" t="s">
        <v>2748</v>
      </c>
      <c r="B53" s="259" t="e">
        <f t="shared" ref="B53:B60" si="17">ROUND($C$43*C53*D53,0)</f>
        <v>#DIV/0!</v>
      </c>
      <c r="C53" s="197">
        <f t="shared" si="16"/>
        <v>0.4</v>
      </c>
      <c r="D53" s="1158">
        <v>0.25</v>
      </c>
      <c r="E53" s="690"/>
      <c r="F53" s="687" t="e">
        <f t="shared" si="15"/>
        <v>#DIV/0!</v>
      </c>
      <c r="G53" s="3226"/>
      <c r="H53" s="1098" t="str">
        <f>项目基本情况!B37</f>
        <v>五级</v>
      </c>
      <c r="I53" s="937">
        <f>SUMIF(修正!A45:A56,H53,修正!C45:C56)</f>
        <v>0.4</v>
      </c>
      <c r="J53" s="938"/>
      <c r="K53" s="1139"/>
      <c r="L53" s="936"/>
      <c r="M53" s="936"/>
      <c r="N53" s="936"/>
      <c r="O53" s="936"/>
    </row>
    <row r="54" spans="1:17" s="688" customFormat="1">
      <c r="A54" s="689" t="s">
        <v>2749</v>
      </c>
      <c r="B54" s="259" t="e">
        <f t="shared" si="17"/>
        <v>#DIV/0!</v>
      </c>
      <c r="C54" s="197">
        <f t="shared" si="16"/>
        <v>0.28000000000000003</v>
      </c>
      <c r="D54" s="1158">
        <v>0.25</v>
      </c>
      <c r="E54" s="690"/>
      <c r="F54" s="687" t="e">
        <f t="shared" si="15"/>
        <v>#DIV/0!</v>
      </c>
      <c r="G54" s="3226"/>
      <c r="H54" s="1098" t="str">
        <f>项目基本情况!B37</f>
        <v>五级</v>
      </c>
      <c r="I54" s="937">
        <f>SUMIF(修正!A45:A56,H54,修正!D45:D56)</f>
        <v>0.28000000000000003</v>
      </c>
      <c r="J54" s="938"/>
      <c r="K54" s="1138"/>
      <c r="L54" s="936"/>
      <c r="M54" s="936"/>
      <c r="N54" s="936"/>
      <c r="O54" s="936"/>
    </row>
    <row r="55" spans="1:17" s="688" customFormat="1">
      <c r="A55" s="689" t="s">
        <v>2750</v>
      </c>
      <c r="B55" s="259" t="e">
        <f t="shared" si="17"/>
        <v>#DIV/0!</v>
      </c>
      <c r="C55" s="197">
        <f t="shared" si="16"/>
        <v>0.25</v>
      </c>
      <c r="D55" s="1158">
        <v>0.25</v>
      </c>
      <c r="E55" s="690"/>
      <c r="F55" s="687" t="e">
        <f t="shared" si="15"/>
        <v>#DIV/0!</v>
      </c>
      <c r="G55" s="3226"/>
      <c r="H55" s="1098" t="str">
        <f>项目基本情况!B37</f>
        <v>五级</v>
      </c>
      <c r="I55" s="937">
        <f>SUMIF(修正!A45:A56,H55,修正!E45:E56)</f>
        <v>0.25</v>
      </c>
      <c r="J55" s="938"/>
      <c r="K55" s="1139"/>
      <c r="L55" s="936"/>
      <c r="M55" s="936"/>
      <c r="N55" s="936"/>
      <c r="O55" s="936"/>
    </row>
    <row r="56" spans="1:17" s="688" customFormat="1">
      <c r="A56" s="689" t="s">
        <v>2751</v>
      </c>
      <c r="B56" s="259" t="e">
        <f t="shared" si="17"/>
        <v>#DIV/0!</v>
      </c>
      <c r="C56" s="197">
        <f t="shared" si="16"/>
        <v>0.25</v>
      </c>
      <c r="D56" s="1158">
        <v>0.25</v>
      </c>
      <c r="E56" s="258">
        <f>'数据-汇总表'!E11</f>
        <v>0</v>
      </c>
      <c r="F56" s="687" t="e">
        <f t="shared" si="15"/>
        <v>#DIV/0!</v>
      </c>
      <c r="G56" s="2701" t="s">
        <v>2752</v>
      </c>
      <c r="H56" s="1098" t="str">
        <f>项目基本情况!C37</f>
        <v>五级</v>
      </c>
      <c r="I56" s="937">
        <f>SUMIF(修正!A45:A56,H56,修正!F45:F56)</f>
        <v>0.25</v>
      </c>
      <c r="J56" s="938"/>
      <c r="K56" s="1138"/>
      <c r="L56" s="936"/>
      <c r="M56" s="936"/>
      <c r="N56" s="936"/>
      <c r="O56" s="936"/>
    </row>
    <row r="57" spans="1:17" s="688" customFormat="1">
      <c r="A57" s="689" t="s">
        <v>2753</v>
      </c>
      <c r="B57" s="259" t="e">
        <f t="shared" si="17"/>
        <v>#DIV/0!</v>
      </c>
      <c r="C57" s="197">
        <f t="shared" si="16"/>
        <v>0.25</v>
      </c>
      <c r="D57" s="1158">
        <v>0.25</v>
      </c>
      <c r="E57" s="258">
        <f>'数据-汇总表'!E12</f>
        <v>0</v>
      </c>
      <c r="F57" s="687" t="e">
        <f t="shared" si="15"/>
        <v>#DIV/0!</v>
      </c>
      <c r="G57" s="1103" t="s">
        <v>2754</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2755</v>
      </c>
      <c r="B58" s="259" t="e">
        <f t="shared" si="17"/>
        <v>#DIV/0!</v>
      </c>
      <c r="C58" s="197">
        <f t="shared" si="16"/>
        <v>0.2</v>
      </c>
      <c r="D58" s="1158">
        <v>0.25</v>
      </c>
      <c r="E58" s="258">
        <f>'数据-汇总表'!E13</f>
        <v>17080</v>
      </c>
      <c r="F58" s="687" t="e">
        <f t="shared" si="15"/>
        <v>#DIV/0!</v>
      </c>
      <c r="G58" s="1103" t="s">
        <v>2756</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2757</v>
      </c>
      <c r="B59" s="259" t="e">
        <f t="shared" si="17"/>
        <v>#DIV/0!</v>
      </c>
      <c r="C59" s="197">
        <f t="shared" si="16"/>
        <v>0.2</v>
      </c>
      <c r="D59" s="1158">
        <v>0.25</v>
      </c>
      <c r="E59" s="258">
        <f>'数据-汇总表'!E14</f>
        <v>0</v>
      </c>
      <c r="F59" s="687" t="e">
        <f t="shared" si="15"/>
        <v>#DIV/0!</v>
      </c>
      <c r="G59" s="2701" t="s">
        <v>2747</v>
      </c>
      <c r="H59" s="1098" t="str">
        <f>项目基本情况!B37</f>
        <v>五级</v>
      </c>
      <c r="I59" s="937">
        <f>SUMIF(修正!A45:A56,H59,修正!H45:H56)</f>
        <v>0.2</v>
      </c>
      <c r="J59" s="938"/>
      <c r="K59" s="1139"/>
      <c r="L59" s="936"/>
      <c r="M59" s="936"/>
      <c r="N59" s="936"/>
      <c r="O59" s="936"/>
    </row>
    <row r="60" spans="1:17" s="688" customFormat="1" ht="15" thickBot="1">
      <c r="A60" s="689" t="s">
        <v>2758</v>
      </c>
      <c r="B60" s="259" t="e">
        <f t="shared" si="17"/>
        <v>#DIV/0!</v>
      </c>
      <c r="C60" s="197">
        <f t="shared" si="16"/>
        <v>0.2</v>
      </c>
      <c r="D60" s="1158">
        <v>0.25</v>
      </c>
      <c r="E60" s="258">
        <f>'数据-汇总表'!E15</f>
        <v>0</v>
      </c>
      <c r="F60" s="687" t="e">
        <f t="shared" si="15"/>
        <v>#DIV/0!</v>
      </c>
      <c r="G60" s="2702" t="s">
        <v>2752</v>
      </c>
      <c r="H60" s="1108" t="str">
        <f>项目基本情况!C37</f>
        <v>五级</v>
      </c>
      <c r="I60" s="937">
        <f>SUMIF(修正!A45:A56,H60,修正!H45:H56)</f>
        <v>0.2</v>
      </c>
      <c r="J60" s="938"/>
      <c r="K60" s="1138"/>
      <c r="L60" s="936"/>
      <c r="M60" s="936"/>
      <c r="N60" s="936"/>
      <c r="O60" s="936"/>
    </row>
    <row r="61" spans="1:17" s="688" customFormat="1" ht="15" thickBot="1">
      <c r="A61" s="691" t="s">
        <v>2759</v>
      </c>
      <c r="B61" s="692" t="s">
        <v>28</v>
      </c>
      <c r="C61" s="692" t="s">
        <v>29</v>
      </c>
      <c r="D61" s="692" t="s">
        <v>1029</v>
      </c>
      <c r="E61" s="692">
        <f>IF(B41="楼面地价",SUM(E51:E60),'数据-汇总表'!D3)</f>
        <v>27500</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2652</v>
      </c>
      <c r="B64" s="755"/>
      <c r="C64" s="760"/>
      <c r="D64" s="760"/>
      <c r="E64" s="760"/>
      <c r="F64" s="761"/>
      <c r="G64" s="761"/>
      <c r="H64" s="760"/>
      <c r="I64" s="760"/>
      <c r="J64" s="760"/>
      <c r="K64" s="762"/>
      <c r="L64" s="763"/>
      <c r="M64" s="760"/>
      <c r="N64" s="760"/>
      <c r="O64" s="1153"/>
      <c r="P64" s="500"/>
      <c r="Q64" s="501"/>
    </row>
    <row r="65" spans="1:17" s="505" customFormat="1" ht="15">
      <c r="A65" s="2703" t="s">
        <v>2760</v>
      </c>
      <c r="B65" s="1353"/>
      <c r="C65" s="1565" t="str">
        <f>YEAR(C63)&amp;"-"&amp;ROUNDUP(MONTH(C63)/3,0)</f>
        <v>2018-3</v>
      </c>
      <c r="D65" s="1565" t="str">
        <f t="shared" ref="D65:O65" si="19">YEAR(D63)&amp;"-"&amp;ROUNDUP(MONTH(D63)/3,0)</f>
        <v>2018-2</v>
      </c>
      <c r="E65" s="1565" t="str">
        <f t="shared" si="19"/>
        <v>2018-1</v>
      </c>
      <c r="F65" s="1565" t="str">
        <f t="shared" si="19"/>
        <v>2017-4</v>
      </c>
      <c r="G65" s="1565" t="str">
        <f t="shared" si="19"/>
        <v>2017-3</v>
      </c>
      <c r="H65" s="1565" t="str">
        <f t="shared" si="19"/>
        <v>2017-2</v>
      </c>
      <c r="I65" s="1565" t="str">
        <f t="shared" si="19"/>
        <v>2017-1</v>
      </c>
      <c r="J65" s="1565" t="str">
        <f t="shared" si="19"/>
        <v>2016-4</v>
      </c>
      <c r="K65" s="1565" t="str">
        <f t="shared" si="19"/>
        <v>2016-3</v>
      </c>
      <c r="L65" s="1565" t="str">
        <f t="shared" si="19"/>
        <v>2016-2</v>
      </c>
      <c r="M65" s="1565" t="str">
        <f t="shared" si="19"/>
        <v>2016-1</v>
      </c>
      <c r="N65" s="1565" t="str">
        <f t="shared" si="19"/>
        <v>2015-4</v>
      </c>
      <c r="O65" s="1565" t="str">
        <f t="shared" si="19"/>
        <v>2015-3</v>
      </c>
      <c r="P65" s="504"/>
    </row>
    <row r="66" spans="1:17" s="117" customFormat="1" ht="30.75" customHeight="1">
      <c r="A66" s="2708" t="s">
        <v>2780</v>
      </c>
      <c r="B66" s="329" t="str">
        <f>"北京市平均增长率"&amp;TEXT(基准地价修正!P24,"0.00%")</f>
        <v>北京市平均增长率0.00%</v>
      </c>
      <c r="C66" s="600">
        <v>100</v>
      </c>
      <c r="D66" s="592"/>
      <c r="E66" s="592"/>
      <c r="F66" s="592"/>
      <c r="G66" s="592"/>
      <c r="H66" s="592"/>
      <c r="I66" s="592"/>
      <c r="J66" s="592"/>
      <c r="K66" s="592"/>
      <c r="L66" s="592"/>
      <c r="M66" s="1561"/>
      <c r="N66" s="1561"/>
      <c r="O66" s="1562"/>
      <c r="P66" s="501"/>
    </row>
    <row r="67" spans="1:17" s="117" customFormat="1" ht="15.75" thickBot="1">
      <c r="A67" s="512" t="s">
        <v>2563</v>
      </c>
      <c r="B67" s="513"/>
      <c r="C67" s="514"/>
      <c r="D67" s="515"/>
      <c r="E67" s="515"/>
      <c r="F67" s="515"/>
      <c r="G67" s="515"/>
      <c r="H67" s="515"/>
      <c r="I67" s="515"/>
      <c r="J67" s="515"/>
      <c r="K67" s="515"/>
      <c r="L67" s="515"/>
      <c r="M67" s="516"/>
      <c r="N67" s="516"/>
      <c r="O67" s="517"/>
      <c r="P67" s="501"/>
      <c r="Q67" s="501"/>
    </row>
    <row r="68" spans="1:17" s="117" customFormat="1" ht="15">
      <c r="A68" s="518" t="s">
        <v>2528</v>
      </c>
      <c r="B68" s="507"/>
      <c r="C68" s="519" t="s">
        <v>2630</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2566</v>
      </c>
      <c r="B70" s="525" t="s">
        <v>2532</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2535</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2536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2537</v>
      </c>
      <c r="B83" s="525" t="s">
        <v>2683</v>
      </c>
      <c r="C83" s="570" t="s">
        <v>2575</v>
      </c>
      <c r="D83" s="570" t="s">
        <v>2576</v>
      </c>
      <c r="E83" s="570" t="s">
        <v>2577</v>
      </c>
      <c r="F83" s="570" t="s">
        <v>2578</v>
      </c>
      <c r="G83" s="570" t="s">
        <v>2579</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2580</v>
      </c>
      <c r="C85" s="575" t="s">
        <v>2575</v>
      </c>
      <c r="D85" s="575" t="s">
        <v>2576</v>
      </c>
      <c r="E85" s="575" t="s">
        <v>2577</v>
      </c>
      <c r="F85" s="575" t="s">
        <v>2578</v>
      </c>
      <c r="G85" s="575" t="s">
        <v>2579</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2763</v>
      </c>
      <c r="C87" s="570" t="s">
        <v>2575</v>
      </c>
      <c r="D87" s="570" t="s">
        <v>2576</v>
      </c>
      <c r="E87" s="570" t="s">
        <v>2577</v>
      </c>
      <c r="F87" s="570" t="s">
        <v>2578</v>
      </c>
      <c r="G87" s="570" t="s">
        <v>2579</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2764</v>
      </c>
      <c r="C89" s="570" t="s">
        <v>2575</v>
      </c>
      <c r="D89" s="570" t="s">
        <v>2576</v>
      </c>
      <c r="E89" s="570" t="s">
        <v>2577</v>
      </c>
      <c r="F89" s="570" t="s">
        <v>2578</v>
      </c>
      <c r="G89" s="570" t="s">
        <v>2579</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2632</v>
      </c>
      <c r="C91" s="570" t="s">
        <v>2575</v>
      </c>
      <c r="D91" s="570" t="s">
        <v>2576</v>
      </c>
      <c r="E91" s="570" t="s">
        <v>2577</v>
      </c>
      <c r="F91" s="570" t="s">
        <v>2578</v>
      </c>
      <c r="G91" s="570" t="s">
        <v>2579</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2781</v>
      </c>
      <c r="C93" s="656" t="s">
        <v>2653</v>
      </c>
      <c r="D93" s="656" t="s">
        <v>2654</v>
      </c>
      <c r="E93" s="656" t="s">
        <v>2655</v>
      </c>
      <c r="F93" s="656" t="s">
        <v>2656</v>
      </c>
      <c r="G93" s="656" t="s">
        <v>2657</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2765</v>
      </c>
      <c r="D95" s="536" t="s">
        <v>2766</v>
      </c>
      <c r="E95" s="536" t="s">
        <v>2767</v>
      </c>
      <c r="F95" s="536" t="s">
        <v>2768</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2669</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2728</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2541</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2770</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2772</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2773</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2782</v>
      </c>
      <c r="B1" s="238"/>
      <c r="C1" s="242" t="s">
        <v>2783</v>
      </c>
      <c r="D1" s="385">
        <f>SUM(D29:D30,D33:D39)</f>
        <v>0</v>
      </c>
      <c r="E1" s="2709"/>
      <c r="F1" s="2709"/>
      <c r="G1" s="2709"/>
      <c r="H1" s="2709"/>
      <c r="I1" s="2709"/>
      <c r="J1" s="2709"/>
      <c r="K1" s="1364"/>
      <c r="L1" s="2710" t="s">
        <v>2784</v>
      </c>
      <c r="M1" s="1074">
        <f>SUMPRODUCT((区片价!B5:B9=I2)*(区片价!C3:F3=E2)*(区片价!C5:F9))</f>
        <v>0</v>
      </c>
      <c r="N1" s="1077">
        <f>SUMPRODUCT((因素修正幅度!B5:B9=I2)*(因素修正幅度!C3:F3=E2)*(因素修正幅度!C5:F9))</f>
        <v>0</v>
      </c>
      <c r="O1" s="2711"/>
      <c r="P1" s="2711"/>
      <c r="Q1" s="1364"/>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2" t="s">
        <v>2790</v>
      </c>
      <c r="B2" s="245" t="e">
        <f>C26</f>
        <v>#DIV/0!</v>
      </c>
      <c r="C2" s="2713" t="s">
        <v>2791</v>
      </c>
      <c r="D2" s="2714" t="s">
        <v>2792</v>
      </c>
      <c r="E2" s="2715"/>
      <c r="F2" s="2714" t="s">
        <v>2793</v>
      </c>
      <c r="G2" s="2716" t="str">
        <f>IF(E2="商业",项目基本情况!B37,IF(E2="办公",项目基本情况!C37,IF(E2="住宅",项目基本情况!D37,项目基本情况!E37)))</f>
        <v>五级</v>
      </c>
      <c r="H2" s="2714" t="s">
        <v>2794</v>
      </c>
      <c r="I2" s="2716" t="str">
        <f>IF(E2="商业",项目基本情况!B38,IF(E2="办公",项目基本情况!C38,IF(E2="住宅",项目基本情况!D38,项目基本情况!E38)))</f>
        <v>Ⅴ-16</v>
      </c>
      <c r="J2" s="2717"/>
      <c r="K2" s="1364"/>
      <c r="L2" s="2718" t="s">
        <v>2795</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2796</v>
      </c>
      <c r="B3" s="245" t="e">
        <f>ROUND(B2*10000/D1,0)</f>
        <v>#DIV/0!</v>
      </c>
      <c r="C3" s="2713" t="s">
        <v>2797</v>
      </c>
      <c r="D3" s="2714" t="s">
        <v>2798</v>
      </c>
      <c r="E3" s="2719"/>
      <c r="F3" s="2720" t="s">
        <v>2799</v>
      </c>
      <c r="G3" s="908">
        <f>IF(F3="宗地容积率",'数据-汇总表'!I4,IF(F3="估价对象容积率",'数据-汇总表'!I6,'数据-汇总表'!I7))</f>
        <v>3.97</v>
      </c>
      <c r="H3" s="195" t="s">
        <v>2800</v>
      </c>
      <c r="I3" s="939"/>
      <c r="J3" s="2717" t="s">
        <v>2801</v>
      </c>
      <c r="K3" s="1364"/>
      <c r="L3" s="2718" t="s">
        <v>2802</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20"/>
      <c r="B4" s="3321"/>
      <c r="C4" s="3321"/>
      <c r="D4" s="3322"/>
      <c r="E4" s="3322"/>
      <c r="F4" s="3322"/>
      <c r="G4" s="3322"/>
      <c r="H4" s="3322"/>
      <c r="I4" s="3322"/>
      <c r="J4" s="3323"/>
      <c r="K4" s="1364"/>
      <c r="L4" s="2718" t="s">
        <v>2803</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2804</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2805</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2806</v>
      </c>
      <c r="B6" s="2732" t="s">
        <v>2807</v>
      </c>
      <c r="C6" s="910">
        <f>SUMIF(L1:L12,G2,M1:M12)</f>
        <v>0</v>
      </c>
      <c r="D6" s="2733" t="s">
        <v>2808</v>
      </c>
      <c r="E6" s="2734"/>
      <c r="F6" s="2734"/>
      <c r="G6" s="2735"/>
      <c r="H6" s="2735"/>
      <c r="I6" s="2735"/>
      <c r="J6" s="2736"/>
      <c r="K6" s="1835"/>
      <c r="L6" s="2718" t="s">
        <v>2809</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24" t="str">
        <f>IF(E2="商业",IF(C8="不临58条商业街","",2),"")</f>
        <v/>
      </c>
      <c r="B7" s="2737" t="s">
        <v>2810</v>
      </c>
      <c r="C7" s="911" t="e">
        <f>IF(C8="不临58条商业街",1,ROUND(1+(1.6*E8+1.2*E9+0.8*E10+0.4*E11)*C9,4))</f>
        <v>#DIV/0!</v>
      </c>
      <c r="D7" s="2738" t="s">
        <v>2811</v>
      </c>
      <c r="E7" s="940"/>
      <c r="F7" s="2739"/>
      <c r="G7" s="2740"/>
      <c r="H7" s="2740"/>
      <c r="I7" s="2740"/>
      <c r="J7" s="2741"/>
      <c r="K7" s="1835"/>
      <c r="L7" s="2718" t="s">
        <v>2812</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2813</v>
      </c>
      <c r="X7" s="1597" t="str">
        <f>G2</f>
        <v>五级</v>
      </c>
      <c r="Y7" s="1597" t="s">
        <v>2814</v>
      </c>
      <c r="Z7" s="1598">
        <f>G3</f>
        <v>3.97</v>
      </c>
      <c r="AA7" s="1599"/>
      <c r="AB7" s="1599"/>
      <c r="AC7" s="1600"/>
      <c r="AD7" s="1601"/>
      <c r="AE7" s="1601"/>
      <c r="AF7" s="1601"/>
      <c r="AG7" s="1601"/>
      <c r="AH7" s="1601"/>
      <c r="AI7" s="1601"/>
      <c r="AJ7" s="1602"/>
    </row>
    <row r="8" spans="1:36" ht="15">
      <c r="A8" s="3325"/>
      <c r="B8" s="195" t="s">
        <v>2815</v>
      </c>
      <c r="C8" s="2742"/>
      <c r="D8" s="912" t="s">
        <v>139</v>
      </c>
      <c r="E8" s="913" t="e">
        <f>ROUND(C11/E7,4)</f>
        <v>#DIV/0!</v>
      </c>
      <c r="F8" s="2743" t="s">
        <v>2816</v>
      </c>
      <c r="G8" s="2744"/>
      <c r="H8" s="2744"/>
      <c r="I8" s="2744"/>
      <c r="J8" s="2745"/>
      <c r="K8" s="1364"/>
      <c r="L8" s="2718" t="s">
        <v>2817</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317" t="s">
        <v>2818</v>
      </c>
      <c r="X8" s="3318"/>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25"/>
      <c r="B9" s="195" t="s">
        <v>2831</v>
      </c>
      <c r="C9" s="914">
        <f>SUMIF(修正!C59:C119,C8,修正!E59:E119)</f>
        <v>0</v>
      </c>
      <c r="D9" s="197" t="s">
        <v>140</v>
      </c>
      <c r="E9" s="197" t="e">
        <f>ROUND(C11/E7,4)</f>
        <v>#DIV/0!</v>
      </c>
      <c r="F9" s="2743" t="s">
        <v>2832</v>
      </c>
      <c r="G9" s="2744"/>
      <c r="H9" s="2744"/>
      <c r="I9" s="2744"/>
      <c r="J9" s="2745"/>
      <c r="K9" s="1364"/>
      <c r="L9" s="2718" t="s">
        <v>2833</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319"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25"/>
      <c r="B10" s="195" t="s">
        <v>2836</v>
      </c>
      <c r="C10" s="197">
        <f>SUMIF(修正!C59:C119,C8,修正!F59:F119)</f>
        <v>0</v>
      </c>
      <c r="D10" s="197" t="s">
        <v>141</v>
      </c>
      <c r="E10" s="197" t="e">
        <f>ROUND(C11/E7,4)</f>
        <v>#DIV/0!</v>
      </c>
      <c r="F10" s="2743" t="s">
        <v>2837</v>
      </c>
      <c r="G10" s="2744"/>
      <c r="H10" s="2744"/>
      <c r="I10" s="2744"/>
      <c r="J10" s="2745"/>
      <c r="K10" s="1364"/>
      <c r="L10" s="2718" t="s">
        <v>2838</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319"/>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25"/>
      <c r="B11" s="2746" t="s">
        <v>2839</v>
      </c>
      <c r="C11" s="915">
        <f>C10/4</f>
        <v>0</v>
      </c>
      <c r="D11" s="915" t="s">
        <v>142</v>
      </c>
      <c r="E11" s="915" t="e">
        <f>ROUND(C11/E7,4)</f>
        <v>#DIV/0!</v>
      </c>
      <c r="F11" s="2747" t="s">
        <v>2840</v>
      </c>
      <c r="G11" s="2748"/>
      <c r="H11" s="2748"/>
      <c r="I11" s="2748"/>
      <c r="J11" s="2749"/>
      <c r="K11" s="1364"/>
      <c r="L11" s="2718" t="s">
        <v>2841</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319" t="s">
        <v>2842</v>
      </c>
      <c r="X11" s="1607" t="s">
        <v>2843</v>
      </c>
      <c r="Y11" s="1608">
        <f>$G$3</f>
        <v>3.97</v>
      </c>
      <c r="Z11" s="1608">
        <f t="shared" ref="Z11:AJ11" si="3">$G$3</f>
        <v>3.97</v>
      </c>
      <c r="AA11" s="1608">
        <f t="shared" si="3"/>
        <v>3.97</v>
      </c>
      <c r="AB11" s="1608">
        <f t="shared" si="3"/>
        <v>3.97</v>
      </c>
      <c r="AC11" s="1608">
        <f t="shared" si="3"/>
        <v>3.97</v>
      </c>
      <c r="AD11" s="1608">
        <f t="shared" si="3"/>
        <v>3.97</v>
      </c>
      <c r="AE11" s="1608">
        <f t="shared" si="3"/>
        <v>3.97</v>
      </c>
      <c r="AF11" s="1608">
        <f t="shared" si="3"/>
        <v>3.97</v>
      </c>
      <c r="AG11" s="1608">
        <f t="shared" si="3"/>
        <v>3.97</v>
      </c>
      <c r="AH11" s="1608">
        <f t="shared" si="3"/>
        <v>3.97</v>
      </c>
      <c r="AI11" s="1608">
        <f t="shared" si="3"/>
        <v>3.97</v>
      </c>
      <c r="AJ11" s="1608">
        <f t="shared" si="3"/>
        <v>3.97</v>
      </c>
    </row>
    <row r="12" spans="1:36" ht="25.5" thickBot="1">
      <c r="A12" s="3324" t="s">
        <v>2844</v>
      </c>
      <c r="B12" s="2750" t="s">
        <v>2845</v>
      </c>
      <c r="C12" s="911">
        <f>ROUND(C15*D15*E15*F15*G15*H15*I15*J15,4)</f>
        <v>1</v>
      </c>
      <c r="D12" s="2751" t="s">
        <v>2846</v>
      </c>
      <c r="E12" s="2752"/>
      <c r="F12" s="2752"/>
      <c r="G12" s="2753"/>
      <c r="H12" s="2753"/>
      <c r="I12" s="2753"/>
      <c r="J12" s="2754"/>
      <c r="K12" s="1364"/>
      <c r="L12" s="2755" t="s">
        <v>2847</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319"/>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26"/>
      <c r="B13" s="2756" t="s">
        <v>2849</v>
      </c>
      <c r="C13" s="2757" t="s">
        <v>2850</v>
      </c>
      <c r="D13" s="1801" t="s">
        <v>2851</v>
      </c>
      <c r="E13" s="1801" t="s">
        <v>2852</v>
      </c>
      <c r="F13" s="30" t="s">
        <v>2853</v>
      </c>
      <c r="G13" s="2758" t="s">
        <v>2854</v>
      </c>
      <c r="H13" s="2758" t="s">
        <v>2854</v>
      </c>
      <c r="I13" s="2758" t="s">
        <v>2854</v>
      </c>
      <c r="J13" s="2759" t="s">
        <v>2854</v>
      </c>
      <c r="K13" s="1364"/>
      <c r="L13" s="1364"/>
      <c r="M13" s="1364"/>
      <c r="N13" s="1364"/>
      <c r="O13" s="1364"/>
      <c r="P13" s="1364"/>
      <c r="Q13" s="1364"/>
      <c r="R13" s="1595">
        <v>12</v>
      </c>
      <c r="S13" s="1596"/>
      <c r="T13" s="1595" t="e">
        <f t="shared" si="0"/>
        <v>#DIV/0!</v>
      </c>
      <c r="U13" s="1596"/>
      <c r="V13" s="1595" t="e">
        <f t="shared" si="1"/>
        <v>#DIV/0!</v>
      </c>
      <c r="W13" s="3319"/>
      <c r="X13" s="1609"/>
      <c r="Y13" s="1606">
        <f>(-0.163*(Y12^2)-0.59*Y12+7617)*(10^(-4))/Y11</f>
        <v>0.19186397984886649</v>
      </c>
      <c r="Z13" s="1606">
        <f t="shared" ref="Z13:AJ13" si="5">(-0.163*(Z12^2)-0.59*Z12+7617)*(10^(-4))/Z11</f>
        <v>0.19186397984886649</v>
      </c>
      <c r="AA13" s="1606">
        <f t="shared" si="5"/>
        <v>0.19186397984886649</v>
      </c>
      <c r="AB13" s="1606">
        <f t="shared" si="5"/>
        <v>0.19186397984886649</v>
      </c>
      <c r="AC13" s="1606">
        <f t="shared" si="5"/>
        <v>0.19186397984886649</v>
      </c>
      <c r="AD13" s="1606">
        <f t="shared" si="5"/>
        <v>0.19186397984886649</v>
      </c>
      <c r="AE13" s="1606">
        <f t="shared" si="5"/>
        <v>0.19186397984886649</v>
      </c>
      <c r="AF13" s="1606">
        <f t="shared" si="5"/>
        <v>0.19186397984886649</v>
      </c>
      <c r="AG13" s="1606">
        <f t="shared" si="5"/>
        <v>0.19186397984886649</v>
      </c>
      <c r="AH13" s="1606">
        <f t="shared" si="5"/>
        <v>0.19186397984886649</v>
      </c>
      <c r="AI13" s="1606">
        <f t="shared" si="5"/>
        <v>0.19186397984886649</v>
      </c>
      <c r="AJ13" s="1606">
        <f t="shared" si="5"/>
        <v>0.19186397984886649</v>
      </c>
    </row>
    <row r="14" spans="1:36" ht="15">
      <c r="A14" s="3326"/>
      <c r="B14" s="2760"/>
      <c r="C14" s="2761"/>
      <c r="D14" s="2762"/>
      <c r="E14" s="2762"/>
      <c r="F14" s="2763"/>
      <c r="G14" s="2764" t="s">
        <v>2855</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27"/>
      <c r="B15" s="2768" t="s">
        <v>2856</v>
      </c>
      <c r="C15" s="226">
        <f>IF(C14="有",1.1,1)</f>
        <v>1</v>
      </c>
      <c r="D15" s="226">
        <f>IF(D14="有",1.1,1)</f>
        <v>1</v>
      </c>
      <c r="E15" s="226">
        <f>IF(E14="有",1.1,1)</f>
        <v>1</v>
      </c>
      <c r="F15" s="226">
        <f>IF(F14="500米范围内",1.2,IF(F14="500-1000米",1.1,1))</f>
        <v>1</v>
      </c>
      <c r="G15" s="941">
        <v>1</v>
      </c>
      <c r="H15" s="941">
        <v>1</v>
      </c>
      <c r="I15" s="941">
        <v>1</v>
      </c>
      <c r="J15" s="942">
        <v>1</v>
      </c>
      <c r="K15" s="1364"/>
      <c r="L15" s="2769" t="s">
        <v>2792</v>
      </c>
      <c r="M15" s="912" t="s">
        <v>2857</v>
      </c>
      <c r="N15" s="912" t="s">
        <v>2858</v>
      </c>
      <c r="O15" s="912" t="s">
        <v>2859</v>
      </c>
      <c r="P15" s="2770" t="s">
        <v>2860</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24" t="s">
        <v>2861</v>
      </c>
      <c r="B16" s="2737" t="s">
        <v>2862</v>
      </c>
      <c r="C16" s="1794" t="e">
        <f>ROUND(SUM(G17:J17)/C17,0)</f>
        <v>#DIV/0!</v>
      </c>
      <c r="D16" s="2771" t="s">
        <v>2863</v>
      </c>
      <c r="E16" s="2772"/>
      <c r="F16" s="2773"/>
      <c r="G16" s="2774"/>
      <c r="H16" s="2774"/>
      <c r="I16" s="2774"/>
      <c r="J16" s="2775"/>
      <c r="K16" s="1364"/>
      <c r="L16" s="2776" t="s">
        <v>2864</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25"/>
      <c r="B17" s="2777" t="s">
        <v>2865</v>
      </c>
      <c r="C17" s="916">
        <f>SUMPRODUCT((修正!A2:A5=E2)*(修正!B1:M1=G2)*(修正!B2:M5))</f>
        <v>0</v>
      </c>
      <c r="D17" s="2778" t="s">
        <v>2866</v>
      </c>
      <c r="E17" s="915" t="str">
        <f>IF(OR(G2="八级",G2="九级",G2="十级",G2="十一级",G2="十二级"),"五通一平","七通一平")</f>
        <v>七通一平</v>
      </c>
      <c r="F17" s="916" t="s">
        <v>2867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2868</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2869</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2870</v>
      </c>
      <c r="C19" s="919" t="e">
        <f>ROUND(IF(H19="按公示增长率计算",SUMPRODUCT((地价!A3:A22=YEAR(G19)&amp;"-"&amp;ROUNDUP(MONTH(G19)/3,0))*(地价!X2:AB2=E2)*(地价!X3:AB22)),IF(H19="地价指数",M20/M19,(1+I19)^O19)),4)</f>
        <v>#DIV/0!</v>
      </c>
      <c r="D19" s="2789" t="s">
        <v>2871</v>
      </c>
      <c r="E19" s="920">
        <v>41640</v>
      </c>
      <c r="F19" s="2789" t="s">
        <v>2872</v>
      </c>
      <c r="G19" s="921">
        <f>'数据-取费表'!B2</f>
        <v>43363</v>
      </c>
      <c r="H19" s="2790" t="s">
        <v>2873</v>
      </c>
      <c r="I19" s="922" t="str">
        <f>IF(H19="季度增幅（自定义）",SUMIF(N21:N24,E2,O21:O24),"")</f>
        <v/>
      </c>
      <c r="J19" s="2787"/>
      <c r="K19" s="1371"/>
      <c r="L19" s="2791" t="s">
        <v>2874</v>
      </c>
      <c r="M19" s="1727">
        <f>ROUND(SUMIF(地价!B2:F2,E2,地价!B22:F22),0)</f>
        <v>0</v>
      </c>
      <c r="N19" s="2792" t="s">
        <v>2875</v>
      </c>
      <c r="O19" s="923">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2876</v>
      </c>
      <c r="C20" s="924" t="e">
        <f>ROUND(POWER(1+G20,J20-I20)*(POWER(1+G20,I20)-1)/(POWER(1+G20,J20)-1),4)</f>
        <v>#DIV/0!</v>
      </c>
      <c r="D20" s="2798" t="s">
        <v>2877</v>
      </c>
      <c r="E20" s="1761">
        <f ca="1">存贷款利率!D4/100</f>
        <v>4.3499999999999997E-2</v>
      </c>
      <c r="F20" s="2798" t="s">
        <v>2868</v>
      </c>
      <c r="G20" s="929">
        <f>SUMIF(M15:P15,E2,M17:P17)</f>
        <v>0</v>
      </c>
      <c r="H20" s="2798" t="s">
        <v>2878</v>
      </c>
      <c r="I20" s="930" t="e">
        <f>SUMIF('数据-取费表'!C6:C15,E2,'数据-取费表'!F6:F15)/COUNTIF('数据-取费表'!C6:C15,E2)</f>
        <v>#DIV/0!</v>
      </c>
      <c r="J20" s="931">
        <f>IF(E2="住宅",70,IF(E2="商业",40,50))</f>
        <v>50</v>
      </c>
      <c r="K20" s="1371"/>
      <c r="L20" s="2799" t="s">
        <v>2879</v>
      </c>
      <c r="M20" s="1728">
        <f>ROUND(SUMPRODUCT((地价!A4:A22=YEAR(G19)&amp;"-"&amp;ROUNDUP(MONTH(G19)/3,0))*(地价!B2:F2=E2)*(地价!B4:F22)),0)</f>
        <v>0</v>
      </c>
      <c r="N20" s="2800" t="s">
        <v>2880</v>
      </c>
      <c r="O20" s="2801" t="s">
        <v>2881</v>
      </c>
      <c r="P20" s="2802" t="s">
        <v>2882</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2883</v>
      </c>
      <c r="C21" s="932">
        <f>IF(B21="容积率修正",IF(G3&lt;=10,D22,J22),C23)</f>
        <v>0</v>
      </c>
      <c r="D21" s="2805"/>
      <c r="E21" s="2805"/>
      <c r="F21" s="2805"/>
      <c r="G21" s="2805"/>
      <c r="H21" s="2805"/>
      <c r="I21" s="2805"/>
      <c r="J21" s="2806"/>
      <c r="K21" s="1371"/>
      <c r="N21" s="2807" t="s">
        <v>2884</v>
      </c>
      <c r="O21" s="1555"/>
      <c r="P21" s="1556">
        <f>SUMPRODUCT((地价!A3:A22=YEAR(G19)&amp;"-"&amp;ROUNDUP(MONTH(G19)/3,0))*(地价!AD2:AH2=N21)*(地价!AD3:AH22))</f>
        <v>0</v>
      </c>
      <c r="R21" s="1370"/>
      <c r="S21" s="1370"/>
      <c r="T21" s="1365"/>
      <c r="U21" s="1365"/>
      <c r="V21" s="1365"/>
      <c r="W21" s="1364"/>
      <c r="X21" s="1364"/>
      <c r="Y21" s="1364"/>
      <c r="Z21" s="1371"/>
      <c r="AA21" s="1372"/>
      <c r="AB21" s="1372"/>
      <c r="AC21" s="1372"/>
      <c r="AD21" s="1372"/>
      <c r="AE21" s="1372"/>
      <c r="AF21" s="1372"/>
    </row>
    <row r="22" spans="1:37" s="2730" customFormat="1" ht="14.25">
      <c r="A22" s="2656" t="s">
        <v>2885</v>
      </c>
      <c r="B22" s="2808" t="s">
        <v>2886</v>
      </c>
      <c r="C22" s="1803" t="s">
        <v>2887</v>
      </c>
      <c r="D22" s="1803">
        <f>IF(E22=G22,F22,IF(G3&lt;=10,ROUND(F22+(H22-F22)*(G3-E22)/(G22-E22),4),"——"))</f>
        <v>0.48010000000000003</v>
      </c>
      <c r="E22" s="908">
        <f>ROUNDDOWN(G3,1)</f>
        <v>3.9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0.68589999999999995</v>
      </c>
      <c r="I22" s="1803" t="s">
        <v>155</v>
      </c>
      <c r="J22" s="933" t="str">
        <f>IF(G3&gt;10,D113,"——")</f>
        <v>——</v>
      </c>
      <c r="K22" s="1371"/>
      <c r="N22" s="2807" t="s">
        <v>2888</v>
      </c>
      <c r="O22" s="1555"/>
      <c r="P22" s="1556">
        <f>SUMPRODUCT((地价!A3:A22=YEAR(G19)&amp;"-"&amp;ROUNDUP(MONTH(G19)/3,0))*(地价!AD2:AH2=N22)*(地价!AD3:AH22))</f>
        <v>0</v>
      </c>
      <c r="R22" s="1370"/>
      <c r="S22" s="1370"/>
      <c r="T22" s="1365"/>
      <c r="U22" s="1365"/>
      <c r="V22" s="1365"/>
      <c r="W22" s="1364"/>
      <c r="X22" s="1364"/>
      <c r="Y22" s="1364"/>
      <c r="Z22" s="1371"/>
      <c r="AA22" s="1372"/>
      <c r="AB22" s="1372"/>
      <c r="AC22" s="1372"/>
      <c r="AD22" s="1372"/>
      <c r="AE22" s="1372"/>
      <c r="AF22" s="1372"/>
    </row>
    <row r="23" spans="1:37" ht="27.75" thickBot="1">
      <c r="A23" s="2656" t="s">
        <v>2889</v>
      </c>
      <c r="B23" s="2809" t="s">
        <v>2890</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2891</v>
      </c>
      <c r="O23" s="1555"/>
      <c r="P23" s="1556">
        <f>SUMPRODUCT((地价!A3:A22=YEAR(G19)&amp;"-"&amp;ROUNDUP(MONTH(G19)/3,0))*(地价!AD2:AH2=N23)*(地价!AD3:AH22))</f>
        <v>0</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2892</v>
      </c>
      <c r="C24" s="919">
        <f>SUMIF(A45:A88,E2,B45:B88)</f>
        <v>0</v>
      </c>
      <c r="D24" s="2785"/>
      <c r="E24" s="2815"/>
      <c r="F24" s="2815"/>
      <c r="G24" s="2815"/>
      <c r="H24" s="2815"/>
      <c r="I24" s="2815"/>
      <c r="J24" s="2816"/>
      <c r="K24" s="1371"/>
      <c r="N24" s="2817" t="s">
        <v>2893</v>
      </c>
      <c r="O24" s="1557"/>
      <c r="P24" s="1558">
        <f>SUMPRODUCT((地价!A3:A22=YEAR(G19)&amp;"-"&amp;ROUNDUP(MONTH(G19)/3,0))*(地价!AD2:AH2=N24)*(地价!AD3:AH22))</f>
        <v>0</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2894</v>
      </c>
      <c r="C25" s="925"/>
      <c r="D25" s="2740"/>
      <c r="E25" s="2740"/>
      <c r="F25" s="2819"/>
      <c r="G25" s="2740"/>
      <c r="H25" s="2740"/>
      <c r="I25" s="2740"/>
      <c r="J25" s="2741"/>
      <c r="K25" s="1364"/>
      <c r="N25" s="2820" t="s">
        <v>2895</v>
      </c>
      <c r="O25" s="1559"/>
      <c r="P25" s="1558">
        <f>SUMPRODUCT((地价!A3:A22=YEAR(G19)&amp;"-"&amp;ROUNDUP(MONTH(G19)/3,0))*(地价!AD2:AH2=N25)*(地价!AD3:AH22))</f>
        <v>0</v>
      </c>
      <c r="R25" s="1370"/>
      <c r="S25" s="1370"/>
      <c r="T25" s="1365"/>
      <c r="U25" s="1365"/>
      <c r="V25" s="1365"/>
      <c r="W25" s="1364"/>
      <c r="X25" s="1364"/>
      <c r="Y25" s="1364"/>
      <c r="Z25" s="1371"/>
      <c r="AA25" s="1372"/>
      <c r="AB25" s="1372"/>
      <c r="AC25" s="1372"/>
      <c r="AD25" s="1372"/>
    </row>
    <row r="26" spans="1:37" ht="15">
      <c r="A26" s="2821"/>
      <c r="B26" s="2808" t="s">
        <v>2896</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2897</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2898</v>
      </c>
      <c r="C28" s="2832" t="s">
        <v>2899</v>
      </c>
      <c r="D28" s="2832" t="s">
        <v>2900</v>
      </c>
      <c r="E28" s="2833" t="s">
        <v>2901</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2902</v>
      </c>
      <c r="C29" s="203" t="e">
        <f>ROUND(C5*C18*C19*C20*C21*C24,0)</f>
        <v>#DIV/0!</v>
      </c>
      <c r="D29" s="2837"/>
      <c r="E29" s="937" t="e">
        <f>ROUND(C29*D29/10000,0)</f>
        <v>#DIV/0!</v>
      </c>
      <c r="F29" s="2838" t="s">
        <v>2903</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2904</v>
      </c>
      <c r="C30" s="226" t="e">
        <f>ROUND(IF(E2="工业",C29*M39,C29*M38),0)</f>
        <v>#DIV/0!</v>
      </c>
      <c r="D30" s="2843"/>
      <c r="E30" s="937" t="e">
        <f>ROUND(C30*D30/10000,0)</f>
        <v>#DIV/0!</v>
      </c>
      <c r="F30" s="2844" t="s">
        <v>2905</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2906</v>
      </c>
      <c r="C31" s="2849" t="s">
        <v>2907</v>
      </c>
      <c r="D31" s="2753"/>
      <c r="E31" s="2849"/>
      <c r="F31" s="2849"/>
      <c r="G31" s="2751" t="s">
        <v>2908</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2899</v>
      </c>
      <c r="D32" s="495" t="s">
        <v>2900</v>
      </c>
      <c r="E32" s="495" t="s">
        <v>2901</v>
      </c>
      <c r="F32" s="385" t="s">
        <v>2909</v>
      </c>
      <c r="G32" s="2852" t="s">
        <v>2899</v>
      </c>
      <c r="H32" s="2852" t="s">
        <v>2900</v>
      </c>
      <c r="I32" s="2852" t="s">
        <v>2901</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34" t="s">
        <v>2910</v>
      </c>
      <c r="B33" s="2853" t="s">
        <v>2911</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35"/>
      <c r="B34" s="2757" t="s">
        <v>2912</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35"/>
      <c r="B35" s="2757" t="s">
        <v>2913</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36"/>
      <c r="B36" s="2757" t="s">
        <v>2914</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2915</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2916</v>
      </c>
      <c r="M37" s="2857"/>
      <c r="N37" s="1364"/>
      <c r="O37" s="1364"/>
      <c r="P37" s="1364"/>
      <c r="Q37" s="1364"/>
      <c r="R37" s="1364"/>
      <c r="S37" s="1364"/>
      <c r="T37" s="1364"/>
      <c r="U37" s="1364"/>
      <c r="V37" s="1364"/>
      <c r="W37" s="1364"/>
      <c r="X37" s="1364"/>
      <c r="Y37" s="1364"/>
      <c r="Z37" s="1365"/>
    </row>
    <row r="38" spans="1:37">
      <c r="A38" s="2855"/>
      <c r="B38" s="2757" t="s">
        <v>2917</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2918</v>
      </c>
      <c r="M38" s="2858">
        <v>0.25</v>
      </c>
      <c r="N38" s="1364"/>
      <c r="O38" s="1364"/>
      <c r="P38" s="1364"/>
      <c r="Q38" s="1364"/>
      <c r="R38" s="1364"/>
      <c r="S38" s="1364"/>
      <c r="T38" s="1364"/>
      <c r="U38" s="1364"/>
      <c r="V38" s="1364"/>
      <c r="W38" s="1364"/>
      <c r="X38" s="1364"/>
      <c r="Y38" s="1364"/>
      <c r="Z38" s="1365"/>
    </row>
    <row r="39" spans="1:37" ht="13.5" thickBot="1">
      <c r="A39" s="2841"/>
      <c r="B39" s="2859" t="s">
        <v>2919</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2860</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2920</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2921</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2922</v>
      </c>
      <c r="B47" s="1802" t="s">
        <v>2923</v>
      </c>
      <c r="C47" s="1802" t="s">
        <v>2924</v>
      </c>
      <c r="D47" s="1802" t="s">
        <v>2925</v>
      </c>
      <c r="E47" s="811" t="s">
        <v>2926</v>
      </c>
      <c r="F47" s="2871" t="s">
        <v>2927</v>
      </c>
      <c r="G47" s="1802" t="s">
        <v>754</v>
      </c>
      <c r="H47" s="2872" t="s">
        <v>2928</v>
      </c>
      <c r="I47" s="1802" t="s">
        <v>2929</v>
      </c>
      <c r="J47" s="600" t="s">
        <v>2575</v>
      </c>
      <c r="K47" s="600" t="s">
        <v>2576</v>
      </c>
      <c r="L47" s="600" t="s">
        <v>2577</v>
      </c>
      <c r="M47" s="600" t="s">
        <v>2578</v>
      </c>
      <c r="N47" s="600" t="s">
        <v>2579</v>
      </c>
      <c r="AA47" s="1365"/>
      <c r="AB47" s="1365"/>
      <c r="AC47" s="1365"/>
      <c r="AD47" s="1365"/>
      <c r="AE47" s="1365"/>
      <c r="AF47" s="1365"/>
      <c r="AG47" s="1365"/>
      <c r="AH47" s="1365"/>
      <c r="AI47" s="1365"/>
      <c r="AJ47" s="1365"/>
      <c r="AK47" s="1365"/>
    </row>
    <row r="48" spans="1:37" s="1364" customFormat="1" ht="24.75">
      <c r="A48" s="2870" t="s">
        <v>2930</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2931</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2932</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2933</v>
      </c>
      <c r="B51" s="2875" t="s">
        <v>2934</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2935</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2936</v>
      </c>
      <c r="B53" s="2876" t="s">
        <v>2937</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2938</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2939</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2940</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2941</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2922</v>
      </c>
      <c r="B58" s="1802"/>
      <c r="C58" s="1802" t="s">
        <v>2924</v>
      </c>
      <c r="D58" s="1802" t="s">
        <v>2925</v>
      </c>
      <c r="E58" s="811" t="s">
        <v>2926</v>
      </c>
      <c r="F58" s="2871" t="s">
        <v>2942</v>
      </c>
      <c r="G58" s="1802" t="s">
        <v>754</v>
      </c>
      <c r="H58" s="2872" t="s">
        <v>2928</v>
      </c>
      <c r="I58" s="1802" t="s">
        <v>2929</v>
      </c>
      <c r="J58" s="600" t="s">
        <v>2575</v>
      </c>
      <c r="K58" s="600" t="s">
        <v>2576</v>
      </c>
      <c r="L58" s="600" t="s">
        <v>2577</v>
      </c>
      <c r="M58" s="600" t="s">
        <v>2578</v>
      </c>
      <c r="N58" s="600" t="s">
        <v>2579</v>
      </c>
      <c r="AA58" s="1365"/>
      <c r="AB58" s="1365"/>
      <c r="AC58" s="1365"/>
      <c r="AD58" s="1365"/>
      <c r="AE58" s="1365"/>
      <c r="AF58" s="1365"/>
      <c r="AG58" s="1365"/>
      <c r="AH58" s="1365"/>
      <c r="AI58" s="1365"/>
      <c r="AJ58" s="1365"/>
      <c r="AK58" s="1365"/>
    </row>
    <row r="59" spans="1:37" s="1364" customFormat="1" ht="24">
      <c r="A59" s="2870" t="s">
        <v>2943</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2931</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2932</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2933</v>
      </c>
      <c r="B62" s="2875" t="s">
        <v>2934</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2935</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2936</v>
      </c>
      <c r="B64" s="2876" t="s">
        <v>2937</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2938</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2939</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2940</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2944</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2922</v>
      </c>
      <c r="B69" s="1802"/>
      <c r="C69" s="1802" t="s">
        <v>2924</v>
      </c>
      <c r="D69" s="1802" t="s">
        <v>2925</v>
      </c>
      <c r="E69" s="811" t="s">
        <v>2926</v>
      </c>
      <c r="F69" s="2871" t="s">
        <v>2942</v>
      </c>
      <c r="G69" s="1802" t="s">
        <v>754</v>
      </c>
      <c r="H69" s="2872" t="s">
        <v>2928</v>
      </c>
      <c r="I69" s="1802" t="s">
        <v>2929</v>
      </c>
      <c r="J69" s="600" t="s">
        <v>2575</v>
      </c>
      <c r="K69" s="600" t="s">
        <v>2576</v>
      </c>
      <c r="L69" s="600" t="s">
        <v>2577</v>
      </c>
      <c r="M69" s="600" t="s">
        <v>2578</v>
      </c>
      <c r="N69" s="600" t="s">
        <v>2579</v>
      </c>
      <c r="AA69" s="1365"/>
      <c r="AB69" s="1365"/>
      <c r="AC69" s="1365"/>
      <c r="AD69" s="1365"/>
      <c r="AE69" s="1365"/>
      <c r="AF69" s="1365"/>
      <c r="AG69" s="1365"/>
      <c r="AH69" s="1365"/>
      <c r="AI69" s="1365"/>
      <c r="AJ69" s="1365"/>
      <c r="AK69" s="1365"/>
    </row>
    <row r="70" spans="1:37" s="1364" customFormat="1" ht="24">
      <c r="A70" s="2870" t="s">
        <v>2945</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2931</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2932</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2946</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2938</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2939</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2936</v>
      </c>
      <c r="B76" s="2876" t="s">
        <v>2937</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2940</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2947</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2948</v>
      </c>
      <c r="B79" s="2867">
        <f>1+E81</f>
        <v>1</v>
      </c>
      <c r="C79" s="806"/>
      <c r="D79" s="806"/>
      <c r="E79" s="807"/>
      <c r="F79" s="2869"/>
      <c r="G79" s="6"/>
      <c r="H79" s="6"/>
      <c r="I79" s="6"/>
      <c r="J79" s="7"/>
      <c r="K79" s="7"/>
      <c r="L79" s="7"/>
      <c r="M79" s="7"/>
      <c r="N79" s="7"/>
      <c r="Z79" s="2712"/>
      <c r="AA79" s="2788"/>
      <c r="AG79" s="1366"/>
      <c r="AK79" s="2788"/>
    </row>
    <row r="80" spans="1:37" ht="24.75">
      <c r="A80" s="2870" t="s">
        <v>2922</v>
      </c>
      <c r="B80" s="1802"/>
      <c r="C80" s="1802" t="s">
        <v>2924</v>
      </c>
      <c r="D80" s="1802" t="s">
        <v>2925</v>
      </c>
      <c r="E80" s="811" t="s">
        <v>2926</v>
      </c>
      <c r="F80" s="2871" t="s">
        <v>2942</v>
      </c>
      <c r="G80" s="1802" t="s">
        <v>754</v>
      </c>
      <c r="H80" s="2872" t="s">
        <v>2928</v>
      </c>
      <c r="I80" s="1802" t="s">
        <v>2929</v>
      </c>
      <c r="J80" s="600" t="s">
        <v>2575</v>
      </c>
      <c r="K80" s="600" t="s">
        <v>2576</v>
      </c>
      <c r="L80" s="600" t="s">
        <v>2577</v>
      </c>
      <c r="M80" s="600" t="s">
        <v>2578</v>
      </c>
      <c r="N80" s="600" t="s">
        <v>2579</v>
      </c>
      <c r="Z80" s="2712"/>
      <c r="AA80" s="2788"/>
      <c r="AG80" s="1366"/>
      <c r="AK80" s="2788"/>
    </row>
    <row r="81" spans="1:37" ht="24">
      <c r="A81" s="2870" t="s">
        <v>2949</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2931</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2932</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2946</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2938</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2939</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2936</v>
      </c>
      <c r="B87" s="2876" t="s">
        <v>2950</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2951</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328" t="s">
        <v>2952</v>
      </c>
      <c r="B90" s="3328"/>
      <c r="C90" s="3328"/>
      <c r="D90" s="3328"/>
      <c r="E90" s="3328"/>
      <c r="F90" s="3328"/>
      <c r="G90" s="3328"/>
      <c r="H90" s="3328"/>
      <c r="I90" s="3328"/>
      <c r="J90" s="3328"/>
      <c r="K90" s="2884"/>
      <c r="L90" s="2884"/>
      <c r="M90" s="2884"/>
      <c r="N90" s="2884"/>
    </row>
    <row r="91" spans="1:37">
      <c r="A91" s="3330" t="s">
        <v>2953</v>
      </c>
      <c r="B91" s="3330" t="s">
        <v>2954</v>
      </c>
      <c r="C91" s="2838" t="s">
        <v>2955</v>
      </c>
      <c r="D91" s="2839"/>
      <c r="E91" s="2839"/>
      <c r="F91" s="2839"/>
      <c r="G91" s="2839"/>
      <c r="H91" s="2839"/>
      <c r="I91" s="2839"/>
      <c r="J91" s="2885"/>
      <c r="K91" s="2886"/>
      <c r="L91" s="2886"/>
      <c r="M91" s="2886"/>
      <c r="N91" s="2886"/>
    </row>
    <row r="92" spans="1:37">
      <c r="A92" s="3330"/>
      <c r="B92" s="3330"/>
      <c r="C92" s="937" t="s">
        <v>2819</v>
      </c>
      <c r="D92" s="937" t="s">
        <v>2820</v>
      </c>
      <c r="E92" s="937" t="s">
        <v>2821</v>
      </c>
      <c r="F92" s="937" t="s">
        <v>2822</v>
      </c>
      <c r="G92" s="937" t="s">
        <v>2823</v>
      </c>
      <c r="H92" s="937" t="s">
        <v>2824</v>
      </c>
      <c r="I92" s="937" t="s">
        <v>2825</v>
      </c>
      <c r="J92" s="937" t="s">
        <v>2826</v>
      </c>
      <c r="K92" s="937" t="s">
        <v>2827</v>
      </c>
      <c r="L92" s="937" t="s">
        <v>2828</v>
      </c>
      <c r="M92" s="937" t="s">
        <v>2829</v>
      </c>
      <c r="N92" s="937" t="s">
        <v>2830</v>
      </c>
    </row>
    <row r="93" spans="1:37">
      <c r="A93" s="3331" t="s">
        <v>2956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3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3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3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3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3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32"/>
      <c r="B99" s="2887" t="s">
        <v>2835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3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31" t="s">
        <v>2957</v>
      </c>
      <c r="B101" s="2891" t="s">
        <v>2958</v>
      </c>
      <c r="C101" s="2892">
        <f>$G$3</f>
        <v>3.97</v>
      </c>
      <c r="D101" s="2892">
        <f t="shared" ref="D101:N101" si="31">$G$3</f>
        <v>3.97</v>
      </c>
      <c r="E101" s="2892">
        <f t="shared" si="31"/>
        <v>3.97</v>
      </c>
      <c r="F101" s="2892">
        <f t="shared" si="31"/>
        <v>3.97</v>
      </c>
      <c r="G101" s="2892">
        <f t="shared" si="31"/>
        <v>3.97</v>
      </c>
      <c r="H101" s="2892">
        <f t="shared" si="31"/>
        <v>3.97</v>
      </c>
      <c r="I101" s="2892">
        <f t="shared" si="31"/>
        <v>3.97</v>
      </c>
      <c r="J101" s="2892">
        <f t="shared" si="31"/>
        <v>3.97</v>
      </c>
      <c r="K101" s="2892">
        <f t="shared" si="31"/>
        <v>3.97</v>
      </c>
      <c r="L101" s="2892">
        <f t="shared" si="31"/>
        <v>3.97</v>
      </c>
      <c r="M101" s="2892">
        <f t="shared" si="31"/>
        <v>3.97</v>
      </c>
      <c r="N101" s="2892">
        <f t="shared" si="31"/>
        <v>3.97</v>
      </c>
    </row>
    <row r="102" spans="1:14">
      <c r="A102" s="3332"/>
      <c r="B102" s="2887">
        <v>1</v>
      </c>
      <c r="C102" s="2888">
        <f>1.9362/C101</f>
        <v>0.48770780856423168</v>
      </c>
      <c r="D102" s="2888">
        <f>1.9362/D101</f>
        <v>0.48770780856423168</v>
      </c>
      <c r="E102" s="2888">
        <f>1.8629/E101</f>
        <v>0.46924433249370273</v>
      </c>
      <c r="F102" s="2888">
        <f>1.8629/F101</f>
        <v>0.46924433249370273</v>
      </c>
      <c r="G102" s="2888">
        <f>1.8629/G101</f>
        <v>0.46924433249370273</v>
      </c>
      <c r="H102" s="2888">
        <f>1.8629/H101</f>
        <v>0.46924433249370273</v>
      </c>
      <c r="I102" s="2888">
        <f>1.8629/I101</f>
        <v>0.46924433249370273</v>
      </c>
      <c r="J102" s="2888">
        <f>1.942/J101</f>
        <v>0.489168765743073</v>
      </c>
      <c r="K102" s="2888">
        <f>1.942/K101</f>
        <v>0.489168765743073</v>
      </c>
      <c r="L102" s="2888">
        <f>1.942/L101</f>
        <v>0.489168765743073</v>
      </c>
      <c r="M102" s="2888">
        <f>1.942/M101</f>
        <v>0.489168765743073</v>
      </c>
      <c r="N102" s="2888">
        <f>1.942/N101</f>
        <v>0.489168765743073</v>
      </c>
    </row>
    <row r="103" spans="1:14">
      <c r="A103" s="3332"/>
      <c r="B103" s="2887">
        <v>2</v>
      </c>
      <c r="C103" s="2888">
        <f>1.4198/C101</f>
        <v>0.35763224181360198</v>
      </c>
      <c r="D103" s="2888">
        <f>1.4198/D101</f>
        <v>0.35763224181360198</v>
      </c>
      <c r="E103" s="2888">
        <f>1.3372/E101</f>
        <v>0.33682619647355161</v>
      </c>
      <c r="F103" s="2888">
        <f>1.3372/F101</f>
        <v>0.33682619647355161</v>
      </c>
      <c r="G103" s="2888">
        <f>1.3372/G101</f>
        <v>0.33682619647355161</v>
      </c>
      <c r="H103" s="2888">
        <f>1.3372/H101</f>
        <v>0.33682619647355161</v>
      </c>
      <c r="I103" s="2888">
        <f>1.3372/I101</f>
        <v>0.33682619647355161</v>
      </c>
      <c r="J103" s="2888">
        <f>1.2799/J101</f>
        <v>0.32239294710327454</v>
      </c>
      <c r="K103" s="2888">
        <f>1.2799/K101</f>
        <v>0.32239294710327454</v>
      </c>
      <c r="L103" s="2888">
        <f>1.2799/L101</f>
        <v>0.32239294710327454</v>
      </c>
      <c r="M103" s="2888">
        <f>1.2799/M101</f>
        <v>0.32239294710327454</v>
      </c>
      <c r="N103" s="2888">
        <f>1.2799/N101</f>
        <v>0.32239294710327454</v>
      </c>
    </row>
    <row r="104" spans="1:14">
      <c r="A104" s="3332"/>
      <c r="B104" s="2887">
        <v>3</v>
      </c>
      <c r="C104" s="2888">
        <f>1.1594/C101</f>
        <v>0.29204030226700251</v>
      </c>
      <c r="D104" s="2888">
        <f>1.1594/D101</f>
        <v>0.29204030226700251</v>
      </c>
      <c r="E104" s="2888">
        <f>1.0788/E101</f>
        <v>0.27173803526448359</v>
      </c>
      <c r="F104" s="2888">
        <f>1.0788/F101</f>
        <v>0.27173803526448359</v>
      </c>
      <c r="G104" s="2888">
        <f>1.0788/G101</f>
        <v>0.27173803526448359</v>
      </c>
      <c r="H104" s="2888">
        <f>1.0788/H101</f>
        <v>0.27173803526448359</v>
      </c>
      <c r="I104" s="2888">
        <f>1.0788/I101</f>
        <v>0.27173803526448359</v>
      </c>
      <c r="J104" s="2888">
        <f>1.0072/J101</f>
        <v>0.25370277078085646</v>
      </c>
      <c r="K104" s="2888">
        <f>1.0072/K101</f>
        <v>0.25370277078085646</v>
      </c>
      <c r="L104" s="2888">
        <f>1.0072/L101</f>
        <v>0.25370277078085646</v>
      </c>
      <c r="M104" s="2888">
        <f>1.0072/M101</f>
        <v>0.25370277078085646</v>
      </c>
      <c r="N104" s="2888">
        <f>1.0072/N101</f>
        <v>0.25370277078085646</v>
      </c>
    </row>
    <row r="105" spans="1:14">
      <c r="A105" s="3332"/>
      <c r="B105" s="2887">
        <v>4</v>
      </c>
      <c r="C105" s="2888">
        <f>0.9622/C101</f>
        <v>0.242367758186398</v>
      </c>
      <c r="D105" s="2888">
        <f>0.9622/D101</f>
        <v>0.242367758186398</v>
      </c>
      <c r="E105" s="2888">
        <f>0.8656/E101</f>
        <v>0.2180352644836272</v>
      </c>
      <c r="F105" s="2888">
        <f>0.8656/F101</f>
        <v>0.2180352644836272</v>
      </c>
      <c r="G105" s="2888">
        <f>0.8656/G101</f>
        <v>0.2180352644836272</v>
      </c>
      <c r="H105" s="2888">
        <f>0.8656/H101</f>
        <v>0.2180352644836272</v>
      </c>
      <c r="I105" s="2888">
        <f>0.8656/I101</f>
        <v>0.2180352644836272</v>
      </c>
      <c r="J105" s="2888">
        <f>0.7525/J101</f>
        <v>0.18954659949622163</v>
      </c>
      <c r="K105" s="2888">
        <f>0.7525/K101</f>
        <v>0.18954659949622163</v>
      </c>
      <c r="L105" s="2888">
        <f>0.7525/L101</f>
        <v>0.18954659949622163</v>
      </c>
      <c r="M105" s="2888">
        <f>0.7525/M101</f>
        <v>0.18954659949622163</v>
      </c>
      <c r="N105" s="2888">
        <f>0.7525/N101</f>
        <v>0.18954659949622163</v>
      </c>
    </row>
    <row r="106" spans="1:14">
      <c r="A106" s="3332"/>
      <c r="B106" s="2887">
        <v>5</v>
      </c>
      <c r="C106" s="2888">
        <f>0.8417/C101</f>
        <v>0.21201511335012593</v>
      </c>
      <c r="D106" s="2888">
        <f>0.8417/D101</f>
        <v>0.21201511335012593</v>
      </c>
      <c r="E106" s="2888">
        <f>0.7371/E101</f>
        <v>0.1856675062972292</v>
      </c>
      <c r="F106" s="2888">
        <f>0.7371/F101</f>
        <v>0.1856675062972292</v>
      </c>
      <c r="G106" s="2888">
        <f>0.7371/G101</f>
        <v>0.1856675062972292</v>
      </c>
      <c r="H106" s="2888">
        <f>0.7371/H101</f>
        <v>0.1856675062972292</v>
      </c>
      <c r="I106" s="2888">
        <f>0.7371/I101</f>
        <v>0.1856675062972292</v>
      </c>
      <c r="J106" s="2888">
        <f>0.5659/J101</f>
        <v>0.142544080604534</v>
      </c>
      <c r="K106" s="2888">
        <f>0.5659/K101</f>
        <v>0.142544080604534</v>
      </c>
      <c r="L106" s="2888">
        <f>0.5659/L101</f>
        <v>0.142544080604534</v>
      </c>
      <c r="M106" s="2888">
        <f>0.5659/M101</f>
        <v>0.142544080604534</v>
      </c>
      <c r="N106" s="2888">
        <f>0.5659/N101</f>
        <v>0.142544080604534</v>
      </c>
    </row>
    <row r="107" spans="1:14">
      <c r="A107" s="3332"/>
      <c r="B107" s="2887">
        <v>6</v>
      </c>
      <c r="C107" s="2888">
        <f>0.7608/C101</f>
        <v>0.19163727959697732</v>
      </c>
      <c r="D107" s="2888">
        <f>0.7608/D101</f>
        <v>0.19163727959697732</v>
      </c>
      <c r="E107" s="2888">
        <f>0.6482/E101</f>
        <v>0.16327455919395464</v>
      </c>
      <c r="F107" s="2888">
        <f>0.6482/F101</f>
        <v>0.16327455919395464</v>
      </c>
      <c r="G107" s="2888">
        <f>0.6482/G101</f>
        <v>0.16327455919395464</v>
      </c>
      <c r="H107" s="2888">
        <f>0.6482/H101</f>
        <v>0.16327455919395464</v>
      </c>
      <c r="I107" s="2888">
        <f>0.6482/I101</f>
        <v>0.16327455919395464</v>
      </c>
      <c r="J107" s="2888">
        <f>0.4525/J101</f>
        <v>0.11397984886649874</v>
      </c>
      <c r="K107" s="2888">
        <f>0.4525/K101</f>
        <v>0.11397984886649874</v>
      </c>
      <c r="L107" s="2888">
        <f>0.4525/L101</f>
        <v>0.11397984886649874</v>
      </c>
      <c r="M107" s="2888">
        <f>0.4525/M101</f>
        <v>0.11397984886649874</v>
      </c>
      <c r="N107" s="2888">
        <f>0.4525/N101</f>
        <v>0.11397984886649874</v>
      </c>
    </row>
    <row r="108" spans="1:14">
      <c r="A108" s="3332"/>
      <c r="B108" s="3188" t="s">
        <v>2959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33"/>
      <c r="B109" s="3189"/>
      <c r="C109" s="2890">
        <f>(-0.163*(C108^2)-0.59*C108+7617)*(10^(-4))/C101</f>
        <v>0.19186397984886649</v>
      </c>
      <c r="D109" s="2890">
        <f>(-0.163*(D108^2)-0.59*D108+7617)*(10^(-4))/D101</f>
        <v>0.19186397984886649</v>
      </c>
      <c r="E109" s="2890">
        <f>(-0.161*(E108^2)-7.509*E108+6533)*(10^(-4))/E101</f>
        <v>0.16455919395465993</v>
      </c>
      <c r="F109" s="2890">
        <f>(-0.161*(F108^2)-7.509*F108+6533)*(10^(-4))/F101</f>
        <v>0.16455919395465993</v>
      </c>
      <c r="G109" s="2890">
        <f>(-0.161*(G108^2)-7.509*G108+6533)*(10^(-4))/G101</f>
        <v>0.16455919395465993</v>
      </c>
      <c r="H109" s="2890">
        <f>(-0.161*(H108^2)-7.509*H108+6533)*(10^(-4))/H101</f>
        <v>0.16455919395465993</v>
      </c>
      <c r="I109" s="2890">
        <f>(-0.161*(I108^2)-7.509*I108+6533)*(10^(-4))/I101</f>
        <v>0.16455919395465993</v>
      </c>
      <c r="J109" s="2890">
        <f>(-0.214*(J108^2)-21.991*J108+4665)*(10^(-4))/J101</f>
        <v>0.11750629722921914</v>
      </c>
      <c r="K109" s="2890">
        <f>(-0.214*(K108^2)-21.991*K108+4665)*(10^(-4))/K101</f>
        <v>0.11750629722921914</v>
      </c>
      <c r="L109" s="2890">
        <f>(-0.214*(L108^2)-21.991*L108+4665)*(10^(-4))/L101</f>
        <v>0.11750629722921914</v>
      </c>
      <c r="M109" s="2890">
        <f>(-0.214*(M108^2)-21.991*M108+4665)*(10^(-4))/M101</f>
        <v>0.11750629722921914</v>
      </c>
      <c r="N109" s="2890">
        <f>(-0.214*(N108^2)-21.991*N108+4665)*(10^(-4))/N101</f>
        <v>0.11750629722921914</v>
      </c>
    </row>
    <row r="110" spans="1:14">
      <c r="A110" s="3329" t="s">
        <v>2960</v>
      </c>
      <c r="B110" s="3329"/>
      <c r="C110" s="3329"/>
      <c r="D110" s="3329"/>
      <c r="E110" s="3329"/>
      <c r="F110" s="3329"/>
      <c r="G110" s="3329"/>
      <c r="H110" s="3329"/>
      <c r="I110" s="3329"/>
      <c r="J110" s="3329"/>
      <c r="K110" s="2893"/>
      <c r="L110" s="2893"/>
      <c r="M110" s="2893"/>
      <c r="N110" s="2893"/>
    </row>
    <row r="112" spans="1:14" ht="13.5" thickBot="1"/>
    <row r="113" spans="1:13" ht="25.5" thickBot="1">
      <c r="A113" s="895" t="s">
        <v>2961</v>
      </c>
      <c r="B113" s="1281">
        <f>G3</f>
        <v>3.97</v>
      </c>
      <c r="C113" s="896" t="s">
        <v>2962</v>
      </c>
      <c r="D113" s="897">
        <f>SUMPRODUCT((A115:A118=F113)*(B114:M114=H113)*B115:M118)</f>
        <v>0</v>
      </c>
      <c r="E113" s="2716" t="s">
        <v>2792</v>
      </c>
      <c r="F113" s="2895">
        <f>E2</f>
        <v>0</v>
      </c>
      <c r="G113" s="2716" t="s">
        <v>2793</v>
      </c>
      <c r="H113" s="2895" t="str">
        <f>G2</f>
        <v>五级</v>
      </c>
      <c r="I113" s="2716"/>
      <c r="J113" s="2896"/>
      <c r="K113" s="2896"/>
      <c r="L113" s="2896"/>
      <c r="M113" s="2896"/>
    </row>
    <row r="114" spans="1:13">
      <c r="A114" s="900"/>
      <c r="B114" s="2897" t="s">
        <v>2963</v>
      </c>
      <c r="C114" s="2897" t="s">
        <v>2964</v>
      </c>
      <c r="D114" s="2897" t="s">
        <v>2965</v>
      </c>
      <c r="E114" s="2898" t="s">
        <v>2966</v>
      </c>
      <c r="F114" s="2898" t="s">
        <v>2967</v>
      </c>
      <c r="G114" s="2898" t="s">
        <v>2968</v>
      </c>
      <c r="H114" s="2899" t="s">
        <v>2969</v>
      </c>
      <c r="I114" s="2899" t="s">
        <v>2970</v>
      </c>
      <c r="J114" s="2900" t="s">
        <v>2971</v>
      </c>
      <c r="K114" s="2900" t="s">
        <v>2972</v>
      </c>
      <c r="L114" s="2900" t="s">
        <v>2973</v>
      </c>
      <c r="M114" s="2901" t="s">
        <v>2974</v>
      </c>
    </row>
    <row r="115" spans="1:13">
      <c r="A115" s="901" t="s">
        <v>2857</v>
      </c>
      <c r="B115" s="902">
        <f>ROUND(0.9335-0.0094*B113,4)</f>
        <v>0.8962</v>
      </c>
      <c r="C115" s="902">
        <f>B115</f>
        <v>0.8962</v>
      </c>
      <c r="D115" s="902">
        <f>ROUND(0.8331-0.0109*B113,4)</f>
        <v>0.78979999999999995</v>
      </c>
      <c r="E115" s="902">
        <f>D115</f>
        <v>0.78979999999999995</v>
      </c>
      <c r="F115" s="902">
        <f>E115</f>
        <v>0.78979999999999995</v>
      </c>
      <c r="G115" s="902">
        <f>F115</f>
        <v>0.78979999999999995</v>
      </c>
      <c r="H115" s="902">
        <f>G115</f>
        <v>0.78979999999999995</v>
      </c>
      <c r="I115" s="902">
        <f>ROUND(0.689-0.0155*B113,4)</f>
        <v>0.62749999999999995</v>
      </c>
      <c r="J115" s="902">
        <f t="shared" ref="J115:M118" si="33">I115</f>
        <v>0.62749999999999995</v>
      </c>
      <c r="K115" s="902">
        <f t="shared" si="33"/>
        <v>0.62749999999999995</v>
      </c>
      <c r="L115" s="902">
        <f t="shared" si="33"/>
        <v>0.62749999999999995</v>
      </c>
      <c r="M115" s="903">
        <f t="shared" si="33"/>
        <v>0.62749999999999995</v>
      </c>
    </row>
    <row r="116" spans="1:13">
      <c r="A116" s="901" t="s">
        <v>2858</v>
      </c>
      <c r="B116" s="902">
        <f>ROUND(0.949-0.012*B113,4)</f>
        <v>0.90139999999999998</v>
      </c>
      <c r="C116" s="902">
        <f>B116</f>
        <v>0.90139999999999998</v>
      </c>
      <c r="D116" s="902">
        <f>ROUND(0.8567-0.013*B113,4)</f>
        <v>0.80510000000000004</v>
      </c>
      <c r="E116" s="902">
        <f t="shared" ref="E116:H117" si="34">D116</f>
        <v>0.80510000000000004</v>
      </c>
      <c r="F116" s="902">
        <f t="shared" si="34"/>
        <v>0.80510000000000004</v>
      </c>
      <c r="G116" s="902">
        <f t="shared" si="34"/>
        <v>0.80510000000000004</v>
      </c>
      <c r="H116" s="902">
        <f t="shared" si="34"/>
        <v>0.80510000000000004</v>
      </c>
      <c r="I116" s="902">
        <f>ROUND(0.7694-0.014*B113,4)</f>
        <v>0.71379999999999999</v>
      </c>
      <c r="J116" s="902">
        <f t="shared" si="33"/>
        <v>0.71379999999999999</v>
      </c>
      <c r="K116" s="902">
        <f t="shared" si="33"/>
        <v>0.71379999999999999</v>
      </c>
      <c r="L116" s="902">
        <f t="shared" si="33"/>
        <v>0.71379999999999999</v>
      </c>
      <c r="M116" s="903">
        <f t="shared" si="33"/>
        <v>0.71379999999999999</v>
      </c>
    </row>
    <row r="117" spans="1:13">
      <c r="A117" s="901" t="s">
        <v>2859</v>
      </c>
      <c r="B117" s="902">
        <f>ROUND(0.8808-0.006*B113,4)</f>
        <v>0.85699999999999998</v>
      </c>
      <c r="C117" s="902">
        <f>B117</f>
        <v>0.85699999999999998</v>
      </c>
      <c r="D117" s="902">
        <f>ROUND(0.8748-0.008*B113,4)</f>
        <v>0.84299999999999997</v>
      </c>
      <c r="E117" s="902">
        <f t="shared" si="34"/>
        <v>0.84299999999999997</v>
      </c>
      <c r="F117" s="902">
        <f t="shared" si="34"/>
        <v>0.84299999999999997</v>
      </c>
      <c r="G117" s="902">
        <f t="shared" si="34"/>
        <v>0.84299999999999997</v>
      </c>
      <c r="H117" s="902">
        <f t="shared" si="34"/>
        <v>0.84299999999999997</v>
      </c>
      <c r="I117" s="902">
        <f>ROUND(0.7412-0.0095*B113,4)</f>
        <v>0.70350000000000001</v>
      </c>
      <c r="J117" s="902">
        <f t="shared" si="33"/>
        <v>0.70350000000000001</v>
      </c>
      <c r="K117" s="902">
        <f t="shared" si="33"/>
        <v>0.70350000000000001</v>
      </c>
      <c r="L117" s="902">
        <f t="shared" si="33"/>
        <v>0.70350000000000001</v>
      </c>
      <c r="M117" s="903">
        <f t="shared" si="33"/>
        <v>0.70350000000000001</v>
      </c>
    </row>
    <row r="118" spans="1:13" ht="13.5" thickBot="1">
      <c r="A118" s="710" t="s">
        <v>2860</v>
      </c>
      <c r="B118" s="904">
        <f>ROUND(0.7275-0.01*B113,4)</f>
        <v>0.68779999999999997</v>
      </c>
      <c r="C118" s="904">
        <f>B118</f>
        <v>0.68779999999999997</v>
      </c>
      <c r="D118" s="904">
        <f>ROUND(0.7043-0.012*B113,4)</f>
        <v>0.65669999999999995</v>
      </c>
      <c r="E118" s="904">
        <f>D118</f>
        <v>0.65669999999999995</v>
      </c>
      <c r="F118" s="904">
        <f>E118</f>
        <v>0.65669999999999995</v>
      </c>
      <c r="G118" s="904">
        <f>ROUND(0.6299-0.0122*B113,4)</f>
        <v>0.58150000000000002</v>
      </c>
      <c r="H118" s="904">
        <f>G118</f>
        <v>0.58150000000000002</v>
      </c>
      <c r="I118" s="904">
        <f>ROUND(0.5667-0.0136*B113,4)</f>
        <v>0.51270000000000004</v>
      </c>
      <c r="J118" s="904">
        <f t="shared" si="33"/>
        <v>0.51270000000000004</v>
      </c>
      <c r="K118" s="904">
        <f t="shared" si="33"/>
        <v>0.51270000000000004</v>
      </c>
      <c r="L118" s="904">
        <f t="shared" si="33"/>
        <v>0.51270000000000004</v>
      </c>
      <c r="M118" s="905">
        <f t="shared" si="33"/>
        <v>0.51270000000000004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37" t="s">
        <v>183</v>
      </c>
      <c r="B18" s="874" t="s">
        <v>560</v>
      </c>
      <c r="C18" s="875" t="s">
        <v>561</v>
      </c>
      <c r="D18" s="876"/>
      <c r="E18" s="874">
        <v>1</v>
      </c>
      <c r="F18" s="877" t="s">
        <v>562</v>
      </c>
      <c r="G18" s="878"/>
      <c r="H18" s="870"/>
      <c r="I18" s="870"/>
    </row>
    <row r="19" spans="1:9" s="879" customFormat="1" ht="19.5" customHeight="1">
      <c r="A19" s="3337"/>
      <c r="B19" s="3337" t="s">
        <v>563</v>
      </c>
      <c r="C19" s="875" t="s">
        <v>564</v>
      </c>
      <c r="D19" s="876"/>
      <c r="E19" s="874">
        <v>0.9</v>
      </c>
      <c r="F19" s="877" t="s">
        <v>565</v>
      </c>
      <c r="G19" s="878"/>
      <c r="H19" s="870"/>
      <c r="I19" s="870"/>
    </row>
    <row r="20" spans="1:9" s="879" customFormat="1" ht="19.5" customHeight="1">
      <c r="A20" s="3337"/>
      <c r="B20" s="3337"/>
      <c r="C20" s="875" t="s">
        <v>566</v>
      </c>
      <c r="D20" s="876"/>
      <c r="E20" s="874">
        <v>1.1000000000000001</v>
      </c>
      <c r="F20" s="877" t="s">
        <v>567</v>
      </c>
      <c r="G20" s="878"/>
      <c r="H20" s="870"/>
      <c r="I20" s="870"/>
    </row>
    <row r="21" spans="1:9" s="879" customFormat="1" ht="19.5" customHeight="1">
      <c r="A21" s="3337"/>
      <c r="B21" s="3337"/>
      <c r="C21" s="875" t="s">
        <v>568</v>
      </c>
      <c r="D21" s="876"/>
      <c r="E21" s="874">
        <v>0.8</v>
      </c>
      <c r="F21" s="877" t="s">
        <v>569</v>
      </c>
      <c r="G21" s="878"/>
      <c r="H21" s="870"/>
      <c r="I21" s="870"/>
    </row>
    <row r="22" spans="1:9" s="879" customFormat="1" ht="19.5" customHeight="1">
      <c r="A22" s="3337"/>
      <c r="B22" s="3337"/>
      <c r="C22" s="875" t="s">
        <v>570</v>
      </c>
      <c r="D22" s="876"/>
      <c r="E22" s="874">
        <v>0.5</v>
      </c>
      <c r="F22" s="877"/>
      <c r="G22" s="878"/>
      <c r="H22" s="870"/>
      <c r="I22" s="870"/>
    </row>
    <row r="23" spans="1:9" s="879" customFormat="1" ht="19.5" customHeight="1">
      <c r="A23" s="3337" t="s">
        <v>184</v>
      </c>
      <c r="B23" s="874" t="s">
        <v>560</v>
      </c>
      <c r="C23" s="875" t="s">
        <v>571</v>
      </c>
      <c r="D23" s="876"/>
      <c r="E23" s="874">
        <v>1</v>
      </c>
      <c r="F23" s="877" t="s">
        <v>572</v>
      </c>
      <c r="G23" s="878"/>
      <c r="H23" s="870"/>
      <c r="I23" s="870"/>
    </row>
    <row r="24" spans="1:9" s="879" customFormat="1" ht="19.5" customHeight="1">
      <c r="A24" s="3337"/>
      <c r="B24" s="3337" t="s">
        <v>563</v>
      </c>
      <c r="C24" s="875" t="s">
        <v>573</v>
      </c>
      <c r="D24" s="876"/>
      <c r="E24" s="874">
        <v>0.5</v>
      </c>
      <c r="F24" s="877"/>
      <c r="G24" s="878"/>
      <c r="H24" s="870"/>
      <c r="I24" s="870"/>
    </row>
    <row r="25" spans="1:9" s="879" customFormat="1" ht="19.5" customHeight="1">
      <c r="A25" s="3337"/>
      <c r="B25" s="3337"/>
      <c r="C25" s="875" t="s">
        <v>574</v>
      </c>
      <c r="D25" s="876"/>
      <c r="E25" s="874">
        <v>1.1000000000000001</v>
      </c>
      <c r="F25" s="877"/>
      <c r="G25" s="878"/>
      <c r="H25" s="870"/>
      <c r="I25" s="870"/>
    </row>
    <row r="26" spans="1:9" s="879" customFormat="1" ht="19.5" customHeight="1">
      <c r="A26" s="3337"/>
      <c r="B26" s="3337"/>
      <c r="C26" s="875" t="s">
        <v>575</v>
      </c>
      <c r="D26" s="876"/>
      <c r="E26" s="874">
        <v>1.1000000000000001</v>
      </c>
      <c r="F26" s="877"/>
      <c r="G26" s="878"/>
      <c r="H26" s="870"/>
      <c r="I26" s="870"/>
    </row>
    <row r="27" spans="1:9" s="879" customFormat="1" ht="19.5" customHeight="1">
      <c r="A27" s="3337"/>
      <c r="B27" s="3337"/>
      <c r="C27" s="875" t="s">
        <v>576</v>
      </c>
      <c r="D27" s="876"/>
      <c r="E27" s="874">
        <v>0.9</v>
      </c>
      <c r="F27" s="877" t="s">
        <v>577</v>
      </c>
      <c r="G27" s="878"/>
      <c r="H27" s="870"/>
      <c r="I27" s="870"/>
    </row>
    <row r="28" spans="1:9" s="879" customFormat="1" ht="19.5" customHeight="1">
      <c r="A28" s="3337"/>
      <c r="B28" s="3337"/>
      <c r="C28" s="875" t="s">
        <v>578</v>
      </c>
      <c r="D28" s="876"/>
      <c r="E28" s="874">
        <v>0.9</v>
      </c>
      <c r="F28" s="877" t="s">
        <v>579</v>
      </c>
      <c r="G28" s="878"/>
      <c r="H28" s="870"/>
      <c r="I28" s="870"/>
    </row>
    <row r="29" spans="1:9" s="879" customFormat="1" ht="19.5" customHeight="1">
      <c r="A29" s="3337"/>
      <c r="B29" s="3337"/>
      <c r="C29" s="875" t="s">
        <v>580</v>
      </c>
      <c r="D29" s="876"/>
      <c r="E29" s="874">
        <v>0.9</v>
      </c>
      <c r="F29" s="877" t="s">
        <v>581</v>
      </c>
      <c r="G29" s="878"/>
      <c r="H29" s="870"/>
      <c r="I29" s="870"/>
    </row>
    <row r="30" spans="1:9" s="879" customFormat="1" ht="19.5" customHeight="1">
      <c r="A30" s="3337"/>
      <c r="B30" s="3337"/>
      <c r="C30" s="875" t="s">
        <v>582</v>
      </c>
      <c r="D30" s="876"/>
      <c r="E30" s="874">
        <v>0.9</v>
      </c>
      <c r="F30" s="877" t="s">
        <v>583</v>
      </c>
      <c r="G30" s="878"/>
      <c r="H30" s="870"/>
      <c r="I30" s="870"/>
    </row>
    <row r="31" spans="1:9" s="879" customFormat="1" ht="19.5" customHeight="1">
      <c r="A31" s="3337"/>
      <c r="B31" s="3337"/>
      <c r="C31" s="875" t="s">
        <v>584</v>
      </c>
      <c r="D31" s="876"/>
      <c r="E31" s="874">
        <v>0.8</v>
      </c>
      <c r="F31" s="877" t="s">
        <v>585</v>
      </c>
      <c r="G31" s="878"/>
      <c r="H31" s="870"/>
      <c r="I31" s="870"/>
    </row>
    <row r="32" spans="1:9" s="879" customFormat="1" ht="19.5" customHeight="1">
      <c r="A32" s="3337"/>
      <c r="B32" s="3337"/>
      <c r="C32" s="875" t="s">
        <v>586</v>
      </c>
      <c r="D32" s="876"/>
      <c r="E32" s="874">
        <v>0.8</v>
      </c>
      <c r="F32" s="877" t="s">
        <v>587</v>
      </c>
      <c r="G32" s="878"/>
      <c r="H32" s="870"/>
      <c r="I32" s="870"/>
    </row>
    <row r="33" spans="1:9" s="879" customFormat="1" ht="19.5" customHeight="1">
      <c r="A33" s="3337" t="s">
        <v>185</v>
      </c>
      <c r="B33" s="874" t="s">
        <v>560</v>
      </c>
      <c r="C33" s="875" t="s">
        <v>588</v>
      </c>
      <c r="D33" s="876"/>
      <c r="E33" s="874">
        <v>1</v>
      </c>
      <c r="F33" s="877" t="s">
        <v>589</v>
      </c>
      <c r="G33" s="878"/>
      <c r="H33" s="870"/>
      <c r="I33" s="870"/>
    </row>
    <row r="34" spans="1:9" s="879" customFormat="1" ht="19.5" customHeight="1">
      <c r="A34" s="3337"/>
      <c r="B34" s="874" t="s">
        <v>563</v>
      </c>
      <c r="C34" s="875" t="s">
        <v>590</v>
      </c>
      <c r="D34" s="876"/>
      <c r="E34" s="874">
        <v>1.5</v>
      </c>
      <c r="F34" s="877" t="s">
        <v>591</v>
      </c>
      <c r="G34" s="878"/>
      <c r="H34" s="870"/>
      <c r="I34" s="870"/>
    </row>
    <row r="35" spans="1:9" s="879" customFormat="1" ht="19.5" customHeight="1">
      <c r="A35" s="3337" t="s">
        <v>186</v>
      </c>
      <c r="B35" s="874" t="s">
        <v>560</v>
      </c>
      <c r="C35" s="875" t="s">
        <v>592</v>
      </c>
      <c r="D35" s="876"/>
      <c r="E35" s="874">
        <v>1</v>
      </c>
      <c r="F35" s="877" t="s">
        <v>593</v>
      </c>
      <c r="G35" s="878"/>
      <c r="H35" s="870"/>
      <c r="I35" s="870"/>
    </row>
    <row r="36" spans="1:9" s="879" customFormat="1" ht="19.5" customHeight="1">
      <c r="A36" s="3337"/>
      <c r="B36" s="3337" t="s">
        <v>563</v>
      </c>
      <c r="C36" s="875" t="s">
        <v>594</v>
      </c>
      <c r="D36" s="876"/>
      <c r="E36" s="874">
        <v>1</v>
      </c>
      <c r="F36" s="877" t="s">
        <v>595</v>
      </c>
      <c r="G36" s="878"/>
      <c r="H36" s="870"/>
      <c r="I36" s="870"/>
    </row>
    <row r="37" spans="1:9" s="879" customFormat="1" ht="19.5" customHeight="1">
      <c r="A37" s="3337"/>
      <c r="B37" s="3337"/>
      <c r="C37" s="875" t="s">
        <v>596</v>
      </c>
      <c r="D37" s="876"/>
      <c r="E37" s="874">
        <v>1.5</v>
      </c>
      <c r="F37" s="877" t="s">
        <v>597</v>
      </c>
      <c r="G37" s="878"/>
      <c r="H37" s="870"/>
      <c r="I37" s="870"/>
    </row>
    <row r="38" spans="1:9" s="879" customFormat="1" ht="19.5" customHeight="1">
      <c r="A38" s="3337"/>
      <c r="B38" s="3337"/>
      <c r="C38" s="875" t="s">
        <v>598</v>
      </c>
      <c r="D38" s="876"/>
      <c r="E38" s="874">
        <v>1</v>
      </c>
      <c r="F38" s="877" t="s">
        <v>599</v>
      </c>
      <c r="G38" s="878"/>
      <c r="H38" s="870"/>
      <c r="I38" s="870"/>
    </row>
    <row r="39" spans="1:9" s="879" customFormat="1" ht="19.5" customHeight="1">
      <c r="A39" s="3337"/>
      <c r="B39" s="333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37" t="s">
        <v>614</v>
      </c>
      <c r="C61" s="810" t="s">
        <v>615</v>
      </c>
      <c r="D61" s="810" t="s">
        <v>616</v>
      </c>
      <c r="E61" s="887">
        <v>0.5</v>
      </c>
      <c r="F61" s="874">
        <v>80</v>
      </c>
    </row>
    <row r="62" spans="1:8" s="870" customFormat="1" ht="24">
      <c r="A62" s="874">
        <v>2</v>
      </c>
      <c r="B62" s="3337"/>
      <c r="C62" s="810" t="s">
        <v>617</v>
      </c>
      <c r="D62" s="810" t="s">
        <v>618</v>
      </c>
      <c r="E62" s="887">
        <v>0.5</v>
      </c>
      <c r="F62" s="874">
        <v>80</v>
      </c>
    </row>
    <row r="63" spans="1:8" s="870" customFormat="1" ht="36">
      <c r="A63" s="874">
        <v>3</v>
      </c>
      <c r="B63" s="3337"/>
      <c r="C63" s="810" t="s">
        <v>619</v>
      </c>
      <c r="D63" s="810" t="s">
        <v>620</v>
      </c>
      <c r="E63" s="887">
        <v>0.5</v>
      </c>
      <c r="F63" s="874">
        <v>80</v>
      </c>
    </row>
    <row r="64" spans="1:8" s="870" customFormat="1" ht="36">
      <c r="A64" s="874">
        <v>4</v>
      </c>
      <c r="B64" s="3337"/>
      <c r="C64" s="810" t="s">
        <v>621</v>
      </c>
      <c r="D64" s="810" t="s">
        <v>622</v>
      </c>
      <c r="E64" s="887">
        <v>0.4</v>
      </c>
      <c r="F64" s="874">
        <v>60</v>
      </c>
    </row>
    <row r="65" spans="1:6" s="870" customFormat="1" ht="36">
      <c r="A65" s="874">
        <v>5</v>
      </c>
      <c r="B65" s="3337"/>
      <c r="C65" s="810" t="s">
        <v>623</v>
      </c>
      <c r="D65" s="810" t="s">
        <v>624</v>
      </c>
      <c r="E65" s="887">
        <v>0.2</v>
      </c>
      <c r="F65" s="874">
        <v>30</v>
      </c>
    </row>
    <row r="66" spans="1:6" s="870" customFormat="1" ht="36">
      <c r="A66" s="874">
        <v>6</v>
      </c>
      <c r="B66" s="3337"/>
      <c r="C66" s="810" t="s">
        <v>625</v>
      </c>
      <c r="D66" s="810" t="s">
        <v>626</v>
      </c>
      <c r="E66" s="887">
        <v>0.3</v>
      </c>
      <c r="F66" s="874">
        <v>50</v>
      </c>
    </row>
    <row r="67" spans="1:6" s="870" customFormat="1" ht="36">
      <c r="A67" s="874">
        <v>7</v>
      </c>
      <c r="B67" s="3337"/>
      <c r="C67" s="810" t="s">
        <v>627</v>
      </c>
      <c r="D67" s="810" t="s">
        <v>628</v>
      </c>
      <c r="E67" s="887">
        <v>0.2</v>
      </c>
      <c r="F67" s="874">
        <v>30</v>
      </c>
    </row>
    <row r="68" spans="1:6" s="870" customFormat="1" ht="36">
      <c r="A68" s="874">
        <v>8</v>
      </c>
      <c r="B68" s="3337"/>
      <c r="C68" s="810" t="s">
        <v>629</v>
      </c>
      <c r="D68" s="810" t="s">
        <v>630</v>
      </c>
      <c r="E68" s="887">
        <v>0.2</v>
      </c>
      <c r="F68" s="874">
        <v>30</v>
      </c>
    </row>
    <row r="69" spans="1:6" s="870" customFormat="1" ht="36">
      <c r="A69" s="874">
        <v>9</v>
      </c>
      <c r="B69" s="3337"/>
      <c r="C69" s="810" t="s">
        <v>631</v>
      </c>
      <c r="D69" s="810" t="s">
        <v>632</v>
      </c>
      <c r="E69" s="887">
        <v>0.2</v>
      </c>
      <c r="F69" s="874">
        <v>30</v>
      </c>
    </row>
    <row r="70" spans="1:6" s="870" customFormat="1" ht="48">
      <c r="A70" s="874">
        <v>10</v>
      </c>
      <c r="B70" s="3337"/>
      <c r="C70" s="810" t="s">
        <v>633</v>
      </c>
      <c r="D70" s="810" t="s">
        <v>634</v>
      </c>
      <c r="E70" s="887">
        <v>0.2</v>
      </c>
      <c r="F70" s="874">
        <v>30</v>
      </c>
    </row>
    <row r="71" spans="1:6" s="870" customFormat="1" ht="48">
      <c r="A71" s="874">
        <v>11</v>
      </c>
      <c r="B71" s="3337"/>
      <c r="C71" s="810" t="s">
        <v>635</v>
      </c>
      <c r="D71" s="810" t="s">
        <v>636</v>
      </c>
      <c r="E71" s="887">
        <v>0.2</v>
      </c>
      <c r="F71" s="874">
        <v>30</v>
      </c>
    </row>
    <row r="72" spans="1:6" s="870" customFormat="1" ht="36">
      <c r="A72" s="874">
        <v>12</v>
      </c>
      <c r="B72" s="3337"/>
      <c r="C72" s="810" t="s">
        <v>637</v>
      </c>
      <c r="D72" s="810" t="s">
        <v>638</v>
      </c>
      <c r="E72" s="887">
        <v>0.5</v>
      </c>
      <c r="F72" s="874">
        <v>80</v>
      </c>
    </row>
    <row r="73" spans="1:6" s="870" customFormat="1" ht="24">
      <c r="A73" s="874">
        <v>13</v>
      </c>
      <c r="B73" s="3337"/>
      <c r="C73" s="810" t="s">
        <v>639</v>
      </c>
      <c r="D73" s="810" t="s">
        <v>640</v>
      </c>
      <c r="E73" s="887">
        <v>0.4</v>
      </c>
      <c r="F73" s="874">
        <v>60</v>
      </c>
    </row>
    <row r="74" spans="1:6" s="870" customFormat="1" ht="24">
      <c r="A74" s="874">
        <v>14</v>
      </c>
      <c r="B74" s="3337"/>
      <c r="C74" s="810" t="s">
        <v>641</v>
      </c>
      <c r="D74" s="810" t="s">
        <v>642</v>
      </c>
      <c r="E74" s="887">
        <v>0.2</v>
      </c>
      <c r="F74" s="874">
        <v>30</v>
      </c>
    </row>
    <row r="75" spans="1:6" s="870" customFormat="1" ht="24">
      <c r="A75" s="874">
        <v>15</v>
      </c>
      <c r="B75" s="3337"/>
      <c r="C75" s="810" t="s">
        <v>643</v>
      </c>
      <c r="D75" s="810" t="s">
        <v>644</v>
      </c>
      <c r="E75" s="887">
        <v>0.2</v>
      </c>
      <c r="F75" s="874">
        <v>30</v>
      </c>
    </row>
    <row r="76" spans="1:6" s="870" customFormat="1" ht="24">
      <c r="A76" s="874">
        <v>16</v>
      </c>
      <c r="B76" s="3337" t="s">
        <v>645</v>
      </c>
      <c r="C76" s="810" t="s">
        <v>646</v>
      </c>
      <c r="D76" s="810" t="s">
        <v>647</v>
      </c>
      <c r="E76" s="887">
        <v>0.5</v>
      </c>
      <c r="F76" s="874">
        <v>80</v>
      </c>
    </row>
    <row r="77" spans="1:6" s="870" customFormat="1" ht="24">
      <c r="A77" s="874">
        <v>17</v>
      </c>
      <c r="B77" s="3337"/>
      <c r="C77" s="810" t="s">
        <v>648</v>
      </c>
      <c r="D77" s="810" t="s">
        <v>649</v>
      </c>
      <c r="E77" s="887">
        <v>0.5</v>
      </c>
      <c r="F77" s="874">
        <v>80</v>
      </c>
    </row>
    <row r="78" spans="1:6" s="870" customFormat="1" ht="24">
      <c r="A78" s="874">
        <v>18</v>
      </c>
      <c r="B78" s="3337"/>
      <c r="C78" s="810" t="s">
        <v>650</v>
      </c>
      <c r="D78" s="810" t="s">
        <v>651</v>
      </c>
      <c r="E78" s="887">
        <v>0.2</v>
      </c>
      <c r="F78" s="874">
        <v>30</v>
      </c>
    </row>
    <row r="79" spans="1:6" s="870" customFormat="1" ht="24">
      <c r="A79" s="874">
        <v>19</v>
      </c>
      <c r="B79" s="3337"/>
      <c r="C79" s="810" t="s">
        <v>652</v>
      </c>
      <c r="D79" s="810" t="s">
        <v>653</v>
      </c>
      <c r="E79" s="887">
        <v>0.5</v>
      </c>
      <c r="F79" s="874">
        <v>80</v>
      </c>
    </row>
    <row r="80" spans="1:6" s="870" customFormat="1" ht="36">
      <c r="A80" s="874">
        <v>20</v>
      </c>
      <c r="B80" s="3337"/>
      <c r="C80" s="810" t="s">
        <v>654</v>
      </c>
      <c r="D80" s="810" t="s">
        <v>655</v>
      </c>
      <c r="E80" s="887">
        <v>0.2</v>
      </c>
      <c r="F80" s="874">
        <v>30</v>
      </c>
    </row>
    <row r="81" spans="1:6" s="870" customFormat="1" ht="36">
      <c r="A81" s="874">
        <v>21</v>
      </c>
      <c r="B81" s="3337"/>
      <c r="C81" s="810" t="s">
        <v>656</v>
      </c>
      <c r="D81" s="810" t="s">
        <v>657</v>
      </c>
      <c r="E81" s="887">
        <v>0.2</v>
      </c>
      <c r="F81" s="874">
        <v>30</v>
      </c>
    </row>
    <row r="82" spans="1:6" s="870" customFormat="1" ht="48">
      <c r="A82" s="874">
        <v>22</v>
      </c>
      <c r="B82" s="3337"/>
      <c r="C82" s="810" t="s">
        <v>658</v>
      </c>
      <c r="D82" s="810" t="s">
        <v>659</v>
      </c>
      <c r="E82" s="887">
        <v>0.2</v>
      </c>
      <c r="F82" s="874">
        <v>30</v>
      </c>
    </row>
    <row r="83" spans="1:6" s="870" customFormat="1" ht="48">
      <c r="A83" s="874">
        <v>23</v>
      </c>
      <c r="B83" s="3337"/>
      <c r="C83" s="810" t="s">
        <v>660</v>
      </c>
      <c r="D83" s="810" t="s">
        <v>661</v>
      </c>
      <c r="E83" s="887">
        <v>0.2</v>
      </c>
      <c r="F83" s="874">
        <v>30</v>
      </c>
    </row>
    <row r="84" spans="1:6" s="870" customFormat="1" ht="36">
      <c r="A84" s="874">
        <v>24</v>
      </c>
      <c r="B84" s="3337"/>
      <c r="C84" s="810" t="s">
        <v>662</v>
      </c>
      <c r="D84" s="810" t="s">
        <v>663</v>
      </c>
      <c r="E84" s="887">
        <v>0.2</v>
      </c>
      <c r="F84" s="874">
        <v>30</v>
      </c>
    </row>
    <row r="85" spans="1:6" s="870" customFormat="1" ht="36">
      <c r="A85" s="874">
        <v>25</v>
      </c>
      <c r="B85" s="3337"/>
      <c r="C85" s="810" t="s">
        <v>664</v>
      </c>
      <c r="D85" s="810" t="s">
        <v>665</v>
      </c>
      <c r="E85" s="887">
        <v>0.5</v>
      </c>
      <c r="F85" s="874">
        <v>80</v>
      </c>
    </row>
    <row r="86" spans="1:6" s="870" customFormat="1" ht="36">
      <c r="A86" s="874">
        <v>26</v>
      </c>
      <c r="B86" s="3337"/>
      <c r="C86" s="810" t="s">
        <v>666</v>
      </c>
      <c r="D86" s="810" t="s">
        <v>667</v>
      </c>
      <c r="E86" s="887">
        <v>0.2</v>
      </c>
      <c r="F86" s="874">
        <v>30</v>
      </c>
    </row>
    <row r="87" spans="1:6" s="870" customFormat="1" ht="36">
      <c r="A87" s="874">
        <v>27</v>
      </c>
      <c r="B87" s="3337"/>
      <c r="C87" s="810" t="s">
        <v>668</v>
      </c>
      <c r="D87" s="810" t="s">
        <v>669</v>
      </c>
      <c r="E87" s="887">
        <v>0.2</v>
      </c>
      <c r="F87" s="874">
        <v>30</v>
      </c>
    </row>
    <row r="88" spans="1:6" s="870" customFormat="1" ht="36">
      <c r="A88" s="874">
        <v>28</v>
      </c>
      <c r="B88" s="3337"/>
      <c r="C88" s="810" t="s">
        <v>670</v>
      </c>
      <c r="D88" s="810" t="s">
        <v>671</v>
      </c>
      <c r="E88" s="887">
        <v>0.2</v>
      </c>
      <c r="F88" s="874">
        <v>30</v>
      </c>
    </row>
    <row r="89" spans="1:6" s="870" customFormat="1" ht="24">
      <c r="A89" s="874">
        <v>29</v>
      </c>
      <c r="B89" s="3337"/>
      <c r="C89" s="810" t="s">
        <v>672</v>
      </c>
      <c r="D89" s="810" t="s">
        <v>673</v>
      </c>
      <c r="E89" s="887">
        <v>0.2</v>
      </c>
      <c r="F89" s="874">
        <v>30</v>
      </c>
    </row>
    <row r="90" spans="1:6" s="870" customFormat="1" ht="24">
      <c r="A90" s="874">
        <v>30</v>
      </c>
      <c r="B90" s="3337"/>
      <c r="C90" s="810" t="s">
        <v>674</v>
      </c>
      <c r="D90" s="810" t="s">
        <v>675</v>
      </c>
      <c r="E90" s="887">
        <v>0.2</v>
      </c>
      <c r="F90" s="874">
        <v>30</v>
      </c>
    </row>
    <row r="91" spans="1:6" s="870" customFormat="1" ht="36">
      <c r="A91" s="874">
        <v>31</v>
      </c>
      <c r="B91" s="3337"/>
      <c r="C91" s="810" t="s">
        <v>676</v>
      </c>
      <c r="D91" s="810" t="s">
        <v>677</v>
      </c>
      <c r="E91" s="887">
        <v>0.2</v>
      </c>
      <c r="F91" s="874">
        <v>30</v>
      </c>
    </row>
    <row r="92" spans="1:6" s="870" customFormat="1" ht="24">
      <c r="A92" s="874">
        <v>32</v>
      </c>
      <c r="B92" s="3337" t="s">
        <v>678</v>
      </c>
      <c r="C92" s="874" t="s">
        <v>679</v>
      </c>
      <c r="D92" s="810" t="s">
        <v>680</v>
      </c>
      <c r="E92" s="887">
        <v>0.2</v>
      </c>
      <c r="F92" s="874">
        <v>30</v>
      </c>
    </row>
    <row r="93" spans="1:6" s="870" customFormat="1" ht="36">
      <c r="A93" s="874">
        <v>33</v>
      </c>
      <c r="B93" s="3337"/>
      <c r="C93" s="874" t="s">
        <v>681</v>
      </c>
      <c r="D93" s="810" t="s">
        <v>682</v>
      </c>
      <c r="E93" s="887">
        <v>0.2</v>
      </c>
      <c r="F93" s="874">
        <v>30</v>
      </c>
    </row>
    <row r="94" spans="1:6" s="870" customFormat="1" ht="48">
      <c r="A94" s="874">
        <v>34</v>
      </c>
      <c r="B94" s="3337"/>
      <c r="C94" s="874" t="s">
        <v>683</v>
      </c>
      <c r="D94" s="810" t="s">
        <v>684</v>
      </c>
      <c r="E94" s="887">
        <v>0.2</v>
      </c>
      <c r="F94" s="874">
        <v>30</v>
      </c>
    </row>
    <row r="95" spans="1:6" s="870" customFormat="1" ht="36">
      <c r="A95" s="874">
        <v>35</v>
      </c>
      <c r="B95" s="3337"/>
      <c r="C95" s="874" t="s">
        <v>685</v>
      </c>
      <c r="D95" s="810" t="s">
        <v>686</v>
      </c>
      <c r="E95" s="887">
        <v>0.2</v>
      </c>
      <c r="F95" s="874">
        <v>30</v>
      </c>
    </row>
    <row r="96" spans="1:6" s="870" customFormat="1" ht="48">
      <c r="A96" s="874">
        <v>36</v>
      </c>
      <c r="B96" s="3337"/>
      <c r="C96" s="810" t="s">
        <v>687</v>
      </c>
      <c r="D96" s="810" t="s">
        <v>688</v>
      </c>
      <c r="E96" s="887">
        <v>0.2</v>
      </c>
      <c r="F96" s="874">
        <v>30</v>
      </c>
    </row>
    <row r="97" spans="1:6" s="870" customFormat="1" ht="36">
      <c r="A97" s="874">
        <v>37</v>
      </c>
      <c r="B97" s="3337"/>
      <c r="C97" s="874" t="s">
        <v>689</v>
      </c>
      <c r="D97" s="810" t="s">
        <v>690</v>
      </c>
      <c r="E97" s="887">
        <v>0.2</v>
      </c>
      <c r="F97" s="874">
        <v>30</v>
      </c>
    </row>
    <row r="98" spans="1:6" s="870" customFormat="1" ht="36">
      <c r="A98" s="874">
        <v>38</v>
      </c>
      <c r="B98" s="3337"/>
      <c r="C98" s="874" t="s">
        <v>691</v>
      </c>
      <c r="D98" s="810" t="s">
        <v>692</v>
      </c>
      <c r="E98" s="887">
        <v>0.2</v>
      </c>
      <c r="F98" s="874">
        <v>30</v>
      </c>
    </row>
    <row r="99" spans="1:6" s="870" customFormat="1" ht="36">
      <c r="A99" s="874">
        <v>39</v>
      </c>
      <c r="B99" s="3337" t="s">
        <v>693</v>
      </c>
      <c r="C99" s="874" t="s">
        <v>694</v>
      </c>
      <c r="D99" s="810" t="s">
        <v>695</v>
      </c>
      <c r="E99" s="887">
        <v>0.3</v>
      </c>
      <c r="F99" s="874">
        <v>50</v>
      </c>
    </row>
    <row r="100" spans="1:6" s="870" customFormat="1" ht="24">
      <c r="A100" s="874">
        <v>40</v>
      </c>
      <c r="B100" s="3337"/>
      <c r="C100" s="874" t="s">
        <v>696</v>
      </c>
      <c r="D100" s="810" t="s">
        <v>697</v>
      </c>
      <c r="E100" s="887">
        <v>0.2</v>
      </c>
      <c r="F100" s="874">
        <v>30</v>
      </c>
    </row>
    <row r="101" spans="1:6" s="870" customFormat="1" ht="36">
      <c r="A101" s="874">
        <v>41</v>
      </c>
      <c r="B101" s="333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37" t="s">
        <v>708</v>
      </c>
      <c r="C105" s="874" t="s">
        <v>709</v>
      </c>
      <c r="D105" s="810" t="s">
        <v>710</v>
      </c>
      <c r="E105" s="887">
        <v>0.2</v>
      </c>
      <c r="F105" s="874">
        <v>30</v>
      </c>
    </row>
    <row r="106" spans="1:6" s="870" customFormat="1" ht="36">
      <c r="A106" s="874">
        <v>46</v>
      </c>
      <c r="B106" s="3337"/>
      <c r="C106" s="874" t="s">
        <v>711</v>
      </c>
      <c r="D106" s="810" t="s">
        <v>712</v>
      </c>
      <c r="E106" s="887">
        <v>0.2</v>
      </c>
      <c r="F106" s="874">
        <v>30</v>
      </c>
    </row>
    <row r="107" spans="1:6" s="870" customFormat="1" ht="36">
      <c r="A107" s="874">
        <v>47</v>
      </c>
      <c r="B107" s="3337" t="s">
        <v>713</v>
      </c>
      <c r="C107" s="874" t="s">
        <v>714</v>
      </c>
      <c r="D107" s="810" t="s">
        <v>715</v>
      </c>
      <c r="E107" s="887">
        <v>0.3</v>
      </c>
      <c r="F107" s="874">
        <v>50</v>
      </c>
    </row>
    <row r="108" spans="1:6" s="870" customFormat="1" ht="36">
      <c r="A108" s="874">
        <v>48</v>
      </c>
      <c r="B108" s="333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37" t="s">
        <v>724</v>
      </c>
      <c r="C111" s="874" t="s">
        <v>725</v>
      </c>
      <c r="D111" s="810" t="s">
        <v>726</v>
      </c>
      <c r="E111" s="887">
        <v>0.2</v>
      </c>
      <c r="F111" s="874">
        <v>30</v>
      </c>
    </row>
    <row r="112" spans="1:6" s="870" customFormat="1" ht="24">
      <c r="A112" s="874">
        <v>52</v>
      </c>
      <c r="B112" s="3337"/>
      <c r="C112" s="874" t="s">
        <v>727</v>
      </c>
      <c r="D112" s="810" t="s">
        <v>728</v>
      </c>
      <c r="E112" s="887">
        <v>0.2</v>
      </c>
      <c r="F112" s="874">
        <v>30</v>
      </c>
    </row>
    <row r="113" spans="1:6" s="870" customFormat="1" ht="24">
      <c r="A113" s="874">
        <v>53</v>
      </c>
      <c r="B113" s="333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37" t="s">
        <v>737</v>
      </c>
      <c r="C116" s="874" t="s">
        <v>738</v>
      </c>
      <c r="D116" s="810" t="s">
        <v>739</v>
      </c>
      <c r="E116" s="887">
        <v>0.2</v>
      </c>
      <c r="F116" s="874">
        <v>30</v>
      </c>
    </row>
    <row r="117" spans="1:6" ht="36">
      <c r="A117" s="874">
        <v>57</v>
      </c>
      <c r="B117" s="333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0.87180000000000002</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2983</v>
      </c>
    </row>
    <row r="2" spans="1:5" ht="15.75">
      <c r="A2" s="2902" t="s">
        <v>2975</v>
      </c>
      <c r="B2" s="2903" t="e">
        <f ca="1">SUMIF(B6:B13,"&lt;&gt;#ref!",B6:B13)</f>
        <v>#DIV/0!</v>
      </c>
      <c r="C2" s="2902" t="s">
        <v>2976</v>
      </c>
      <c r="D2" s="2902" t="s">
        <v>2977</v>
      </c>
      <c r="E2" s="2903" t="e">
        <f ca="1">SUM(E6:E13)</f>
        <v>#REF!</v>
      </c>
    </row>
    <row r="3" spans="1:5" ht="15.75">
      <c r="A3" s="2902" t="s">
        <v>2978</v>
      </c>
      <c r="B3" s="2903" t="e">
        <f ca="1">ROUND(B2*10000/E2,0)</f>
        <v>#DIV/0!</v>
      </c>
      <c r="C3" s="2902" t="s">
        <v>2984</v>
      </c>
      <c r="D3" s="2904"/>
      <c r="E3" s="2904"/>
    </row>
    <row r="4" spans="1:5" ht="15.75">
      <c r="A4" s="2905"/>
      <c r="B4" s="2904"/>
      <c r="C4" s="2904"/>
      <c r="D4" s="2904"/>
      <c r="E4" s="2904"/>
    </row>
    <row r="5" spans="1:5" ht="28.5">
      <c r="A5" s="2906" t="s">
        <v>2979</v>
      </c>
      <c r="B5" s="2902" t="s">
        <v>2980</v>
      </c>
      <c r="C5" s="2903"/>
      <c r="D5" s="2904"/>
      <c r="E5" s="2902" t="s">
        <v>2981</v>
      </c>
    </row>
    <row r="6" spans="1:5" ht="15.75">
      <c r="A6" s="2907" t="s">
        <v>2982</v>
      </c>
      <c r="B6" s="2903" t="e">
        <f ca="1">SUMIF(INDIRECT("'"&amp;A6&amp;"'"&amp;"!A:A"),"总价",INDIRECT("'"&amp;A6&amp;"'"&amp;"!B:B"))</f>
        <v>#DIV/0!</v>
      </c>
      <c r="C6" s="2902" t="s">
        <v>2976</v>
      </c>
      <c r="D6" s="2904"/>
      <c r="E6" s="2567">
        <f ca="1">SUMIF(INDIRECT("'"&amp;A6&amp;"'"&amp;"!C:C"),"建筑面积",INDIRECT("'"&amp;A6&amp;"'"&amp;"!D:D"))</f>
        <v>0</v>
      </c>
    </row>
    <row r="7" spans="1:5" ht="15.75">
      <c r="A7" s="2907"/>
      <c r="B7" s="2903" t="e">
        <f ca="1">SUMIF(INDIRECT("'"&amp;A7&amp;"'"&amp;"!A:A"),"总价",INDIRECT("'"&amp;A7&amp;"'"&amp;"!B:B"))</f>
        <v>#REF!</v>
      </c>
      <c r="C7" s="2902" t="s">
        <v>2976</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2976</v>
      </c>
      <c r="D8" s="2904"/>
      <c r="E8" s="2567" t="e">
        <f t="shared" ca="1" si="0"/>
        <v>#REF!</v>
      </c>
    </row>
    <row r="9" spans="1:5" ht="15.75">
      <c r="A9" s="2907"/>
      <c r="B9" s="2903" t="e">
        <f t="shared" ca="1" si="1"/>
        <v>#REF!</v>
      </c>
      <c r="C9" s="2902" t="s">
        <v>2976</v>
      </c>
      <c r="D9" s="2904"/>
      <c r="E9" s="2567" t="e">
        <f t="shared" ca="1" si="0"/>
        <v>#REF!</v>
      </c>
    </row>
    <row r="10" spans="1:5" ht="15.75">
      <c r="A10" s="2907"/>
      <c r="B10" s="2903" t="e">
        <f t="shared" ca="1" si="1"/>
        <v>#REF!</v>
      </c>
      <c r="C10" s="2902" t="s">
        <v>2976</v>
      </c>
      <c r="D10" s="2904"/>
      <c r="E10" s="2567" t="e">
        <f t="shared" ca="1" si="0"/>
        <v>#REF!</v>
      </c>
    </row>
    <row r="11" spans="1:5" ht="15.75">
      <c r="A11" s="2907"/>
      <c r="B11" s="2903" t="e">
        <f t="shared" ca="1" si="1"/>
        <v>#REF!</v>
      </c>
      <c r="C11" s="2902" t="s">
        <v>2976</v>
      </c>
      <c r="D11" s="2904"/>
      <c r="E11" s="2567" t="e">
        <f t="shared" ca="1" si="0"/>
        <v>#REF!</v>
      </c>
    </row>
    <row r="12" spans="1:5" ht="15.75">
      <c r="A12" s="2907"/>
      <c r="B12" s="2903" t="e">
        <f t="shared" ca="1" si="1"/>
        <v>#REF!</v>
      </c>
      <c r="C12" s="2902" t="s">
        <v>2976</v>
      </c>
      <c r="D12" s="2904"/>
      <c r="E12" s="2567" t="e">
        <f t="shared" ca="1" si="0"/>
        <v>#REF!</v>
      </c>
    </row>
    <row r="13" spans="1:5" ht="15.75">
      <c r="A13" s="2907"/>
      <c r="B13" s="2903" t="e">
        <f t="shared" ca="1" si="1"/>
        <v>#REF!</v>
      </c>
      <c r="C13" s="2902" t="s">
        <v>2976</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43" t="s">
        <v>1150</v>
      </c>
      <c r="C1" s="3343"/>
      <c r="D1" s="3343"/>
      <c r="E1" s="3343"/>
      <c r="F1" s="3343"/>
      <c r="G1" s="3342" t="s">
        <v>1151</v>
      </c>
      <c r="H1" s="3342"/>
      <c r="I1" s="3342"/>
      <c r="J1" s="3342"/>
      <c r="K1" s="3342"/>
      <c r="L1" s="3342"/>
      <c r="N1" s="3342" t="s">
        <v>1152</v>
      </c>
      <c r="O1" s="3342"/>
      <c r="P1" s="3342"/>
      <c r="Q1" s="3342"/>
      <c r="R1" s="1440"/>
      <c r="S1" s="3342" t="s">
        <v>1153</v>
      </c>
      <c r="T1" s="3342"/>
      <c r="U1" s="3342"/>
      <c r="V1" s="3342"/>
      <c r="X1" s="3341" t="s">
        <v>1154</v>
      </c>
      <c r="Y1" s="3342"/>
      <c r="Z1" s="3342"/>
      <c r="AA1" s="3342"/>
      <c r="AB1" s="3342"/>
      <c r="AD1" s="3341" t="s">
        <v>1155</v>
      </c>
      <c r="AE1" s="3342"/>
      <c r="AF1" s="3342"/>
      <c r="AG1" s="3342"/>
      <c r="AH1" s="3342"/>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3018</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3017</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3014</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3015</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4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39"/>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39"/>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40"/>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38">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39"/>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39"/>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40"/>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38">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39"/>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39"/>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40"/>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4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4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4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4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38">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39"/>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39"/>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40"/>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38">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39">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39">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40">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38">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39">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39">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40">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38">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39">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39">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40">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38">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39">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39">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40">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38">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39">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39">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40">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38">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39">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39">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40">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38">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39">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39">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40">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38">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39">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39">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40">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38">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39">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39">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40">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38">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39">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39">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40">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2985</v>
      </c>
      <c r="C1" s="3349" t="s">
        <v>2986</v>
      </c>
      <c r="D1" s="3350"/>
      <c r="E1" s="3350"/>
      <c r="F1" s="3350"/>
      <c r="G1" s="3350"/>
      <c r="H1" s="3350"/>
      <c r="I1" s="3350"/>
      <c r="J1" s="3350"/>
      <c r="K1" s="3350"/>
      <c r="L1" s="3350"/>
      <c r="M1" s="3350"/>
      <c r="N1" s="3350"/>
      <c r="O1" s="3350"/>
      <c r="P1" s="3350"/>
      <c r="Q1" s="3350"/>
      <c r="R1" s="3350"/>
      <c r="S1" s="3351"/>
      <c r="T1" s="1198" t="s">
        <v>2987</v>
      </c>
    </row>
    <row r="2" spans="1:45" s="703" customFormat="1">
      <c r="A2" s="1199"/>
      <c r="B2" s="699" t="s">
        <v>2988</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2989</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2990</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2991</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2992</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2993</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2994</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2995</v>
      </c>
      <c r="B17" s="2909" t="s">
        <v>2996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2997</v>
      </c>
      <c r="E19" s="1785"/>
      <c r="F19" s="1785"/>
      <c r="G19" s="1785"/>
      <c r="H19" s="1274"/>
      <c r="I19" s="165"/>
      <c r="J19" s="165"/>
      <c r="K19" s="165"/>
      <c r="L19" s="165"/>
      <c r="M19" s="165"/>
      <c r="N19" s="165"/>
      <c r="O19" s="165"/>
      <c r="P19" s="165"/>
      <c r="Q19" s="165"/>
      <c r="R19" s="784"/>
      <c r="S19" s="138"/>
    </row>
    <row r="20" spans="1:45" ht="16.5" thickBot="1">
      <c r="A20" s="711" t="s">
        <v>2998</v>
      </c>
      <c r="B20" s="335" t="e">
        <f ca="1">IF(D20="——",S22,S22-F20)</f>
        <v>#REF!</v>
      </c>
      <c r="C20" s="165"/>
      <c r="D20" s="2911" t="s">
        <v>2999</v>
      </c>
      <c r="E20" s="1786"/>
      <c r="F20" s="1198" t="e">
        <f ca="1">SUMIF(INDIRECT("'"&amp;H20&amp;"'"&amp;"!A:A"),"承租人权益价值",INDIRECT("'"&amp;H20&amp;"'"&amp;"!c:c"))</f>
        <v>#REF!</v>
      </c>
      <c r="G20" s="1198" t="s">
        <v>3000</v>
      </c>
      <c r="H20" s="2912"/>
      <c r="I20" s="165"/>
      <c r="J20" s="165"/>
      <c r="K20" s="165"/>
      <c r="L20" s="165"/>
      <c r="M20" s="165"/>
      <c r="N20" s="165"/>
      <c r="O20" s="165"/>
      <c r="P20" s="165"/>
      <c r="Q20" s="165"/>
      <c r="R20" s="784"/>
      <c r="S20" s="138"/>
    </row>
    <row r="21" spans="1:45" ht="15.75">
      <c r="A21" s="711" t="s">
        <v>3001</v>
      </c>
      <c r="B21" s="335">
        <f>R22</f>
        <v>10000</v>
      </c>
      <c r="C21" s="165"/>
      <c r="D21" s="165"/>
      <c r="E21" s="165"/>
      <c r="F21" s="165"/>
      <c r="G21" s="165"/>
      <c r="H21" s="165"/>
      <c r="I21" s="165"/>
      <c r="J21" s="165"/>
      <c r="K21" s="165"/>
      <c r="L21" s="165"/>
      <c r="M21" s="165"/>
      <c r="N21" s="165"/>
      <c r="O21" s="165"/>
      <c r="P21" s="165"/>
      <c r="Q21" s="165"/>
      <c r="R21" s="784"/>
      <c r="S21" s="138"/>
    </row>
    <row r="22" spans="1:45">
      <c r="A22" s="358" t="s">
        <v>3002</v>
      </c>
      <c r="B22" s="24">
        <f>SUM(B24:B10000)</f>
        <v>100</v>
      </c>
      <c r="C22" s="3210" t="s">
        <v>33</v>
      </c>
      <c r="D22" s="3211"/>
      <c r="E22" s="3211"/>
      <c r="F22" s="3211"/>
      <c r="G22" s="3211"/>
      <c r="H22" s="3211"/>
      <c r="I22" s="3211"/>
      <c r="J22" s="3211"/>
      <c r="K22" s="3211"/>
      <c r="L22" s="3211"/>
      <c r="M22" s="3211"/>
      <c r="N22" s="3211"/>
      <c r="O22" s="3211"/>
      <c r="P22" s="3211"/>
      <c r="Q22" s="3348"/>
      <c r="R22" s="712">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3" t="s">
        <v>3006</v>
      </c>
      <c r="S23" s="11" t="s">
        <v>3007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3008</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102161</v>
      </c>
      <c r="C2" s="2" t="s">
        <v>133</v>
      </c>
      <c r="D2" s="240"/>
      <c r="E2" s="240"/>
      <c r="F2" s="240"/>
      <c r="G2" s="240"/>
    </row>
    <row r="3" spans="1:7" s="241" customFormat="1" ht="18" customHeight="1" thickBot="1">
      <c r="A3" s="244" t="s">
        <v>85</v>
      </c>
      <c r="B3" s="245">
        <f ca="1">ROUND(B2*10000/'数据-汇总表'!E3,0)</f>
        <v>7389</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2765</v>
      </c>
      <c r="D10" s="1027">
        <f>'数据-汇总表'!E6</f>
        <v>138263.03999999998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2765</v>
      </c>
      <c r="D19" s="1031">
        <f>'数据-汇总表'!E3</f>
        <v>138263.03999999998</v>
      </c>
      <c r="E19" s="252">
        <f>'数据-取费表'!B31</f>
        <v>200</v>
      </c>
      <c r="F19" s="272"/>
      <c r="G19" s="1" t="s">
        <v>1074</v>
      </c>
    </row>
    <row r="20" spans="1:7" s="255" customFormat="1" ht="13.5" customHeight="1">
      <c r="A20" s="943" t="s">
        <v>1057</v>
      </c>
      <c r="B20" s="251" t="s">
        <v>104</v>
      </c>
      <c r="C20" s="273">
        <f>ROUND((C5+C19)*F20,0)</f>
        <v>234</v>
      </c>
      <c r="D20" s="273"/>
      <c r="E20" s="273"/>
      <c r="F20" s="274">
        <f>'数据-取费表'!B37</f>
        <v>0.01</v>
      </c>
      <c r="G20" s="1283" t="s">
        <v>1068</v>
      </c>
    </row>
    <row r="21" spans="1:7" s="255" customFormat="1" ht="13.5" customHeight="1">
      <c r="A21" s="943" t="s">
        <v>1059</v>
      </c>
      <c r="B21" s="251" t="s">
        <v>105</v>
      </c>
      <c r="C21" s="276">
        <f>F21</f>
        <v>0.01</v>
      </c>
      <c r="D21" s="277" t="s">
        <v>126</v>
      </c>
      <c r="E21" s="273"/>
      <c r="F21" s="274">
        <f>'数据-取费表'!B38</f>
        <v>0.01</v>
      </c>
      <c r="G21" s="275" t="s">
        <v>106</v>
      </c>
    </row>
    <row r="22" spans="1:7" s="255" customFormat="1" ht="13.5" customHeight="1">
      <c r="A22" s="943" t="s">
        <v>786</v>
      </c>
      <c r="B22" s="251" t="s">
        <v>107</v>
      </c>
      <c r="C22" s="1348">
        <f ca="1">ROUND(SUM(C23:C25),0)</f>
        <v>2284</v>
      </c>
      <c r="D22" s="276">
        <f ca="1">C26</f>
        <v>5.0000000000000001E-4</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269</v>
      </c>
      <c r="D24" s="279"/>
      <c r="E24" s="279"/>
      <c r="F24" s="280"/>
      <c r="G24" s="281" t="s">
        <v>109</v>
      </c>
    </row>
    <row r="25" spans="1:7" s="255" customFormat="1" ht="24">
      <c r="A25" s="946" t="s">
        <v>793</v>
      </c>
      <c r="B25" s="256" t="s">
        <v>1058</v>
      </c>
      <c r="C25" s="1349">
        <f ca="1">ROUND(IF('数据-取费表'!B22&lt;=1,C20*F22*'数据-取费表'!B23/2,C20*(POWER((1+F22),'数据-取费表'!B23/2)-1)),0)</f>
        <v>11</v>
      </c>
      <c r="D25" s="279"/>
      <c r="E25" s="282"/>
      <c r="F25" s="280"/>
      <c r="G25" s="283" t="s">
        <v>110</v>
      </c>
    </row>
    <row r="26" spans="1:7" s="255" customFormat="1">
      <c r="A26" s="946" t="s">
        <v>795</v>
      </c>
      <c r="B26" s="256" t="s">
        <v>1060</v>
      </c>
      <c r="C26" s="279">
        <f ca="1">ROUND(IF('数据-取费表'!B22&lt;=1,F21*F22*'数据-取费表'!B23/2,F21*(POWER((1+F22),'数据-取费表'!B23/2)-1)),4)</f>
        <v>5.0000000000000001E-4</v>
      </c>
      <c r="D26" s="279"/>
      <c r="E26" s="282"/>
      <c r="F26" s="280"/>
      <c r="G26" s="284"/>
    </row>
    <row r="27" spans="1:7" s="255" customFormat="1" ht="24.75">
      <c r="A27" s="943" t="s">
        <v>787</v>
      </c>
      <c r="B27" s="285" t="s">
        <v>112</v>
      </c>
      <c r="C27" s="286">
        <f>C28</f>
        <v>2361</v>
      </c>
      <c r="D27" s="276">
        <f>C29</f>
        <v>1E-3</v>
      </c>
      <c r="E27" s="277" t="s">
        <v>126</v>
      </c>
      <c r="F27" s="287">
        <f>'数据-取费表'!Q16</f>
        <v>0.1</v>
      </c>
      <c r="G27" s="288" t="s">
        <v>1069</v>
      </c>
    </row>
    <row r="28" spans="1:7" s="255" customFormat="1" ht="13.5" customHeight="1">
      <c r="A28" s="946" t="s">
        <v>794</v>
      </c>
      <c r="B28" s="289" t="s">
        <v>1062</v>
      </c>
      <c r="C28" s="290">
        <f>ROUND((C5+C19+C20)*F27*'数据-取费表'!B21/'数据-取费表'!B20,0)</f>
        <v>2361</v>
      </c>
      <c r="D28" s="276"/>
      <c r="E28" s="277"/>
      <c r="F28" s="287"/>
      <c r="G28" s="288"/>
    </row>
    <row r="29" spans="1:7" s="255" customFormat="1" ht="13.5" customHeight="1">
      <c r="A29" s="946" t="s">
        <v>792</v>
      </c>
      <c r="B29" s="289" t="s">
        <v>1063</v>
      </c>
      <c r="C29" s="279">
        <f>ROUND(C21*F27*'数据-取费表'!B21/'数据-取费表'!B20,4)</f>
        <v>1E-3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30213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59239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53028</v>
      </c>
      <c r="D34" s="258"/>
      <c r="E34" s="261"/>
      <c r="F34" s="298">
        <f>IF('数据-取费表'!B24=0,1,'数据-取费表'!N16)</f>
        <v>1</v>
      </c>
      <c r="G34" s="260" t="s">
        <v>116</v>
      </c>
    </row>
    <row r="35" spans="1:7" ht="13.5" customHeight="1">
      <c r="A35" s="946" t="s">
        <v>796</v>
      </c>
      <c r="B35" s="256" t="s">
        <v>60</v>
      </c>
      <c r="C35" s="261">
        <f>ROUND(C34*F35,0)</f>
        <v>2651</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2765</v>
      </c>
      <c r="D37" s="258">
        <f>'数据-汇总表'!E3</f>
        <v>138263.03999999998</v>
      </c>
      <c r="E37" s="290">
        <f>'数据-取费表'!B35</f>
        <v>200</v>
      </c>
      <c r="F37" s="300"/>
      <c r="G37" s="302" t="s">
        <v>119</v>
      </c>
    </row>
    <row r="38" spans="1:7" ht="13.5" customHeight="1">
      <c r="A38" s="946" t="s">
        <v>799</v>
      </c>
      <c r="B38" s="256" t="s">
        <v>63</v>
      </c>
      <c r="C38" s="261">
        <f>ROUND(C34*F38,0)</f>
        <v>795</v>
      </c>
      <c r="D38" s="261"/>
      <c r="E38" s="261"/>
      <c r="F38" s="300">
        <f>'数据-取费表'!B36</f>
        <v>1.4999999999999999E-2</v>
      </c>
      <c r="G38" s="260" t="s">
        <v>117</v>
      </c>
    </row>
    <row r="39" spans="1:7" s="255" customFormat="1" ht="13.5" customHeight="1">
      <c r="A39" s="943" t="s">
        <v>783</v>
      </c>
      <c r="B39" s="251" t="s">
        <v>104</v>
      </c>
      <c r="C39" s="273">
        <f>ROUND(C33*F20,0)</f>
        <v>592</v>
      </c>
      <c r="D39" s="273"/>
      <c r="E39" s="273"/>
      <c r="F39" s="274"/>
      <c r="G39" s="1283" t="s">
        <v>1071</v>
      </c>
    </row>
    <row r="40" spans="1:7" s="255" customFormat="1" ht="13.5" customHeight="1">
      <c r="A40" s="943" t="s">
        <v>784</v>
      </c>
      <c r="B40" s="251" t="s">
        <v>105</v>
      </c>
      <c r="C40" s="303">
        <f>F21</f>
        <v>0.01</v>
      </c>
      <c r="D40" s="277" t="s">
        <v>129</v>
      </c>
      <c r="E40" s="273"/>
      <c r="F40" s="274"/>
      <c r="G40" s="275" t="s">
        <v>120</v>
      </c>
    </row>
    <row r="41" spans="1:7" s="255" customFormat="1" ht="13.5" customHeight="1">
      <c r="A41" s="943" t="s">
        <v>785</v>
      </c>
      <c r="B41" s="251" t="s">
        <v>107</v>
      </c>
      <c r="C41" s="273">
        <f ca="1">ROUND(SUM(C42:C43),0)</f>
        <v>2842</v>
      </c>
      <c r="D41" s="276">
        <f ca="1">C44</f>
        <v>5.0000000000000001E-4</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2814</v>
      </c>
      <c r="D42" s="279"/>
      <c r="E42" s="279"/>
      <c r="F42" s="280"/>
      <c r="G42" s="3215" t="s">
        <v>121</v>
      </c>
    </row>
    <row r="43" spans="1:7" ht="13.5" customHeight="1">
      <c r="A43" s="946" t="s">
        <v>792</v>
      </c>
      <c r="B43" s="256" t="s">
        <v>1064</v>
      </c>
      <c r="C43" s="279">
        <f ca="1">ROUND(IF('数据-取费表'!B22&lt;=1,C39*F22*'数据-取费表'!B21/2,C39*(POWER((1+F22),'数据-取费表'!B21/2)-1)),0)</f>
        <v>28</v>
      </c>
      <c r="D43" s="279"/>
      <c r="E43" s="279"/>
      <c r="F43" s="280"/>
      <c r="G43" s="3216"/>
    </row>
    <row r="44" spans="1:7" ht="13.5" customHeight="1">
      <c r="A44" s="946" t="s">
        <v>793</v>
      </c>
      <c r="B44" s="256" t="s">
        <v>1066</v>
      </c>
      <c r="C44" s="279">
        <f ca="1">ROUND(IF('数据-取费表'!B22&lt;=1,C40*F22*'数据-取费表'!B21/2,C40*(POWER((1+F22),'数据-取费表'!B21/2)-1)),4)</f>
        <v>5.0000000000000001E-4</v>
      </c>
      <c r="D44" s="279"/>
      <c r="E44" s="279"/>
      <c r="F44" s="280"/>
      <c r="G44" s="3217"/>
    </row>
    <row r="45" spans="1:7" s="255" customFormat="1" ht="13.5" customHeight="1">
      <c r="A45" s="943" t="s">
        <v>786</v>
      </c>
      <c r="B45" s="285" t="s">
        <v>112</v>
      </c>
      <c r="C45" s="286">
        <f>C46</f>
        <v>5983</v>
      </c>
      <c r="D45" s="276">
        <f>C47</f>
        <v>1E-3</v>
      </c>
      <c r="E45" s="277" t="s">
        <v>129</v>
      </c>
      <c r="F45" s="287"/>
      <c r="G45" s="288" t="s">
        <v>1072</v>
      </c>
    </row>
    <row r="46" spans="1:7" s="255" customFormat="1" ht="13.5" customHeight="1">
      <c r="A46" s="946" t="s">
        <v>794</v>
      </c>
      <c r="B46" s="289" t="s">
        <v>1065</v>
      </c>
      <c r="C46" s="290">
        <f>ROUND((C33+C39)*F27,0)</f>
        <v>5983</v>
      </c>
      <c r="D46" s="304"/>
      <c r="E46" s="277"/>
      <c r="F46" s="287"/>
      <c r="G46" s="288"/>
    </row>
    <row r="47" spans="1:7" s="255" customFormat="1" ht="13.5" customHeight="1">
      <c r="A47" s="946" t="s">
        <v>792</v>
      </c>
      <c r="B47" s="289" t="s">
        <v>1067</v>
      </c>
      <c r="C47" s="279">
        <f>ROUND(C40*F27,4)</f>
        <v>1E-3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73416</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71948</v>
      </c>
      <c r="D51" s="273"/>
      <c r="E51" s="273"/>
      <c r="F51" s="305"/>
      <c r="G51" s="275" t="s">
        <v>64</v>
      </c>
    </row>
    <row r="52" spans="1:7" s="249" customFormat="1" ht="16.5" thickBot="1">
      <c r="A52" s="306" t="s">
        <v>65</v>
      </c>
      <c r="B52" s="307"/>
      <c r="C52" s="308">
        <f ca="1">C31+C51</f>
        <v>102161</v>
      </c>
      <c r="D52" s="307"/>
      <c r="E52" s="307"/>
      <c r="F52" s="307"/>
      <c r="G52" s="309"/>
    </row>
    <row r="55" spans="1:7" ht="15">
      <c r="B55" s="311" t="s">
        <v>66</v>
      </c>
      <c r="C55" s="312"/>
    </row>
    <row r="56" spans="1:7">
      <c r="B56" s="314" t="s">
        <v>67</v>
      </c>
      <c r="C56" s="315">
        <f ca="1">ROUND(C51/C52,3)</f>
        <v>0.70399999999999996</v>
      </c>
    </row>
    <row r="57" spans="1:7">
      <c r="B57" s="314" t="s">
        <v>68</v>
      </c>
      <c r="C57" s="316">
        <f ca="1">1-C56</f>
        <v>0.29600000000000004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4"/>
      <c r="B4" s="3033" t="s">
        <v>1630</v>
      </c>
      <c r="C4" s="3033"/>
      <c r="D4" s="3033"/>
      <c r="E4" s="1954"/>
    </row>
    <row r="5" spans="1:5" ht="16.5" thickTop="1">
      <c r="A5" s="1952"/>
      <c r="B5" s="3031" t="s">
        <v>1622</v>
      </c>
      <c r="C5" s="1955" t="s">
        <v>1623</v>
      </c>
      <c r="D5" s="1034">
        <f ca="1">结果表!H101</f>
        <v>452043</v>
      </c>
      <c r="E5" s="1952"/>
    </row>
    <row r="6" spans="1:5" ht="15.75">
      <c r="A6" s="1952"/>
      <c r="B6" s="3031"/>
      <c r="C6" s="1955" t="s">
        <v>1624</v>
      </c>
      <c r="D6" s="1034" t="str">
        <f ca="1">NUMBERSTRING(INT(D5*10000),2)&amp;"元整"</f>
        <v>肆拾伍亿贰仟零肆拾叁万元整</v>
      </c>
      <c r="E6" s="1952"/>
    </row>
    <row r="7" spans="1:5" ht="15.75">
      <c r="A7" s="1952"/>
      <c r="B7" s="3036"/>
      <c r="C7" s="1956" t="s">
        <v>1625</v>
      </c>
      <c r="D7" s="1035">
        <f ca="1">结果表!H102</f>
        <v>32694</v>
      </c>
      <c r="E7" s="1952"/>
    </row>
    <row r="8" spans="1:5" ht="15.75">
      <c r="A8" s="1952"/>
      <c r="B8" s="3037" t="str">
        <f>结果表!E103</f>
        <v>2.估价师知悉的法定优先受偿款</v>
      </c>
      <c r="C8" s="1957" t="s">
        <v>1626</v>
      </c>
      <c r="D8" s="1035">
        <f>结果表!H103</f>
        <v>26291</v>
      </c>
      <c r="E8" s="1952"/>
    </row>
    <row r="9" spans="1:5" ht="15.75">
      <c r="A9" s="1952"/>
      <c r="B9" s="3039"/>
      <c r="C9" s="1955" t="s">
        <v>1624</v>
      </c>
      <c r="D9" s="1034" t="str">
        <f>NUMBERSTRING(INT(D8*10000),2)&amp;"元整"</f>
        <v>贰亿陆仟贰佰玖拾壹万元整</v>
      </c>
      <c r="E9" s="1952"/>
    </row>
    <row r="10" spans="1:5" ht="15">
      <c r="A10" s="1952"/>
      <c r="B10" s="1958" t="s">
        <v>1629</v>
      </c>
      <c r="C10" s="1959" t="s">
        <v>1627</v>
      </c>
      <c r="D10" s="1036">
        <f>结果表!H104</f>
        <v>0</v>
      </c>
      <c r="E10" s="1952"/>
    </row>
    <row r="11" spans="1:5" ht="15">
      <c r="A11" s="1952"/>
      <c r="B11" s="1958" t="s">
        <v>1631</v>
      </c>
      <c r="C11" s="1959" t="s">
        <v>1632</v>
      </c>
      <c r="D11" s="1036">
        <f>结果表!H105</f>
        <v>26291</v>
      </c>
      <c r="E11" s="1952"/>
    </row>
    <row r="12" spans="1:5" ht="15">
      <c r="A12" s="1952"/>
      <c r="B12" s="1958" t="s">
        <v>1633</v>
      </c>
      <c r="C12" s="1959" t="s">
        <v>1632</v>
      </c>
      <c r="D12" s="1036">
        <f>结果表!H106</f>
        <v>0</v>
      </c>
      <c r="E12" s="1952"/>
    </row>
    <row r="13" spans="1:5" ht="15.75">
      <c r="A13" s="1952"/>
      <c r="B13" s="3030" t="str">
        <f>结果表!E107</f>
        <v>——</v>
      </c>
      <c r="C13" s="1960" t="s">
        <v>1623</v>
      </c>
      <c r="D13" s="1037" t="str">
        <f>结果表!H107</f>
        <v>——</v>
      </c>
      <c r="E13" s="1952"/>
    </row>
    <row r="14" spans="1:5" ht="15.75">
      <c r="A14" s="1952"/>
      <c r="B14" s="3031"/>
      <c r="C14" s="1955" t="s">
        <v>1624</v>
      </c>
      <c r="D14" s="1034" t="e">
        <f>NUMBERSTRING(INT(D13*10000),2)&amp;"元整"</f>
        <v>#VALUE!</v>
      </c>
      <c r="E14" s="1952"/>
    </row>
    <row r="15" spans="1:5" ht="15">
      <c r="A15" s="1952"/>
      <c r="B15" s="3036"/>
      <c r="C15" s="1956" t="s">
        <v>1634</v>
      </c>
      <c r="D15" s="1046" t="e">
        <f>结果表!H108</f>
        <v>#VALUE!</v>
      </c>
      <c r="E15" s="1952"/>
    </row>
    <row r="16" spans="1:5" ht="15">
      <c r="A16" s="1952"/>
      <c r="B16" s="3037" t="str">
        <f>结果表!E109</f>
        <v>3.抵押担保权已注销时的房地产抵押价值</v>
      </c>
      <c r="C16" s="1960" t="s">
        <v>1635</v>
      </c>
      <c r="D16" s="1961">
        <f ca="1">结果表!H109</f>
        <v>425752</v>
      </c>
      <c r="E16" s="1952"/>
    </row>
    <row r="17" spans="1:5" ht="15.75">
      <c r="A17" s="1952"/>
      <c r="B17" s="3038"/>
      <c r="C17" s="1955" t="s">
        <v>1636</v>
      </c>
      <c r="D17" s="1034" t="str">
        <f ca="1">NUMBERSTRING(INT(D16*10000),2)&amp;"元整"</f>
        <v>肆拾贰亿伍仟柒佰伍拾贰万元整</v>
      </c>
      <c r="E17" s="1952"/>
    </row>
    <row r="18" spans="1:5" ht="15">
      <c r="A18" s="1952"/>
      <c r="B18" s="3039"/>
      <c r="C18" s="1956" t="s">
        <v>1625</v>
      </c>
      <c r="D18" s="1046">
        <f ca="1">结果表!H110</f>
        <v>30793</v>
      </c>
      <c r="E18" s="1952"/>
    </row>
    <row r="19" spans="1:5" ht="15.75">
      <c r="A19" s="1952"/>
      <c r="B19" s="3030" t="str">
        <f>结果表!E111</f>
        <v>——</v>
      </c>
      <c r="C19" s="1960" t="s">
        <v>1623</v>
      </c>
      <c r="D19" s="1035" t="str">
        <f>结果表!H111</f>
        <v>——</v>
      </c>
      <c r="E19" s="1952"/>
    </row>
    <row r="20" spans="1:5" ht="15.75">
      <c r="A20" s="1952"/>
      <c r="B20" s="3031"/>
      <c r="C20" s="1955" t="s">
        <v>1636</v>
      </c>
      <c r="D20" s="1034" t="e">
        <f>NUMBERSTRING(INT(D19*10000),2)&amp;"元整"</f>
        <v>#VALUE!</v>
      </c>
      <c r="E20" s="1952"/>
    </row>
    <row r="21" spans="1:5" ht="15.75" thickBot="1">
      <c r="A21" s="1952"/>
      <c r="B21" s="303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52" t="s">
        <v>156</v>
      </c>
      <c r="B1" s="3352"/>
      <c r="C1" s="3352"/>
      <c r="D1" s="3352"/>
      <c r="E1" s="3352"/>
      <c r="F1" s="335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53" t="s">
        <v>169</v>
      </c>
      <c r="B2" s="3353"/>
      <c r="C2" s="3353"/>
      <c r="D2" s="3353"/>
      <c r="E2" s="3353"/>
      <c r="F2" s="335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5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5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52" t="s">
        <v>871</v>
      </c>
      <c r="B1" s="335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43363</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36.93</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52142</v>
      </c>
      <c r="C2" s="1838" t="s">
        <v>1516</v>
      </c>
      <c r="D2" s="1838"/>
      <c r="E2" s="1839"/>
      <c r="F2" s="1840"/>
      <c r="G2" s="1841"/>
      <c r="H2" s="1833"/>
      <c r="I2" s="1833"/>
      <c r="J2" s="1833"/>
      <c r="K2" s="1834"/>
      <c r="L2" s="1833"/>
      <c r="M2" s="1833"/>
    </row>
    <row r="3" spans="1:37" ht="18" customHeight="1" thickBot="1">
      <c r="A3" s="1842" t="s">
        <v>1517</v>
      </c>
      <c r="B3" s="1843">
        <f ca="1">IF(ISERROR(B2*10000/F43),0,ROUND(B2*10000/F43,0))</f>
        <v>32344</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3287</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3283</v>
      </c>
      <c r="D6" s="161" t="s">
        <v>3012</v>
      </c>
      <c r="E6" s="344" t="s">
        <v>1405</v>
      </c>
      <c r="F6" s="345">
        <f ca="1">INDIRECT("'数据-取费表'!u"&amp;$G$1)</f>
        <v>6.2</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16121.09</v>
      </c>
      <c r="G7" s="1844"/>
      <c r="H7" s="346"/>
      <c r="I7" s="3265"/>
      <c r="J7" s="348"/>
      <c r="K7" s="349"/>
      <c r="L7" s="344" t="s">
        <v>1406</v>
      </c>
      <c r="M7" s="345">
        <f ca="1">F7</f>
        <v>16121.09</v>
      </c>
    </row>
    <row r="8" spans="1:37" ht="18" customHeight="1">
      <c r="A8" s="346"/>
      <c r="B8" s="3265"/>
      <c r="C8" s="348"/>
      <c r="D8" s="349"/>
      <c r="E8" s="344" t="s">
        <v>1407</v>
      </c>
      <c r="F8" s="345">
        <f ca="1">INDIRECT("'数据-取费表'!ai"&amp;$G$1)</f>
        <v>365</v>
      </c>
      <c r="G8" s="1844"/>
      <c r="H8" s="346"/>
      <c r="I8" s="3265"/>
      <c r="J8" s="348"/>
      <c r="K8" s="349"/>
      <c r="L8" s="344" t="s">
        <v>1407</v>
      </c>
      <c r="M8" s="345">
        <f ca="1">INDIRECT("'数据-取费表'!ai"&amp;$G$1)</f>
        <v>365</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3021</v>
      </c>
      <c r="E10" s="355" t="s">
        <v>1410</v>
      </c>
      <c r="F10" s="1360" t="s">
        <v>3202</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9178</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6656</v>
      </c>
      <c r="D14" s="2937" t="s">
        <v>1418</v>
      </c>
      <c r="E14" s="2935"/>
      <c r="F14" s="361"/>
      <c r="G14" s="1844"/>
      <c r="H14" s="1195" t="s">
        <v>1035</v>
      </c>
      <c r="I14" s="344" t="s">
        <v>1419</v>
      </c>
      <c r="J14" s="24">
        <f ca="1">C29</f>
        <v>9365</v>
      </c>
      <c r="K14" s="2942"/>
      <c r="L14" s="974"/>
      <c r="M14" s="975"/>
    </row>
    <row r="15" spans="1:37" s="1851" customFormat="1" ht="18" customHeight="1" thickBot="1">
      <c r="A15" s="1195" t="s">
        <v>1036</v>
      </c>
      <c r="B15" s="344" t="s">
        <v>1420</v>
      </c>
      <c r="C15" s="24">
        <f ca="1">ROUND(C14*F15,0)</f>
        <v>333</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173</v>
      </c>
      <c r="K16" s="1331" t="s">
        <v>1425</v>
      </c>
      <c r="L16" s="2938"/>
      <c r="M16" s="1288"/>
    </row>
    <row r="17" spans="1:37" s="1851" customFormat="1" ht="18" customHeight="1">
      <c r="A17" s="1195" t="s">
        <v>1390</v>
      </c>
      <c r="B17" s="344" t="s">
        <v>1426</v>
      </c>
      <c r="C17" s="24">
        <f ca="1">ROUND(F17*(F43+INDIRECT("'数据-取费表'!S"&amp;$G$1))/10000,0)</f>
        <v>336</v>
      </c>
      <c r="D17" s="344" t="s">
        <v>1427</v>
      </c>
      <c r="E17" s="344" t="s">
        <v>1428</v>
      </c>
      <c r="F17" s="26">
        <f>'数据-取费表'!B35</f>
        <v>200</v>
      </c>
      <c r="G17" s="1847"/>
      <c r="H17" s="1195" t="s">
        <v>1035</v>
      </c>
      <c r="I17" s="344" t="s">
        <v>1429</v>
      </c>
      <c r="J17" s="24">
        <f ca="1">ROUND(IF(项目基本情况!B11="自然人",J5*M17,J18+J19+J20),1)</f>
        <v>79.7</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7425</v>
      </c>
      <c r="D19" s="140" t="s">
        <v>1436</v>
      </c>
      <c r="E19" s="2941"/>
      <c r="F19" s="26"/>
      <c r="G19" s="1844"/>
      <c r="H19" s="1195" t="s">
        <v>1036</v>
      </c>
      <c r="I19" s="344" t="s">
        <v>1437</v>
      </c>
      <c r="J19" s="24">
        <f ca="1">IF(K19="按租金收入计税",ROUND(J5*M19,2),ROUND(C29*M19*0.7,2))</f>
        <v>78.67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74</v>
      </c>
      <c r="D20" s="366" t="s">
        <v>1440</v>
      </c>
      <c r="E20" s="344" t="s">
        <v>1422</v>
      </c>
      <c r="F20" s="364">
        <f>'数据-取费表'!B37</f>
        <v>0.01</v>
      </c>
      <c r="G20" s="1847"/>
      <c r="H20" s="1195" t="s">
        <v>1389</v>
      </c>
      <c r="I20" s="161" t="s">
        <v>1441</v>
      </c>
      <c r="J20" s="25">
        <f ca="1">ROUND(M20*M21/10000,2)</f>
        <v>1</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3344.04</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93.7</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357</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-173</v>
      </c>
      <c r="K25" s="1339" t="s">
        <v>1464</v>
      </c>
      <c r="L25" s="1340"/>
      <c r="M25" s="1341"/>
    </row>
    <row r="26" spans="1:37">
      <c r="A26" s="1195" t="s">
        <v>1034</v>
      </c>
      <c r="B26" s="344" t="s">
        <v>1465</v>
      </c>
      <c r="C26" s="24">
        <f ca="1">ROUND((C19+C20)*F26,0)</f>
        <v>900</v>
      </c>
      <c r="D26" s="366" t="s">
        <v>1466</v>
      </c>
      <c r="E26" s="355" t="s">
        <v>1467</v>
      </c>
      <c r="F26" s="354">
        <f ca="1">INDIRECT("'数据-取费表'!q"&amp;$G$1)</f>
        <v>0.12</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1.1999999999999999E-3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9365</v>
      </c>
      <c r="D29" s="1336"/>
      <c r="E29" s="1334"/>
      <c r="F29" s="1337"/>
      <c r="G29" s="1847"/>
      <c r="H29" s="377" t="s">
        <v>1033</v>
      </c>
      <c r="I29" s="378" t="s">
        <v>1479</v>
      </c>
      <c r="J29" s="379">
        <f ca="1">ROUND(J26/(1+F40)^F41,0)</f>
        <v>0</v>
      </c>
      <c r="K29" s="380" t="s">
        <v>1480</v>
      </c>
      <c r="L29" s="381"/>
      <c r="M29" s="382">
        <f ca="1">INDIRECT("'数据-取费表'!k"&amp;$G$1)</f>
        <v>16121.09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711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570.79999999999995</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175.31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394.44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3344.04</v>
      </c>
      <c r="G35" s="1844"/>
      <c r="H35" s="741"/>
      <c r="I35" s="1853"/>
      <c r="J35" s="1854"/>
      <c r="K35" s="1855"/>
      <c r="L35" s="1852"/>
      <c r="M35" s="1852"/>
    </row>
    <row r="36" spans="1:18" ht="18" customHeight="1">
      <c r="A36" s="1346" t="s">
        <v>1039</v>
      </c>
      <c r="B36" s="344" t="s">
        <v>1449</v>
      </c>
      <c r="C36" s="24">
        <f ca="1">ROUND(C29*F36,1)</f>
        <v>93.7</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13.8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32.9</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2576</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52048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36.93</v>
      </c>
      <c r="G41" s="1844"/>
      <c r="H41" s="728"/>
      <c r="I41" s="1853"/>
      <c r="J41" s="1854"/>
      <c r="K41" s="747"/>
      <c r="L41" s="728"/>
      <c r="M41" s="728"/>
    </row>
    <row r="42" spans="1:18" ht="18" customHeight="1">
      <c r="A42" s="350"/>
      <c r="B42" s="351"/>
      <c r="C42" s="352"/>
      <c r="D42" s="370"/>
      <c r="E42" s="344" t="s">
        <v>1477</v>
      </c>
      <c r="F42" s="354">
        <f ca="1">INDIRECT("'数据-取费表'!v"&amp;$G$1)</f>
        <v>3.5000000000000003E-2</v>
      </c>
      <c r="G42" s="1844"/>
      <c r="H42" s="728"/>
      <c r="I42" s="1853"/>
      <c r="J42" s="1854"/>
      <c r="K42" s="747"/>
      <c r="L42" s="728"/>
      <c r="M42" s="728"/>
    </row>
    <row r="43" spans="1:18" ht="18" customHeight="1" thickBot="1">
      <c r="A43" s="377" t="s">
        <v>1033</v>
      </c>
      <c r="B43" s="378" t="s">
        <v>1487</v>
      </c>
      <c r="C43" s="379">
        <f ca="1">ROUND(C40*10000/F43,0)</f>
        <v>32286</v>
      </c>
      <c r="D43" s="380" t="s">
        <v>1488</v>
      </c>
      <c r="E43" s="381" t="s">
        <v>1489</v>
      </c>
      <c r="F43" s="382">
        <f ca="1">INDIRECT("'数据-取费表'!k"&amp;$G$1)</f>
        <v>16121.09</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-63783</v>
      </c>
      <c r="D46" s="1865" t="str">
        <f>C2</f>
        <v>万元</v>
      </c>
      <c r="E46" s="1859"/>
      <c r="F46" s="1859"/>
      <c r="I46" s="1866" t="s">
        <v>1521</v>
      </c>
      <c r="J46" s="1867"/>
      <c r="K46" s="1868"/>
      <c r="L46" s="1869">
        <f ca="1">IF(M47="住宅",0,IF(L48&gt;J51,L60,J60))</f>
        <v>94</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40</v>
      </c>
      <c r="M47" s="1831" t="str">
        <f>IF(ISNUMBER(FIND("住宅",C1)),"住宅","非住宅")</f>
        <v>非住宅</v>
      </c>
      <c r="O47" s="1877" t="s">
        <v>1040</v>
      </c>
      <c r="P47" s="1878" t="s">
        <v>1528</v>
      </c>
      <c r="Q47" s="1879">
        <f ca="1">C40+J29</f>
        <v>52048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36.93</v>
      </c>
      <c r="O48" s="1877" t="s">
        <v>1041</v>
      </c>
      <c r="P48" s="1878" t="s">
        <v>1532</v>
      </c>
      <c r="Q48" s="1879">
        <f ca="1">J60</f>
        <v>94</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9365</v>
      </c>
      <c r="R49" s="1879" t="s">
        <v>1529</v>
      </c>
    </row>
    <row r="50" spans="1:18" s="1835" customFormat="1" ht="13.5" thickBot="1">
      <c r="A50" s="1189"/>
      <c r="B50" s="1192"/>
      <c r="C50" s="1362"/>
      <c r="D50" s="1166"/>
      <c r="E50" s="1271" t="s">
        <v>1406</v>
      </c>
      <c r="F50" s="1272">
        <f ca="1">F7</f>
        <v>16121.09</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23018</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36.93</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36.93</v>
      </c>
      <c r="K53" s="3262" t="s">
        <v>1548</v>
      </c>
      <c r="L53" s="3263"/>
      <c r="O53" s="1877" t="s">
        <v>1046</v>
      </c>
      <c r="P53" s="1878" t="s">
        <v>1549</v>
      </c>
      <c r="Q53" s="1879">
        <f ca="1">Q47+Q48</f>
        <v>52142</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0.36799999999999999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9178</v>
      </c>
      <c r="D56" s="1907"/>
      <c r="E56" s="1908"/>
      <c r="F56" s="1900"/>
      <c r="I56" s="1909" t="s">
        <v>1554</v>
      </c>
      <c r="J56" s="1910" t="s">
        <v>3038</v>
      </c>
      <c r="K56" s="1880" t="s">
        <v>1555</v>
      </c>
      <c r="L56" s="1883" t="str">
        <f ca="1">IF(L48&lt;J51,"——",L48-J53)</f>
        <v>——</v>
      </c>
      <c r="O56" s="1877" t="s">
        <v>1040</v>
      </c>
      <c r="P56" s="1878" t="s">
        <v>1528</v>
      </c>
      <c r="Q56" s="1879">
        <f ca="1">C40+J29</f>
        <v>52048</v>
      </c>
      <c r="R56" s="1879" t="s">
        <v>1529</v>
      </c>
    </row>
    <row r="57" spans="1:18" s="1835" customFormat="1" ht="24.75" thickBot="1">
      <c r="A57" s="1911"/>
      <c r="B57" s="1163" t="s">
        <v>1478</v>
      </c>
      <c r="C57" s="279">
        <f ca="1">C29</f>
        <v>9365</v>
      </c>
      <c r="D57" s="1912"/>
      <c r="E57" s="1913"/>
      <c r="F57" s="1914"/>
      <c r="I57" s="1915" t="s">
        <v>1556</v>
      </c>
      <c r="J57" s="1916">
        <f ca="1">IF(OR(M47="住宅",J51&lt;L48,J56="是"),"——",J51-L48)</f>
        <v>22.07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895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787.7</v>
      </c>
      <c r="D59" s="1176" t="s">
        <v>1430</v>
      </c>
      <c r="E59" s="1177" t="s">
        <v>1431</v>
      </c>
      <c r="F59" s="365" t="str">
        <f ca="1">IF(项目基本情况!B11="企业","",IF(INDIRECT("'数据-取费表'!c"&amp;$G$1)="住宅",5%,IF(F49*F50*F51/12/(1+'数据-取费表'!C42)&gt;20000,12%,7%)))</f>
        <v/>
      </c>
      <c r="I59" s="1915" t="s">
        <v>1563</v>
      </c>
      <c r="J59" s="1916">
        <f ca="1">IF(OR(M47="住宅",J51&lt;L48,J56="是"),"——",ROUND(C29*J58,0))</f>
        <v>3746</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94</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786.66</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52048</v>
      </c>
      <c r="R62" s="1879" t="s">
        <v>1047</v>
      </c>
    </row>
    <row r="63" spans="1:18" s="1835" customFormat="1" ht="13.5" thickBot="1">
      <c r="A63" s="369"/>
      <c r="B63" s="1169"/>
      <c r="C63" s="29"/>
      <c r="D63" s="1179"/>
      <c r="E63" s="1163" t="s">
        <v>1499</v>
      </c>
      <c r="F63" s="345">
        <f t="shared" ca="1" si="0"/>
        <v>3344.04</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93.7</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13.8</v>
      </c>
      <c r="D65" s="1177" t="s">
        <v>1454</v>
      </c>
      <c r="E65" s="1163" t="s">
        <v>1455</v>
      </c>
      <c r="F65" s="373">
        <f t="shared" ca="1" si="0"/>
        <v>1.5E-3</v>
      </c>
      <c r="I65" s="1922" t="s">
        <v>1579</v>
      </c>
      <c r="J65" s="1923">
        <v>40</v>
      </c>
      <c r="K65" s="1923">
        <v>30</v>
      </c>
      <c r="L65" s="1923">
        <v>50</v>
      </c>
      <c r="M65" s="1925">
        <v>0.02</v>
      </c>
      <c r="O65" s="1877" t="s">
        <v>1040</v>
      </c>
      <c r="P65" s="1878" t="s">
        <v>1528</v>
      </c>
      <c r="Q65" s="1879">
        <f ca="1">C40+J29</f>
        <v>52048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-895</v>
      </c>
      <c r="D67" s="1176" t="s">
        <v>1464</v>
      </c>
      <c r="E67" s="1181"/>
      <c r="F67" s="1182"/>
      <c r="O67" s="1887" t="s">
        <v>1042</v>
      </c>
      <c r="P67" s="1878" t="s">
        <v>1562</v>
      </c>
      <c r="Q67" s="1926">
        <f ca="1">L51</f>
        <v>23018</v>
      </c>
      <c r="R67" s="1879" t="s">
        <v>1582</v>
      </c>
    </row>
    <row r="68" spans="1:18" s="1835" customFormat="1" ht="16.5" thickBot="1">
      <c r="A68" s="1160" t="s">
        <v>1032</v>
      </c>
      <c r="B68" s="1161" t="s">
        <v>1485</v>
      </c>
      <c r="C68" s="343">
        <f ca="1">ROUND(C67*(1-((1+F70)/(1+F68))^F69)/(F68-F70),0)</f>
        <v>-11735</v>
      </c>
      <c r="D68" s="1178" t="s">
        <v>1469</v>
      </c>
      <c r="E68" s="1163" t="s">
        <v>1470</v>
      </c>
      <c r="F68" s="354">
        <f ca="1">F40</f>
        <v>7.0000000000000007E-2</v>
      </c>
      <c r="O68" s="1887" t="s">
        <v>1043</v>
      </c>
      <c r="P68" s="1927" t="s">
        <v>1583</v>
      </c>
      <c r="Q68" s="1879">
        <f ca="1">ROUND(Q69-Q70*Q71,0)</f>
        <v>1658</v>
      </c>
      <c r="R68" s="1879" t="s">
        <v>1051</v>
      </c>
    </row>
    <row r="69" spans="1:18" s="1835" customFormat="1" ht="13.5" thickBot="1">
      <c r="A69" s="1164"/>
      <c r="B69" s="1165"/>
      <c r="C69" s="348"/>
      <c r="D69" s="1183" t="s">
        <v>1473</v>
      </c>
      <c r="E69" s="1163" t="s">
        <v>1474</v>
      </c>
      <c r="F69" s="376">
        <f ca="1">F41</f>
        <v>36.93</v>
      </c>
      <c r="O69" s="1887" t="s">
        <v>1048</v>
      </c>
      <c r="P69" s="1927" t="s">
        <v>1584</v>
      </c>
      <c r="Q69" s="1879">
        <f ca="1">C39</f>
        <v>2576</v>
      </c>
      <c r="R69" s="1879" t="s">
        <v>1529</v>
      </c>
    </row>
    <row r="70" spans="1:18" s="1835" customFormat="1" ht="13.5" thickBot="1">
      <c r="A70" s="1167"/>
      <c r="B70" s="1168"/>
      <c r="C70" s="352"/>
      <c r="D70" s="1179"/>
      <c r="E70" s="1163" t="s">
        <v>1477</v>
      </c>
      <c r="F70" s="1269"/>
      <c r="O70" s="1887" t="s">
        <v>1049</v>
      </c>
      <c r="P70" s="1927" t="s">
        <v>1585</v>
      </c>
      <c r="Q70" s="1879">
        <f ca="1">C13</f>
        <v>9178</v>
      </c>
      <c r="R70" s="1879" t="s">
        <v>1529</v>
      </c>
    </row>
    <row r="71" spans="1:18" s="1835" customFormat="1" ht="13.5" thickBot="1">
      <c r="A71" s="1184" t="s">
        <v>1033</v>
      </c>
      <c r="B71" s="1185" t="s">
        <v>1487</v>
      </c>
      <c r="C71" s="379">
        <f ca="1">ROUND(C68*10000/F71,0)</f>
        <v>-7279</v>
      </c>
      <c r="D71" s="1186" t="s">
        <v>1488</v>
      </c>
      <c r="E71" s="1187" t="s">
        <v>1489</v>
      </c>
      <c r="F71" s="382">
        <f ca="1">F43</f>
        <v>16121.09</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918</v>
      </c>
      <c r="D75" s="1835"/>
      <c r="E75" s="1835"/>
      <c r="F75" s="1835"/>
      <c r="K75" s="1861"/>
      <c r="L75" s="1835"/>
      <c r="O75" s="1877" t="s">
        <v>1046</v>
      </c>
      <c r="P75" s="1878" t="s">
        <v>1549</v>
      </c>
      <c r="Q75" s="1879">
        <f ca="1">Q65+Q66</f>
        <v>52048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0.64400000000000002</v>
      </c>
    </row>
    <row r="80" spans="1:18">
      <c r="B80" s="383" t="s">
        <v>1511</v>
      </c>
      <c r="C80" s="315">
        <f ca="1">ROUND(C75/C39,3)</f>
        <v>0.35599999999999998</v>
      </c>
    </row>
    <row r="81" spans="2:3">
      <c r="B81" s="311" t="s">
        <v>1512</v>
      </c>
      <c r="C81" s="279"/>
    </row>
    <row r="82" spans="2:3">
      <c r="B82" s="314" t="s">
        <v>1513</v>
      </c>
      <c r="C82" s="316">
        <f ca="1">1-C83</f>
        <v>0.82400000000000007</v>
      </c>
    </row>
    <row r="83" spans="2:3">
      <c r="B83" s="314" t="s">
        <v>1514</v>
      </c>
      <c r="C83" s="315">
        <f ca="1">ROUND(C13/C40,3)</f>
        <v>0.17599999999999999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 zoomScale="80" zoomScaleNormal="80" workbookViewId="0">
      <selection activeCell="I42" sqref="I4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2620</v>
      </c>
      <c r="C1" s="1627" t="s">
        <v>2508</v>
      </c>
      <c r="D1" s="1614" t="s">
        <v>1377</v>
      </c>
      <c r="E1" s="2649"/>
      <c r="F1" s="2576" t="s">
        <v>3260</v>
      </c>
      <c r="G1" s="1624" t="s">
        <v>2621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2305</v>
      </c>
      <c r="B2" s="1412">
        <f>IF(C2="——",ROUND(C49*D3/10000,0),ROUND(C49*D3/10000,0)-D2)</f>
        <v>15</v>
      </c>
      <c r="C2" s="2578" t="s">
        <v>70</v>
      </c>
      <c r="D2" s="1359" t="e">
        <f ca="1">SUMIF(INDIRECT("'"&amp;F2&amp;"'"&amp;"!A:A"),"承租人权益价值",INDIRECT("'"&amp;F2&amp;"'"&amp;"!c:c"))</f>
        <v>#REF!</v>
      </c>
      <c r="E2" s="2579" t="s">
        <v>2306</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2307</v>
      </c>
      <c r="B3" s="606">
        <f>IF(C2="——",C49,ROUND(B2*10000/D3,0))</f>
        <v>9</v>
      </c>
      <c r="C3" s="397" t="s">
        <v>2622</v>
      </c>
      <c r="D3" s="396">
        <f>IF(D1="",'数据-汇总表'!E3,SUMIF('数据-汇总表'!$C19:$C33,D1,'数据-汇总表'!$E19:$E33))</f>
        <v>16121.09</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2623</v>
      </c>
      <c r="B4" s="399"/>
      <c r="C4" s="3222" t="s">
        <v>2624</v>
      </c>
      <c r="D4" s="3235"/>
      <c r="E4" s="3236" t="s">
        <v>2625</v>
      </c>
      <c r="F4" s="3237"/>
      <c r="G4" s="3222" t="s">
        <v>2626</v>
      </c>
      <c r="H4" s="3235"/>
      <c r="I4" s="3222" t="s">
        <v>2627</v>
      </c>
      <c r="J4" s="3235"/>
      <c r="K4" s="607" t="s">
        <v>2628</v>
      </c>
      <c r="L4" s="1124"/>
      <c r="M4" s="1125"/>
      <c r="N4" s="1125"/>
      <c r="O4" s="1125"/>
      <c r="P4" s="3238" t="s">
        <v>2629</v>
      </c>
      <c r="Q4" s="3239"/>
      <c r="R4" s="3244" t="s">
        <v>2625</v>
      </c>
      <c r="S4" s="3245"/>
      <c r="T4" s="3244" t="s">
        <v>2626</v>
      </c>
      <c r="U4" s="3245"/>
      <c r="V4" s="3231" t="s">
        <v>2627</v>
      </c>
      <c r="W4" s="3231"/>
      <c r="X4" s="1806"/>
      <c r="Y4" s="3244" t="s">
        <v>2629</v>
      </c>
      <c r="Z4" s="3245"/>
      <c r="AA4" s="3232" t="s">
        <v>2625</v>
      </c>
      <c r="AB4" s="3231" t="s">
        <v>2626</v>
      </c>
      <c r="AC4" s="3232" t="s">
        <v>2627</v>
      </c>
    </row>
    <row r="5" spans="1:29" ht="15">
      <c r="A5" s="401"/>
      <c r="B5" s="402"/>
      <c r="C5" s="3252" t="s">
        <v>2520</v>
      </c>
      <c r="D5" s="3253"/>
      <c r="E5" s="3259" t="str">
        <f>'比较法-办公'!E5:F5</f>
        <v>时代财富天地</v>
      </c>
      <c r="F5" s="3260"/>
      <c r="G5" s="3309" t="s">
        <v>3304</v>
      </c>
      <c r="H5" s="3253"/>
      <c r="I5" s="3309" t="s">
        <v>3297</v>
      </c>
      <c r="J5" s="3253"/>
      <c r="K5" s="607"/>
      <c r="L5" s="1124"/>
      <c r="M5" s="1125"/>
      <c r="N5" s="1125"/>
      <c r="O5" s="1125"/>
      <c r="P5" s="3240"/>
      <c r="Q5" s="3241"/>
      <c r="R5" s="3246"/>
      <c r="S5" s="3247"/>
      <c r="T5" s="3246"/>
      <c r="U5" s="3247"/>
      <c r="V5" s="3231"/>
      <c r="W5" s="3231"/>
      <c r="X5" s="1806"/>
      <c r="Y5" s="3246"/>
      <c r="Z5" s="3247"/>
      <c r="AA5" s="3233"/>
      <c r="AB5" s="3231"/>
      <c r="AC5" s="3233"/>
    </row>
    <row r="6" spans="1:29" ht="15.75" thickBot="1">
      <c r="A6" s="403"/>
      <c r="B6" s="404"/>
      <c r="C6" s="3250" t="s">
        <v>2524</v>
      </c>
      <c r="D6" s="3251"/>
      <c r="E6" s="3257" t="s">
        <v>2524</v>
      </c>
      <c r="F6" s="3258"/>
      <c r="G6" s="3250" t="s">
        <v>2524</v>
      </c>
      <c r="H6" s="3251"/>
      <c r="I6" s="3250" t="s">
        <v>2524</v>
      </c>
      <c r="J6" s="3251"/>
      <c r="K6" s="607" t="s">
        <v>2525</v>
      </c>
      <c r="L6" s="1124"/>
      <c r="M6" s="1125"/>
      <c r="N6" s="1125"/>
      <c r="O6" s="1125"/>
      <c r="P6" s="3242"/>
      <c r="Q6" s="3243"/>
      <c r="R6" s="3246"/>
      <c r="S6" s="3247"/>
      <c r="T6" s="3248"/>
      <c r="U6" s="3249"/>
      <c r="V6" s="3231"/>
      <c r="W6" s="3231"/>
      <c r="X6" s="1806"/>
      <c r="Y6" s="3248"/>
      <c r="Z6" s="3249"/>
      <c r="AA6" s="3234"/>
      <c r="AB6" s="3231"/>
      <c r="AC6" s="3234"/>
    </row>
    <row r="7" spans="1:29" s="117" customFormat="1" ht="15.75" thickBot="1">
      <c r="A7" s="405" t="s">
        <v>2526</v>
      </c>
      <c r="B7" s="406"/>
      <c r="C7" s="407">
        <f>'数据-取费表'!B2</f>
        <v>43363</v>
      </c>
      <c r="D7" s="408">
        <v>100</v>
      </c>
      <c r="E7" s="409">
        <v>43191</v>
      </c>
      <c r="F7" s="410">
        <f>SUMIF(58:58,YEAR(E7)&amp;"-"&amp;MONTH(E7),59:59)</f>
        <v>99</v>
      </c>
      <c r="G7" s="409">
        <v>43191</v>
      </c>
      <c r="H7" s="408">
        <f>SUMIF(58:58,YEAR(G7)&amp;"-"&amp;MONTH(G7),59:59)</f>
        <v>99</v>
      </c>
      <c r="I7" s="409">
        <v>43191</v>
      </c>
      <c r="J7" s="408">
        <f>SUMIF(58:58,YEAR(I7)&amp;"-"&amp;MONTH(I7),59:59)</f>
        <v>99</v>
      </c>
      <c r="K7" s="608"/>
      <c r="L7" s="1126"/>
      <c r="M7" s="1127"/>
      <c r="N7" s="1127"/>
      <c r="O7" s="1127"/>
      <c r="P7" s="3254" t="s">
        <v>2527</v>
      </c>
      <c r="Q7" s="3256"/>
      <c r="R7" s="766" t="s">
        <v>17</v>
      </c>
      <c r="S7" s="767">
        <f t="shared" ref="S7:S15" si="0">F7</f>
        <v>99</v>
      </c>
      <c r="T7" s="766" t="s">
        <v>17</v>
      </c>
      <c r="U7" s="767">
        <f t="shared" ref="U7:U15" si="1">H7</f>
        <v>99</v>
      </c>
      <c r="V7" s="766" t="s">
        <v>17</v>
      </c>
      <c r="W7" s="767">
        <f t="shared" ref="W7:W15" si="2">J7</f>
        <v>99</v>
      </c>
      <c r="X7" s="768"/>
      <c r="Y7" s="3254" t="s">
        <v>2527</v>
      </c>
      <c r="Z7" s="3255"/>
      <c r="AA7" s="769">
        <f>D7/F7</f>
        <v>1.0101010101010102</v>
      </c>
      <c r="AB7" s="769">
        <f>D7/H7</f>
        <v>1.0101010101010102</v>
      </c>
      <c r="AC7" s="769">
        <f>D7/J7</f>
        <v>1.0101010101010102</v>
      </c>
    </row>
    <row r="8" spans="1:29" s="117" customFormat="1" ht="15.75" thickBot="1">
      <c r="A8" s="405" t="s">
        <v>2528</v>
      </c>
      <c r="B8" s="406"/>
      <c r="C8" s="411" t="s">
        <v>2630</v>
      </c>
      <c r="D8" s="408">
        <v>100</v>
      </c>
      <c r="E8" s="411" t="s">
        <v>2565</v>
      </c>
      <c r="F8" s="410">
        <f>SUMIF(61:61,E8,62:62)-SUMIF(61:61,C8,62:62)+100</f>
        <v>100</v>
      </c>
      <c r="G8" s="411" t="s">
        <v>2565</v>
      </c>
      <c r="H8" s="408">
        <f>SUMIF(61:61,G8,62:62)-SUMIF(61:61,C8,62:62)+100</f>
        <v>100</v>
      </c>
      <c r="I8" s="411" t="s">
        <v>2565</v>
      </c>
      <c r="J8" s="408">
        <f>SUMIF(61:61,I8,62:62)-SUMIF(61:61,C8,62:62)+100</f>
        <v>100</v>
      </c>
      <c r="K8" s="608"/>
      <c r="L8" s="1126"/>
      <c r="M8" s="1127"/>
      <c r="N8" s="1127"/>
      <c r="O8" s="1127"/>
      <c r="P8" s="3254" t="s">
        <v>2530</v>
      </c>
      <c r="Q8" s="3255"/>
      <c r="R8" s="766" t="s">
        <v>17</v>
      </c>
      <c r="S8" s="767">
        <f t="shared" si="0"/>
        <v>100</v>
      </c>
      <c r="T8" s="766" t="s">
        <v>17</v>
      </c>
      <c r="U8" s="767">
        <f t="shared" si="1"/>
        <v>100</v>
      </c>
      <c r="V8" s="766" t="s">
        <v>17</v>
      </c>
      <c r="W8" s="767">
        <f t="shared" si="2"/>
        <v>100</v>
      </c>
      <c r="X8" s="768"/>
      <c r="Y8" s="3254" t="s">
        <v>2530</v>
      </c>
      <c r="Z8" s="3255"/>
      <c r="AA8" s="769">
        <f t="shared" ref="AA8:AA46" si="3">D8/F8</f>
        <v>1</v>
      </c>
      <c r="AB8" s="769">
        <f t="shared" ref="AB8:AB46" si="4">D8/H8</f>
        <v>1</v>
      </c>
      <c r="AC8" s="769">
        <f t="shared" ref="AC8:AC46" si="5">D8/J8</f>
        <v>1</v>
      </c>
    </row>
    <row r="9" spans="1:29" s="117" customFormat="1">
      <c r="A9" s="412" t="s">
        <v>2531</v>
      </c>
      <c r="B9" s="71" t="s">
        <v>2532</v>
      </c>
      <c r="C9" s="2979" t="s">
        <v>3286</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24" t="s">
        <v>2533</v>
      </c>
      <c r="Q9" s="1788" t="str">
        <f t="shared" ref="Q9:Q15" si="6">B9</f>
        <v>用途</v>
      </c>
      <c r="R9" s="766" t="s">
        <v>17</v>
      </c>
      <c r="S9" s="767">
        <f t="shared" si="0"/>
        <v>100</v>
      </c>
      <c r="T9" s="766" t="s">
        <v>17</v>
      </c>
      <c r="U9" s="767">
        <f t="shared" si="1"/>
        <v>100</v>
      </c>
      <c r="V9" s="766" t="s">
        <v>17</v>
      </c>
      <c r="W9" s="767">
        <f t="shared" si="2"/>
        <v>100</v>
      </c>
      <c r="X9" s="768"/>
      <c r="Y9" s="3073" t="s">
        <v>2534</v>
      </c>
      <c r="Z9" s="55" t="str">
        <f t="shared" ref="Z9:Z15" si="7">Q9</f>
        <v>用途</v>
      </c>
      <c r="AA9" s="769">
        <f t="shared" si="3"/>
        <v>1</v>
      </c>
      <c r="AB9" s="769">
        <f t="shared" si="4"/>
        <v>1</v>
      </c>
      <c r="AC9" s="769">
        <f t="shared" si="5"/>
        <v>1</v>
      </c>
    </row>
    <row r="10" spans="1:29" s="424" customFormat="1" ht="27">
      <c r="A10" s="418"/>
      <c r="B10" s="419" t="s">
        <v>2535</v>
      </c>
      <c r="C10" s="420" t="s">
        <v>3262</v>
      </c>
      <c r="D10" s="136">
        <v>100</v>
      </c>
      <c r="E10" s="421" t="s">
        <v>3270</v>
      </c>
      <c r="F10" s="422">
        <f>SUMIF(65:65,E10,66:66)-SUMIF(65:65,C10,66:66)+100</f>
        <v>98</v>
      </c>
      <c r="G10" s="420" t="s">
        <v>3262</v>
      </c>
      <c r="H10" s="136">
        <f>SUMIF(65:65,G10,66:66)-SUMIF(65:65,C10,66:66)+100</f>
        <v>100</v>
      </c>
      <c r="I10" s="420" t="s">
        <v>3270</v>
      </c>
      <c r="J10" s="136">
        <f>SUMIF(65:65,I10,66:66)-SUMIF(65:65,C10,66:66)+100</f>
        <v>98</v>
      </c>
      <c r="K10" s="2988">
        <f>'比较法-办公'!K10</f>
        <v>2</v>
      </c>
      <c r="L10" s="1129"/>
      <c r="M10" s="1130"/>
      <c r="N10" s="1130"/>
      <c r="O10" s="1130"/>
      <c r="P10" s="3224"/>
      <c r="Q10" s="1788" t="str">
        <f t="shared" si="6"/>
        <v>土地使用年限（年）</v>
      </c>
      <c r="R10" s="766" t="s">
        <v>17</v>
      </c>
      <c r="S10" s="767">
        <f t="shared" si="0"/>
        <v>98</v>
      </c>
      <c r="T10" s="766" t="s">
        <v>17</v>
      </c>
      <c r="U10" s="767">
        <f t="shared" si="1"/>
        <v>100</v>
      </c>
      <c r="V10" s="766" t="s">
        <v>17</v>
      </c>
      <c r="W10" s="767">
        <f t="shared" si="2"/>
        <v>98</v>
      </c>
      <c r="X10" s="768"/>
      <c r="Y10" s="3073"/>
      <c r="Z10" s="55" t="str">
        <f t="shared" si="7"/>
        <v>土地使用年限（年）</v>
      </c>
      <c r="AA10" s="769">
        <f t="shared" si="3"/>
        <v>1.0204081632653061</v>
      </c>
      <c r="AB10" s="769">
        <f t="shared" si="4"/>
        <v>1</v>
      </c>
      <c r="AC10" s="769">
        <f t="shared" si="5"/>
        <v>1.0204081632653061</v>
      </c>
    </row>
    <row r="11" spans="1:29" ht="15.75" thickBot="1">
      <c r="A11" s="425"/>
      <c r="B11" s="419" t="s">
        <v>2536</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88">
        <f>'比较法-办公'!K11</f>
        <v>0</v>
      </c>
      <c r="L11" s="1132"/>
      <c r="M11" s="1125"/>
      <c r="N11" s="1125"/>
      <c r="O11" s="1125"/>
      <c r="P11" s="3224"/>
      <c r="Q11" s="1788" t="str">
        <f t="shared" si="6"/>
        <v>容积率</v>
      </c>
      <c r="R11" s="766" t="s">
        <v>17</v>
      </c>
      <c r="S11" s="767">
        <f t="shared" si="0"/>
        <v>100</v>
      </c>
      <c r="T11" s="766" t="s">
        <v>17</v>
      </c>
      <c r="U11" s="767">
        <f t="shared" si="1"/>
        <v>100</v>
      </c>
      <c r="V11" s="766" t="s">
        <v>17</v>
      </c>
      <c r="W11" s="767">
        <f t="shared" si="2"/>
        <v>100</v>
      </c>
      <c r="X11" s="768"/>
      <c r="Y11" s="3073"/>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2"/>
      <c r="L12" s="1126"/>
      <c r="M12" s="1127"/>
      <c r="N12" s="1127"/>
      <c r="O12" s="1127"/>
      <c r="P12" s="3224"/>
      <c r="Q12" s="1788">
        <f t="shared" si="6"/>
        <v>111</v>
      </c>
      <c r="R12" s="766" t="s">
        <v>17</v>
      </c>
      <c r="S12" s="767">
        <f t="shared" si="0"/>
        <v>100</v>
      </c>
      <c r="T12" s="766" t="s">
        <v>17</v>
      </c>
      <c r="U12" s="767">
        <f t="shared" si="1"/>
        <v>100</v>
      </c>
      <c r="V12" s="766" t="s">
        <v>17</v>
      </c>
      <c r="W12" s="767">
        <f t="shared" si="2"/>
        <v>100</v>
      </c>
      <c r="X12" s="768"/>
      <c r="Y12" s="3073"/>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2"/>
      <c r="L13" s="1134"/>
      <c r="M13" s="1125"/>
      <c r="N13" s="1125"/>
      <c r="O13" s="1125"/>
      <c r="P13" s="3224"/>
      <c r="Q13" s="1788">
        <f t="shared" si="6"/>
        <v>111</v>
      </c>
      <c r="R13" s="766" t="s">
        <v>17</v>
      </c>
      <c r="S13" s="767">
        <f t="shared" si="0"/>
        <v>100</v>
      </c>
      <c r="T13" s="766" t="s">
        <v>17</v>
      </c>
      <c r="U13" s="767">
        <f t="shared" si="1"/>
        <v>100</v>
      </c>
      <c r="V13" s="766" t="s">
        <v>17</v>
      </c>
      <c r="W13" s="767">
        <f t="shared" si="2"/>
        <v>100</v>
      </c>
      <c r="X13" s="768"/>
      <c r="Y13" s="3073"/>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2"/>
      <c r="L14" s="1134"/>
      <c r="M14" s="1125"/>
      <c r="N14" s="1125"/>
      <c r="O14" s="1125"/>
      <c r="P14" s="3224"/>
      <c r="Q14" s="1788">
        <f t="shared" si="6"/>
        <v>111</v>
      </c>
      <c r="R14" s="766" t="s">
        <v>17</v>
      </c>
      <c r="S14" s="767">
        <f t="shared" si="0"/>
        <v>100</v>
      </c>
      <c r="T14" s="766" t="s">
        <v>17</v>
      </c>
      <c r="U14" s="767">
        <f t="shared" si="1"/>
        <v>100</v>
      </c>
      <c r="V14" s="766" t="s">
        <v>17</v>
      </c>
      <c r="W14" s="767">
        <f t="shared" si="2"/>
        <v>100</v>
      </c>
      <c r="X14" s="768"/>
      <c r="Y14" s="3073"/>
      <c r="Z14" s="55">
        <f t="shared" si="7"/>
        <v>111</v>
      </c>
      <c r="AA14" s="769">
        <f t="shared" si="3"/>
        <v>1</v>
      </c>
      <c r="AB14" s="769">
        <f t="shared" si="4"/>
        <v>1</v>
      </c>
      <c r="AC14" s="769">
        <f t="shared" si="5"/>
        <v>1</v>
      </c>
    </row>
    <row r="15" spans="1:29" ht="15">
      <c r="A15" s="437" t="s">
        <v>2537</v>
      </c>
      <c r="B15" s="69" t="s">
        <v>2631</v>
      </c>
      <c r="C15" s="2595" t="str">
        <f>估价对象房地状况!C4</f>
        <v>较好</v>
      </c>
      <c r="D15" s="438">
        <v>100</v>
      </c>
      <c r="E15" s="3003" t="s">
        <v>3321</v>
      </c>
      <c r="F15" s="440">
        <f>SUMIF(76:76,E16,77:77)-SUMIF(76:76,C16,77:77)+100</f>
        <v>100</v>
      </c>
      <c r="G15" s="3003" t="s">
        <v>3321</v>
      </c>
      <c r="H15" s="438">
        <f>SUMIF(76:76,G16,77:77)-SUMIF(76:76,C16,77:77)+100</f>
        <v>100</v>
      </c>
      <c r="I15" s="3003" t="s">
        <v>3321</v>
      </c>
      <c r="J15" s="438">
        <f>SUMIF(76:76,I16,77:77)-SUMIF(76:76,C16,77:77)+100</f>
        <v>100</v>
      </c>
      <c r="K15" s="2984">
        <f>'比较法-办公'!K15</f>
        <v>2</v>
      </c>
      <c r="L15" s="1134"/>
      <c r="M15" s="1125"/>
      <c r="N15" s="1125"/>
      <c r="O15" s="1125"/>
      <c r="P15" s="3294" t="s">
        <v>2538</v>
      </c>
      <c r="Q15" s="1803" t="str">
        <f t="shared" si="6"/>
        <v>商业繁华度</v>
      </c>
      <c r="R15" s="770" t="s">
        <v>17</v>
      </c>
      <c r="S15" s="771">
        <f t="shared" si="0"/>
        <v>100</v>
      </c>
      <c r="T15" s="770" t="s">
        <v>17</v>
      </c>
      <c r="U15" s="771">
        <f t="shared" si="1"/>
        <v>100</v>
      </c>
      <c r="V15" s="770" t="s">
        <v>17</v>
      </c>
      <c r="W15" s="771">
        <f t="shared" si="2"/>
        <v>100</v>
      </c>
      <c r="X15" s="1806"/>
      <c r="Y15" s="3227" t="s">
        <v>2538</v>
      </c>
      <c r="Z15" s="1807" t="str">
        <f t="shared" si="7"/>
        <v>商业繁华度</v>
      </c>
      <c r="AA15" s="1804">
        <f t="shared" si="3"/>
        <v>1</v>
      </c>
      <c r="AB15" s="1804">
        <f t="shared" si="4"/>
        <v>1</v>
      </c>
      <c r="AC15" s="1804">
        <f t="shared" si="5"/>
        <v>1</v>
      </c>
    </row>
    <row r="16" spans="1:29" ht="15.75" thickBot="1">
      <c r="A16" s="425"/>
      <c r="B16" s="443"/>
      <c r="C16" s="444" t="s">
        <v>3066</v>
      </c>
      <c r="D16" s="445"/>
      <c r="E16" s="2603" t="s">
        <v>3066</v>
      </c>
      <c r="F16" s="446"/>
      <c r="G16" s="2603" t="s">
        <v>3066</v>
      </c>
      <c r="H16" s="447"/>
      <c r="I16" s="444" t="s">
        <v>3066</v>
      </c>
      <c r="J16" s="445"/>
      <c r="K16" s="612"/>
      <c r="L16" s="1134"/>
      <c r="M16" s="1125"/>
      <c r="N16" s="1125"/>
      <c r="O16" s="1125"/>
      <c r="P16" s="3295"/>
      <c r="Q16" s="1803"/>
      <c r="R16" s="770"/>
      <c r="S16" s="771"/>
      <c r="T16" s="770"/>
      <c r="U16" s="771"/>
      <c r="V16" s="770"/>
      <c r="W16" s="771"/>
      <c r="X16" s="1806"/>
      <c r="Y16" s="3228"/>
      <c r="Z16" s="1807"/>
      <c r="AA16" s="1804">
        <v>1</v>
      </c>
      <c r="AB16" s="1804">
        <v>1</v>
      </c>
      <c r="AC16" s="1804">
        <v>1</v>
      </c>
    </row>
    <row r="17" spans="1:29" ht="15">
      <c r="A17" s="425"/>
      <c r="B17" s="448" t="s">
        <v>2089</v>
      </c>
      <c r="C17" s="2599" t="str">
        <f>估价对象房地状况!C6</f>
        <v>较好</v>
      </c>
      <c r="D17" s="447">
        <v>100</v>
      </c>
      <c r="E17" s="3003" t="s">
        <v>3321</v>
      </c>
      <c r="F17" s="450">
        <f>SUMIF(78:78,E18,79:79)-SUMIF(78:78,C18,79:79)+100</f>
        <v>100</v>
      </c>
      <c r="G17" s="3003" t="s">
        <v>3321</v>
      </c>
      <c r="H17" s="452">
        <f>SUMIF(78:78,G18,79:79)-SUMIF(78:78,C18,79:79)+100</f>
        <v>100</v>
      </c>
      <c r="I17" s="3003" t="s">
        <v>3321</v>
      </c>
      <c r="J17" s="452">
        <f>SUMIF(78:78,I18,79:79)-SUMIF(78:78,C18,79:79)+100</f>
        <v>100</v>
      </c>
      <c r="K17" s="2984">
        <f>'比较法-办公'!K17</f>
        <v>1</v>
      </c>
      <c r="L17" s="1134"/>
      <c r="M17" s="1125"/>
      <c r="N17" s="1125"/>
      <c r="O17" s="1125"/>
      <c r="P17" s="3295"/>
      <c r="Q17" s="1803" t="str">
        <f>B17</f>
        <v>交通便捷度</v>
      </c>
      <c r="R17" s="770" t="s">
        <v>17</v>
      </c>
      <c r="S17" s="771">
        <f>F17</f>
        <v>100</v>
      </c>
      <c r="T17" s="770" t="s">
        <v>17</v>
      </c>
      <c r="U17" s="771">
        <f>H17</f>
        <v>100</v>
      </c>
      <c r="V17" s="770" t="s">
        <v>17</v>
      </c>
      <c r="W17" s="771">
        <f>J17</f>
        <v>100</v>
      </c>
      <c r="X17" s="1806"/>
      <c r="Y17" s="3228"/>
      <c r="Z17" s="1807" t="str">
        <f>Q17</f>
        <v>交通便捷度</v>
      </c>
      <c r="AA17" s="1804">
        <f t="shared" si="3"/>
        <v>1</v>
      </c>
      <c r="AB17" s="1804">
        <f t="shared" si="4"/>
        <v>1</v>
      </c>
      <c r="AC17" s="1804">
        <f t="shared" si="5"/>
        <v>1</v>
      </c>
    </row>
    <row r="18" spans="1:29" ht="15">
      <c r="A18" s="425"/>
      <c r="B18" s="453"/>
      <c r="C18" s="2600" t="s">
        <v>3066</v>
      </c>
      <c r="D18" s="447"/>
      <c r="E18" s="2668" t="s">
        <v>3066</v>
      </c>
      <c r="F18" s="450"/>
      <c r="G18" s="2668" t="s">
        <v>3066</v>
      </c>
      <c r="H18" s="445"/>
      <c r="I18" s="2602" t="s">
        <v>3066</v>
      </c>
      <c r="J18" s="445"/>
      <c r="K18" s="612"/>
      <c r="L18" s="1134"/>
      <c r="M18" s="1125"/>
      <c r="N18" s="1125"/>
      <c r="O18" s="1125"/>
      <c r="P18" s="3295"/>
      <c r="Q18" s="1803"/>
      <c r="R18" s="770"/>
      <c r="S18" s="771"/>
      <c r="T18" s="770"/>
      <c r="U18" s="771"/>
      <c r="V18" s="770"/>
      <c r="W18" s="771"/>
      <c r="X18" s="1806"/>
      <c r="Y18" s="3228"/>
      <c r="Z18" s="1807"/>
      <c r="AA18" s="1804">
        <v>1</v>
      </c>
      <c r="AB18" s="1804">
        <v>1</v>
      </c>
      <c r="AC18" s="1804">
        <v>1</v>
      </c>
    </row>
    <row r="19" spans="1:29" ht="15">
      <c r="A19" s="425"/>
      <c r="B19" s="448" t="s">
        <v>2632</v>
      </c>
      <c r="C19" s="2599" t="str">
        <f>估价对象房地状况!C7</f>
        <v>一般</v>
      </c>
      <c r="D19" s="452">
        <v>100</v>
      </c>
      <c r="E19" s="3004" t="s">
        <v>3323</v>
      </c>
      <c r="F19" s="455">
        <f>SUMIF(80:80,E20,81:81)-SUMIF(80:80,C20,81:81)+100</f>
        <v>100</v>
      </c>
      <c r="G19" s="3004" t="s">
        <v>3323</v>
      </c>
      <c r="H19" s="447">
        <f>SUMIF(80:80,G20,81:81)-SUMIF(80:80,C20,81:81)+100</f>
        <v>100</v>
      </c>
      <c r="I19" s="3004" t="s">
        <v>3323</v>
      </c>
      <c r="J19" s="447">
        <f>SUMIF(80:80,I20,81:81)-SUMIF(80:80,C20,81:81)+100</f>
        <v>100</v>
      </c>
      <c r="K19" s="2984">
        <f>'比较法-办公'!K19</f>
        <v>2</v>
      </c>
      <c r="L19" s="1134"/>
      <c r="M19" s="1125"/>
      <c r="N19" s="1125"/>
      <c r="O19" s="1125"/>
      <c r="P19" s="3295"/>
      <c r="Q19" s="1803" t="str">
        <f>B19</f>
        <v>公共配套设施</v>
      </c>
      <c r="R19" s="770" t="s">
        <v>17</v>
      </c>
      <c r="S19" s="771">
        <f>F19</f>
        <v>100</v>
      </c>
      <c r="T19" s="770" t="s">
        <v>17</v>
      </c>
      <c r="U19" s="771">
        <f>H19</f>
        <v>100</v>
      </c>
      <c r="V19" s="770" t="s">
        <v>17</v>
      </c>
      <c r="W19" s="771">
        <f>J19</f>
        <v>100</v>
      </c>
      <c r="X19" s="1806"/>
      <c r="Y19" s="3228"/>
      <c r="Z19" s="1807" t="str">
        <f>Q19</f>
        <v>公共配套设施</v>
      </c>
      <c r="AA19" s="1804">
        <f t="shared" si="3"/>
        <v>1</v>
      </c>
      <c r="AB19" s="1804">
        <f t="shared" si="4"/>
        <v>1</v>
      </c>
      <c r="AC19" s="1804">
        <f t="shared" si="5"/>
        <v>1</v>
      </c>
    </row>
    <row r="20" spans="1:29" ht="15">
      <c r="A20" s="425"/>
      <c r="B20" s="453"/>
      <c r="C20" s="444" t="s">
        <v>3199</v>
      </c>
      <c r="D20" s="445"/>
      <c r="E20" s="2603" t="s">
        <v>3199</v>
      </c>
      <c r="F20" s="446"/>
      <c r="G20" s="2603" t="s">
        <v>3199</v>
      </c>
      <c r="H20" s="445"/>
      <c r="I20" s="2597" t="s">
        <v>3199</v>
      </c>
      <c r="J20" s="445"/>
      <c r="K20" s="612"/>
      <c r="L20" s="1134"/>
      <c r="M20" s="1125"/>
      <c r="N20" s="1125"/>
      <c r="O20" s="1125"/>
      <c r="P20" s="3295"/>
      <c r="Q20" s="1803"/>
      <c r="R20" s="770"/>
      <c r="S20" s="771"/>
      <c r="T20" s="770"/>
      <c r="U20" s="771"/>
      <c r="V20" s="770"/>
      <c r="W20" s="771"/>
      <c r="X20" s="1806"/>
      <c r="Y20" s="3228"/>
      <c r="Z20" s="1807"/>
      <c r="AA20" s="1804">
        <v>1</v>
      </c>
      <c r="AB20" s="1804">
        <v>1</v>
      </c>
      <c r="AC20" s="1804">
        <v>1</v>
      </c>
    </row>
    <row r="21" spans="1:29" ht="15">
      <c r="A21" s="425"/>
      <c r="B21" s="1378" t="s">
        <v>2633</v>
      </c>
      <c r="C21" s="2599" t="str">
        <f>估价对象房地状况!C8</f>
        <v>七通</v>
      </c>
      <c r="D21" s="452">
        <v>100</v>
      </c>
      <c r="E21" s="3005" t="s">
        <v>3324</v>
      </c>
      <c r="F21" s="455">
        <f>SUMIF(82:82,E22,83:83)-SUMIF(82:82,C22,83:83)+100</f>
        <v>100</v>
      </c>
      <c r="G21" s="3005" t="s">
        <v>3324</v>
      </c>
      <c r="H21" s="447">
        <f>SUMIF(82:82,G22,83:83)-SUMIF(82:82,C22,83:83)+100</f>
        <v>100</v>
      </c>
      <c r="I21" s="3005" t="s">
        <v>3324</v>
      </c>
      <c r="J21" s="447">
        <f>SUMIF(82:82,I22,83:83)-SUMIF(82:82,C22,83:83)+100</f>
        <v>100</v>
      </c>
      <c r="K21" s="2984">
        <f>'比较法-办公'!K21</f>
        <v>0.5</v>
      </c>
      <c r="L21" s="1134"/>
      <c r="M21" s="1125"/>
      <c r="N21" s="1125"/>
      <c r="O21" s="1125"/>
      <c r="P21" s="3295"/>
      <c r="Q21" s="1803" t="str">
        <f>B21</f>
        <v>基础设施水平</v>
      </c>
      <c r="R21" s="770" t="s">
        <v>17</v>
      </c>
      <c r="S21" s="771">
        <f>F21</f>
        <v>100</v>
      </c>
      <c r="T21" s="770" t="s">
        <v>17</v>
      </c>
      <c r="U21" s="771">
        <f>H21</f>
        <v>100</v>
      </c>
      <c r="V21" s="770" t="s">
        <v>17</v>
      </c>
      <c r="W21" s="771">
        <f>J21</f>
        <v>100</v>
      </c>
      <c r="X21" s="1806"/>
      <c r="Y21" s="3228"/>
      <c r="Z21" s="1807" t="str">
        <f>Q21</f>
        <v>基础设施水平</v>
      </c>
      <c r="AA21" s="1804">
        <f t="shared" ref="AA21" si="8">D21/F21</f>
        <v>1</v>
      </c>
      <c r="AB21" s="1804">
        <f t="shared" ref="AB21" si="9">D21/H21</f>
        <v>1</v>
      </c>
      <c r="AC21" s="1804">
        <f t="shared" ref="AC21" si="10">D21/J21</f>
        <v>1</v>
      </c>
    </row>
    <row r="22" spans="1:29" ht="15.75" thickBot="1">
      <c r="A22" s="425"/>
      <c r="B22" s="1378"/>
      <c r="C22" s="2600" t="s">
        <v>3070</v>
      </c>
      <c r="D22" s="445"/>
      <c r="E22" s="2668" t="s">
        <v>3070</v>
      </c>
      <c r="F22" s="446"/>
      <c r="G22" s="2668" t="s">
        <v>3070</v>
      </c>
      <c r="H22" s="445"/>
      <c r="I22" s="444" t="s">
        <v>3070</v>
      </c>
      <c r="J22" s="445"/>
      <c r="K22" s="1377"/>
      <c r="L22" s="1134"/>
      <c r="M22" s="1125"/>
      <c r="N22" s="1125"/>
      <c r="O22" s="1125"/>
      <c r="P22" s="3295"/>
      <c r="Q22" s="1803"/>
      <c r="R22" s="770"/>
      <c r="S22" s="771"/>
      <c r="T22" s="770"/>
      <c r="U22" s="771"/>
      <c r="V22" s="770"/>
      <c r="W22" s="771"/>
      <c r="X22" s="1806"/>
      <c r="Y22" s="3228"/>
      <c r="Z22" s="1807"/>
      <c r="AA22" s="1804">
        <v>1</v>
      </c>
      <c r="AB22" s="1804">
        <v>1</v>
      </c>
      <c r="AC22" s="1804">
        <v>1</v>
      </c>
    </row>
    <row r="23" spans="1:29" ht="15">
      <c r="A23" s="425"/>
      <c r="B23" s="448" t="s">
        <v>2092</v>
      </c>
      <c r="C23" s="2656" t="str">
        <f>估价对象房地状况!C9</f>
        <v>较好</v>
      </c>
      <c r="D23" s="447">
        <v>100</v>
      </c>
      <c r="E23" s="3003" t="s">
        <v>3321</v>
      </c>
      <c r="F23" s="450">
        <f>SUMIF(84:84,E24,85:85)-SUMIF(84:84,C24,85:85)+100</f>
        <v>100</v>
      </c>
      <c r="G23" s="3003" t="s">
        <v>3321</v>
      </c>
      <c r="H23" s="447">
        <f>SUMIF(84:84,G24,85:85)-SUMIF(84:84,C24,85:85)+100</f>
        <v>100</v>
      </c>
      <c r="I23" s="3003" t="s">
        <v>3321</v>
      </c>
      <c r="J23" s="447">
        <f>SUMIF(84:84,I24,85:85)-SUMIF(84:84,C24,85:85)+100</f>
        <v>100</v>
      </c>
      <c r="K23" s="2984">
        <f>'比较法-办公'!K23</f>
        <v>2</v>
      </c>
      <c r="L23" s="1134"/>
      <c r="M23" s="1125"/>
      <c r="N23" s="1125"/>
      <c r="O23" s="1125"/>
      <c r="P23" s="3295"/>
      <c r="Q23" s="1803" t="str">
        <f>B23</f>
        <v>自然及人文环境</v>
      </c>
      <c r="R23" s="770" t="s">
        <v>17</v>
      </c>
      <c r="S23" s="771">
        <f>F23</f>
        <v>100</v>
      </c>
      <c r="T23" s="770" t="s">
        <v>17</v>
      </c>
      <c r="U23" s="771">
        <f>H23</f>
        <v>100</v>
      </c>
      <c r="V23" s="770" t="s">
        <v>17</v>
      </c>
      <c r="W23" s="771">
        <f>J23</f>
        <v>100</v>
      </c>
      <c r="X23" s="1806"/>
      <c r="Y23" s="3228"/>
      <c r="Z23" s="1807" t="str">
        <f>Q23</f>
        <v>自然及人文环境</v>
      </c>
      <c r="AA23" s="1804">
        <f t="shared" si="3"/>
        <v>1</v>
      </c>
      <c r="AB23" s="1804">
        <f t="shared" si="4"/>
        <v>1</v>
      </c>
      <c r="AC23" s="1804">
        <f t="shared" si="5"/>
        <v>1</v>
      </c>
    </row>
    <row r="24" spans="1:29" ht="15">
      <c r="A24" s="425"/>
      <c r="B24" s="453"/>
      <c r="C24" s="444" t="s">
        <v>3066</v>
      </c>
      <c r="D24" s="445"/>
      <c r="E24" s="2603" t="s">
        <v>3066</v>
      </c>
      <c r="F24" s="446"/>
      <c r="G24" s="2603" t="s">
        <v>3066</v>
      </c>
      <c r="H24" s="445"/>
      <c r="I24" s="2597" t="s">
        <v>3066</v>
      </c>
      <c r="J24" s="445"/>
      <c r="K24" s="612"/>
      <c r="L24" s="1134"/>
      <c r="M24" s="1125"/>
      <c r="N24" s="1125"/>
      <c r="O24" s="1125"/>
      <c r="P24" s="3295"/>
      <c r="Q24" s="1803"/>
      <c r="R24" s="770"/>
      <c r="S24" s="771"/>
      <c r="T24" s="770"/>
      <c r="U24" s="771"/>
      <c r="V24" s="770"/>
      <c r="W24" s="771"/>
      <c r="X24" s="1806"/>
      <c r="Y24" s="3228"/>
      <c r="Z24" s="1807"/>
      <c r="AA24" s="1804">
        <v>1</v>
      </c>
      <c r="AB24" s="1804">
        <v>1</v>
      </c>
      <c r="AC24" s="1804">
        <v>1</v>
      </c>
    </row>
    <row r="25" spans="1:29" ht="15">
      <c r="A25" s="425"/>
      <c r="B25" s="419" t="s">
        <v>2634</v>
      </c>
      <c r="C25" s="613" t="s">
        <v>3300</v>
      </c>
      <c r="D25" s="432">
        <v>100</v>
      </c>
      <c r="E25" s="613" t="s">
        <v>3300</v>
      </c>
      <c r="F25" s="458">
        <f>SUMIF(86:86,E25,87:87)-SUMIF(86:86,C25,87:87)+100</f>
        <v>100</v>
      </c>
      <c r="G25" s="613" t="s">
        <v>3300</v>
      </c>
      <c r="H25" s="432">
        <f>SUMIF(86:86,G25,87:87)-SUMIF(86:86,C25,87:87)+100</f>
        <v>100</v>
      </c>
      <c r="I25" s="613" t="s">
        <v>3300</v>
      </c>
      <c r="J25" s="432">
        <f>SUMIF(86:86,I25,87:87)-SUMIF(86:86,C25,87:87)+100</f>
        <v>100</v>
      </c>
      <c r="K25" s="609">
        <v>2</v>
      </c>
      <c r="L25" s="1134"/>
      <c r="M25" s="1125"/>
      <c r="N25" s="1125"/>
      <c r="O25" s="1125"/>
      <c r="P25" s="3295"/>
      <c r="Q25" s="1803" t="str">
        <f t="shared" ref="Q25:Q46" si="11">B25</f>
        <v>临街状况</v>
      </c>
      <c r="R25" s="770" t="s">
        <v>17</v>
      </c>
      <c r="S25" s="771">
        <f>F25</f>
        <v>100</v>
      </c>
      <c r="T25" s="770" t="s">
        <v>17</v>
      </c>
      <c r="U25" s="771">
        <f>H25</f>
        <v>100</v>
      </c>
      <c r="V25" s="770" t="s">
        <v>17</v>
      </c>
      <c r="W25" s="771">
        <f>J25</f>
        <v>100</v>
      </c>
      <c r="X25" s="1806"/>
      <c r="Y25" s="3228"/>
      <c r="Z25" s="1807" t="str">
        <f>Q25</f>
        <v>临街状况</v>
      </c>
      <c r="AA25" s="1804">
        <f t="shared" si="3"/>
        <v>1</v>
      </c>
      <c r="AB25" s="1804">
        <f t="shared" si="4"/>
        <v>1</v>
      </c>
      <c r="AC25" s="1804">
        <f t="shared" si="5"/>
        <v>1</v>
      </c>
    </row>
    <row r="26" spans="1:29" ht="15">
      <c r="A26" s="425"/>
      <c r="B26" s="1380" t="s">
        <v>2635</v>
      </c>
      <c r="C26" s="2981"/>
      <c r="D26" s="432">
        <v>100</v>
      </c>
      <c r="E26" s="2981"/>
      <c r="F26" s="458">
        <f>SUMIF(88:88,E26,89:89)-SUMIF(88:88,C26,89:89)+100</f>
        <v>100</v>
      </c>
      <c r="G26" s="2981"/>
      <c r="H26" s="432">
        <f>SUMIF(88:88,G26,89:89)-SUMIF(88:88,C26,89:89)+100</f>
        <v>100</v>
      </c>
      <c r="I26" s="2981"/>
      <c r="J26" s="432">
        <f>SUMIF(88:88,I26,89:89)-SUMIF(88:88,C26,89:89)+100</f>
        <v>100</v>
      </c>
      <c r="K26" s="610"/>
      <c r="L26" s="1134"/>
      <c r="M26" s="1125"/>
      <c r="N26" s="1125"/>
      <c r="O26" s="1125"/>
      <c r="P26" s="3295"/>
      <c r="Q26" s="1803" t="str">
        <f t="shared" si="11"/>
        <v>平面位置/可视性</v>
      </c>
      <c r="R26" s="770" t="s">
        <v>17</v>
      </c>
      <c r="S26" s="771">
        <f>F26</f>
        <v>100</v>
      </c>
      <c r="T26" s="770" t="s">
        <v>17</v>
      </c>
      <c r="U26" s="771">
        <f>H26</f>
        <v>100</v>
      </c>
      <c r="V26" s="770" t="s">
        <v>17</v>
      </c>
      <c r="W26" s="771">
        <f>J26</f>
        <v>100</v>
      </c>
      <c r="X26" s="1806"/>
      <c r="Y26" s="3228"/>
      <c r="Z26" s="1807" t="str">
        <f>Q26</f>
        <v>平面位置/可视性</v>
      </c>
      <c r="AA26" s="1804">
        <f t="shared" si="3"/>
        <v>1</v>
      </c>
      <c r="AB26" s="1804">
        <f t="shared" si="4"/>
        <v>1</v>
      </c>
      <c r="AC26" s="1804">
        <f t="shared" si="5"/>
        <v>1</v>
      </c>
    </row>
    <row r="27" spans="1:29" s="117" customFormat="1" ht="15">
      <c r="A27" s="428"/>
      <c r="B27" s="448" t="s">
        <v>2636</v>
      </c>
      <c r="C27" s="2657" t="s">
        <v>3199</v>
      </c>
      <c r="D27" s="459">
        <v>100</v>
      </c>
      <c r="E27" s="2657" t="s">
        <v>3199</v>
      </c>
      <c r="F27" s="461">
        <f>SUMIF(90:90,E27,91:91)-SUMIF(90:90,C27,91:91)+100</f>
        <v>100</v>
      </c>
      <c r="G27" s="2657" t="s">
        <v>3199</v>
      </c>
      <c r="H27" s="459">
        <f>SUMIF(90:90,G27,91:91)-SUMIF(90:90,C27,91:91)+100</f>
        <v>100</v>
      </c>
      <c r="I27" s="2657" t="s">
        <v>3199</v>
      </c>
      <c r="J27" s="459">
        <f>SUMIF(90:90,I27,91:91)-SUMIF(90:90,C27,91:91)+100</f>
        <v>100</v>
      </c>
      <c r="K27" s="609">
        <v>2</v>
      </c>
      <c r="L27" s="1126"/>
      <c r="M27" s="1127"/>
      <c r="N27" s="1127"/>
      <c r="O27" s="1127"/>
      <c r="P27" s="3295"/>
      <c r="Q27" s="1788" t="str">
        <f t="shared" si="11"/>
        <v>人流量</v>
      </c>
      <c r="R27" s="766" t="s">
        <v>17</v>
      </c>
      <c r="S27" s="767">
        <f>F27</f>
        <v>100</v>
      </c>
      <c r="T27" s="766" t="s">
        <v>17</v>
      </c>
      <c r="U27" s="767">
        <f>H27</f>
        <v>100</v>
      </c>
      <c r="V27" s="766" t="s">
        <v>17</v>
      </c>
      <c r="W27" s="767">
        <f>J27</f>
        <v>100</v>
      </c>
      <c r="X27" s="768"/>
      <c r="Y27" s="3228"/>
      <c r="Z27" s="55" t="str">
        <f>Q27</f>
        <v>人流量</v>
      </c>
      <c r="AA27" s="1804">
        <f>D27/F27</f>
        <v>1</v>
      </c>
      <c r="AB27" s="1804">
        <f>D27/H27</f>
        <v>1</v>
      </c>
      <c r="AC27" s="1804">
        <f>D27/J27</f>
        <v>1</v>
      </c>
    </row>
    <row r="28" spans="1:29" ht="15.75" thickBot="1">
      <c r="A28" s="425"/>
      <c r="B28" s="419" t="s">
        <v>2637</v>
      </c>
      <c r="C28" s="613" t="s">
        <v>3303</v>
      </c>
      <c r="D28" s="432">
        <v>100</v>
      </c>
      <c r="E28" s="613" t="s">
        <v>3303</v>
      </c>
      <c r="F28" s="458">
        <f>SUMIF(92:92,E28,93:93)-SUMIF(92:92,C28,93:93)+100</f>
        <v>100</v>
      </c>
      <c r="G28" s="613" t="s">
        <v>3303</v>
      </c>
      <c r="H28" s="432">
        <f>SUMIF(92:92,G28,93:93)-SUMIF(92:92,C28,93:93)+100</f>
        <v>100</v>
      </c>
      <c r="I28" s="613" t="s">
        <v>3303</v>
      </c>
      <c r="J28" s="432">
        <f>SUMIF(92:92,I28,93:93)-SUMIF(92:92,C28,93:93)+100</f>
        <v>100</v>
      </c>
      <c r="K28" s="610"/>
      <c r="L28" s="1134"/>
      <c r="M28" s="1125"/>
      <c r="N28" s="1125"/>
      <c r="O28" s="1125"/>
      <c r="P28" s="329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28"/>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95"/>
      <c r="Q29" s="1803">
        <f t="shared" si="11"/>
        <v>111</v>
      </c>
      <c r="R29" s="770" t="s">
        <v>17</v>
      </c>
      <c r="S29" s="771">
        <f t="shared" si="12"/>
        <v>100</v>
      </c>
      <c r="T29" s="770" t="s">
        <v>17</v>
      </c>
      <c r="U29" s="771">
        <f t="shared" si="13"/>
        <v>100</v>
      </c>
      <c r="V29" s="770" t="s">
        <v>17</v>
      </c>
      <c r="W29" s="771">
        <f t="shared" si="14"/>
        <v>100</v>
      </c>
      <c r="X29" s="1806"/>
      <c r="Y29" s="3228"/>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95"/>
      <c r="Q30" s="1803">
        <f t="shared" si="11"/>
        <v>111</v>
      </c>
      <c r="R30" s="770" t="s">
        <v>17</v>
      </c>
      <c r="S30" s="771">
        <f t="shared" si="12"/>
        <v>100</v>
      </c>
      <c r="T30" s="770" t="s">
        <v>17</v>
      </c>
      <c r="U30" s="771">
        <f t="shared" si="13"/>
        <v>100</v>
      </c>
      <c r="V30" s="770" t="s">
        <v>17</v>
      </c>
      <c r="W30" s="771">
        <f t="shared" si="14"/>
        <v>100</v>
      </c>
      <c r="X30" s="1806"/>
      <c r="Y30" s="3228"/>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95"/>
      <c r="Q31" s="1803">
        <f t="shared" si="11"/>
        <v>111</v>
      </c>
      <c r="R31" s="770" t="s">
        <v>17</v>
      </c>
      <c r="S31" s="771">
        <f t="shared" si="12"/>
        <v>100</v>
      </c>
      <c r="T31" s="770" t="s">
        <v>17</v>
      </c>
      <c r="U31" s="771">
        <f t="shared" si="13"/>
        <v>100</v>
      </c>
      <c r="V31" s="770" t="s">
        <v>17</v>
      </c>
      <c r="W31" s="771">
        <f t="shared" si="14"/>
        <v>100</v>
      </c>
      <c r="X31" s="1806"/>
      <c r="Y31" s="3228"/>
      <c r="Z31" s="1807">
        <f t="shared" si="15"/>
        <v>111</v>
      </c>
      <c r="AA31" s="1804">
        <f t="shared" si="3"/>
        <v>1</v>
      </c>
      <c r="AB31" s="1804">
        <f t="shared" si="4"/>
        <v>1</v>
      </c>
      <c r="AC31" s="1804">
        <f t="shared" si="5"/>
        <v>1</v>
      </c>
    </row>
    <row r="32" spans="1:29" ht="15">
      <c r="A32" s="437" t="s">
        <v>2541</v>
      </c>
      <c r="B32" s="71" t="s">
        <v>2638</v>
      </c>
      <c r="C32" s="2609" t="s">
        <v>3325</v>
      </c>
      <c r="D32" s="464">
        <v>100</v>
      </c>
      <c r="E32" s="2609" t="s">
        <v>3325</v>
      </c>
      <c r="F32" s="458">
        <f>SUMIF(100:100,E32,101:101)-SUMIF(100:100,C32,101:101)+100</f>
        <v>100</v>
      </c>
      <c r="G32" s="2609" t="s">
        <v>3325</v>
      </c>
      <c r="H32" s="432">
        <f>SUMIF(100:100,G32,101:101)-SUMIF(100:100,C32,101:101)+100</f>
        <v>100</v>
      </c>
      <c r="I32" s="2609" t="s">
        <v>3325</v>
      </c>
      <c r="J32" s="464">
        <f>SUMIF(100:100,I32,101:101)-SUMIF(100:100,C32,101:101)+100</f>
        <v>100</v>
      </c>
      <c r="K32" s="2988">
        <f>'比较法-办公'!K33</f>
        <v>5</v>
      </c>
      <c r="L32" s="1134"/>
      <c r="M32" s="1125"/>
      <c r="N32" s="1125"/>
      <c r="O32" s="1125"/>
      <c r="P32" s="3290" t="s">
        <v>2543</v>
      </c>
      <c r="Q32" s="1803" t="str">
        <f t="shared" si="11"/>
        <v>商业类型</v>
      </c>
      <c r="R32" s="770" t="s">
        <v>17</v>
      </c>
      <c r="S32" s="771">
        <f t="shared" si="12"/>
        <v>100</v>
      </c>
      <c r="T32" s="770" t="s">
        <v>17</v>
      </c>
      <c r="U32" s="771">
        <f t="shared" si="13"/>
        <v>100</v>
      </c>
      <c r="V32" s="770" t="s">
        <v>17</v>
      </c>
      <c r="W32" s="771">
        <f t="shared" si="14"/>
        <v>100</v>
      </c>
      <c r="X32" s="1806"/>
      <c r="Y32" s="3230" t="s">
        <v>2543</v>
      </c>
      <c r="Z32" s="1807" t="str">
        <f t="shared" si="15"/>
        <v>商业类型</v>
      </c>
      <c r="AA32" s="1804">
        <f t="shared" si="3"/>
        <v>1</v>
      </c>
      <c r="AB32" s="1804">
        <f t="shared" si="4"/>
        <v>1</v>
      </c>
      <c r="AC32" s="1804">
        <f t="shared" si="5"/>
        <v>1</v>
      </c>
    </row>
    <row r="33" spans="1:29" s="468" customFormat="1" ht="15">
      <c r="A33" s="465"/>
      <c r="B33" s="419" t="s">
        <v>2544</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91"/>
      <c r="Q33" s="772" t="str">
        <f t="shared" si="11"/>
        <v>项目建筑规模</v>
      </c>
      <c r="R33" s="773" t="s">
        <v>17</v>
      </c>
      <c r="S33" s="774">
        <f t="shared" si="12"/>
        <v>100</v>
      </c>
      <c r="T33" s="773" t="s">
        <v>17</v>
      </c>
      <c r="U33" s="774">
        <f t="shared" si="13"/>
        <v>100</v>
      </c>
      <c r="V33" s="773" t="s">
        <v>17</v>
      </c>
      <c r="W33" s="774">
        <f t="shared" si="14"/>
        <v>100</v>
      </c>
      <c r="X33" s="775"/>
      <c r="Y33" s="3230"/>
      <c r="Z33" s="776" t="str">
        <f t="shared" si="15"/>
        <v>项目建筑规模</v>
      </c>
      <c r="AA33" s="1804">
        <f t="shared" si="3"/>
        <v>1</v>
      </c>
      <c r="AB33" s="1804">
        <f t="shared" si="4"/>
        <v>1</v>
      </c>
      <c r="AC33" s="1804">
        <f t="shared" si="5"/>
        <v>1</v>
      </c>
    </row>
    <row r="34" spans="1:29" ht="15">
      <c r="A34" s="469"/>
      <c r="B34" s="419" t="s">
        <v>2545</v>
      </c>
      <c r="C34" s="2611" t="s">
        <v>3203</v>
      </c>
      <c r="D34" s="432">
        <v>100</v>
      </c>
      <c r="E34" s="2611" t="s">
        <v>3203</v>
      </c>
      <c r="F34" s="458">
        <f>SUMIF(105:105,E34,106:106)-SUMIF(105:105,C34,106:106)+100</f>
        <v>100</v>
      </c>
      <c r="G34" s="2611" t="s">
        <v>3203</v>
      </c>
      <c r="H34" s="432">
        <f>SUMIF(105:105,G34,106:106)-SUMIF(105:105,C34,106:106)+100</f>
        <v>100</v>
      </c>
      <c r="I34" s="2611" t="s">
        <v>3203</v>
      </c>
      <c r="J34" s="432">
        <f>SUMIF(105:105,I34,106:106)-SUMIF(105:105,C34,106:106)+100</f>
        <v>100</v>
      </c>
      <c r="K34" s="2988">
        <f>'比较法-办公'!K35</f>
        <v>2</v>
      </c>
      <c r="L34" s="1134"/>
      <c r="M34" s="1125"/>
      <c r="N34" s="1125"/>
      <c r="O34" s="1125"/>
      <c r="P34" s="3291"/>
      <c r="Q34" s="1803" t="str">
        <f t="shared" si="11"/>
        <v>建筑结构</v>
      </c>
      <c r="R34" s="770" t="s">
        <v>17</v>
      </c>
      <c r="S34" s="771">
        <f t="shared" si="12"/>
        <v>100</v>
      </c>
      <c r="T34" s="770" t="s">
        <v>17</v>
      </c>
      <c r="U34" s="771">
        <f t="shared" si="13"/>
        <v>100</v>
      </c>
      <c r="V34" s="770" t="s">
        <v>17</v>
      </c>
      <c r="W34" s="771">
        <f t="shared" si="14"/>
        <v>100</v>
      </c>
      <c r="X34" s="1806"/>
      <c r="Y34" s="3230"/>
      <c r="Z34" s="1807" t="str">
        <f t="shared" si="15"/>
        <v>建筑结构</v>
      </c>
      <c r="AA34" s="1804">
        <f t="shared" si="3"/>
        <v>1</v>
      </c>
      <c r="AB34" s="1804">
        <f t="shared" si="4"/>
        <v>1</v>
      </c>
      <c r="AC34" s="1804">
        <f t="shared" si="5"/>
        <v>1</v>
      </c>
    </row>
    <row r="35" spans="1:29" ht="15">
      <c r="A35" s="469"/>
      <c r="B35" s="419" t="s">
        <v>2639</v>
      </c>
      <c r="C35" s="2605" t="s">
        <v>3280</v>
      </c>
      <c r="D35" s="432">
        <v>100</v>
      </c>
      <c r="E35" s="2605" t="s">
        <v>3280</v>
      </c>
      <c r="F35" s="458">
        <f>SUMIF(107:107,E35,108:108)-SUMIF(107:107,C35,108:108)+100</f>
        <v>100</v>
      </c>
      <c r="G35" s="2605" t="s">
        <v>3280</v>
      </c>
      <c r="H35" s="432">
        <f>SUMIF(107:107,G35,108:108)-SUMIF(107:107,C35,108:108)+100</f>
        <v>100</v>
      </c>
      <c r="I35" s="2605" t="s">
        <v>3280</v>
      </c>
      <c r="J35" s="432">
        <f>SUMIF(107:107,I35,108:108)-SUMIF(107:107,C35,108:108)+100</f>
        <v>100</v>
      </c>
      <c r="K35" s="2988">
        <f>'比较法-办公'!K36</f>
        <v>2</v>
      </c>
      <c r="L35" s="1134"/>
      <c r="M35" s="1125"/>
      <c r="N35" s="1125"/>
      <c r="O35" s="1125"/>
      <c r="P35" s="3291"/>
      <c r="Q35" s="1803" t="str">
        <f t="shared" si="11"/>
        <v>公共部分装修</v>
      </c>
      <c r="R35" s="770" t="s">
        <v>17</v>
      </c>
      <c r="S35" s="771">
        <f t="shared" si="12"/>
        <v>100</v>
      </c>
      <c r="T35" s="770" t="s">
        <v>17</v>
      </c>
      <c r="U35" s="771">
        <f t="shared" si="13"/>
        <v>100</v>
      </c>
      <c r="V35" s="770" t="s">
        <v>17</v>
      </c>
      <c r="W35" s="771">
        <f t="shared" si="14"/>
        <v>100</v>
      </c>
      <c r="X35" s="1806"/>
      <c r="Y35" s="3230"/>
      <c r="Z35" s="1807" t="str">
        <f t="shared" si="15"/>
        <v>公共部分装修</v>
      </c>
      <c r="AA35" s="1804">
        <f t="shared" si="3"/>
        <v>1</v>
      </c>
      <c r="AB35" s="1804">
        <f t="shared" si="4"/>
        <v>1</v>
      </c>
      <c r="AC35" s="1804">
        <f t="shared" si="5"/>
        <v>1</v>
      </c>
    </row>
    <row r="36" spans="1:29" ht="15">
      <c r="A36" s="469"/>
      <c r="B36" s="419" t="s">
        <v>2640</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88">
        <f>'比较法-办公'!K37</f>
        <v>5</v>
      </c>
      <c r="L36" s="1134"/>
      <c r="M36" s="1125"/>
      <c r="N36" s="1125"/>
      <c r="O36" s="1125"/>
      <c r="P36" s="3291"/>
      <c r="Q36" s="1803" t="str">
        <f t="shared" si="11"/>
        <v>成新度</v>
      </c>
      <c r="R36" s="770" t="s">
        <v>17</v>
      </c>
      <c r="S36" s="771">
        <f t="shared" si="12"/>
        <v>90</v>
      </c>
      <c r="T36" s="770" t="s">
        <v>17</v>
      </c>
      <c r="U36" s="771">
        <f t="shared" si="13"/>
        <v>100</v>
      </c>
      <c r="V36" s="770" t="s">
        <v>17</v>
      </c>
      <c r="W36" s="771">
        <f t="shared" si="14"/>
        <v>95</v>
      </c>
      <c r="X36" s="1806"/>
      <c r="Y36" s="3230"/>
      <c r="Z36" s="1807" t="str">
        <f t="shared" si="15"/>
        <v>成新度</v>
      </c>
      <c r="AA36" s="1804">
        <f t="shared" si="3"/>
        <v>1.1111111111111112</v>
      </c>
      <c r="AB36" s="1804">
        <f t="shared" si="4"/>
        <v>1</v>
      </c>
      <c r="AC36" s="1804">
        <f t="shared" si="5"/>
        <v>1.0526315789473684</v>
      </c>
    </row>
    <row r="37" spans="1:29" s="117" customFormat="1" ht="15">
      <c r="A37" s="470"/>
      <c r="B37" s="419" t="s">
        <v>2641</v>
      </c>
      <c r="C37" s="2605" t="s">
        <v>3195</v>
      </c>
      <c r="D37" s="136">
        <v>100</v>
      </c>
      <c r="E37" s="2605" t="s">
        <v>3195</v>
      </c>
      <c r="F37" s="458">
        <f>SUMIF(112:112,E37,113:113)-SUMIF(112:112,C37,113:113)+100</f>
        <v>100</v>
      </c>
      <c r="G37" s="2605" t="s">
        <v>3195</v>
      </c>
      <c r="H37" s="432">
        <f>SUMIF(112:112,G37,113:113)-SUMIF(112:112,C37,113:113)+100</f>
        <v>100</v>
      </c>
      <c r="I37" s="2605" t="s">
        <v>3195</v>
      </c>
      <c r="J37" s="432">
        <f>SUMIF(112:112,I37,113:113)-SUMIF(112:112,C37,113:113)+100</f>
        <v>100</v>
      </c>
      <c r="K37" s="2988">
        <f>'比较法-办公'!K40</f>
        <v>0.5</v>
      </c>
      <c r="L37" s="1126"/>
      <c r="M37" s="1127"/>
      <c r="N37" s="1127"/>
      <c r="O37" s="1127"/>
      <c r="P37" s="3291"/>
      <c r="Q37" s="1788" t="str">
        <f t="shared" si="11"/>
        <v>市政基础设施</v>
      </c>
      <c r="R37" s="766" t="s">
        <v>17</v>
      </c>
      <c r="S37" s="767">
        <f t="shared" si="12"/>
        <v>100</v>
      </c>
      <c r="T37" s="766" t="s">
        <v>17</v>
      </c>
      <c r="U37" s="767">
        <f t="shared" si="13"/>
        <v>100</v>
      </c>
      <c r="V37" s="766" t="s">
        <v>17</v>
      </c>
      <c r="W37" s="767">
        <f t="shared" si="14"/>
        <v>100</v>
      </c>
      <c r="X37" s="768"/>
      <c r="Y37" s="3230"/>
      <c r="Z37" s="55" t="str">
        <f t="shared" si="15"/>
        <v>市政基础设施</v>
      </c>
      <c r="AA37" s="769">
        <f t="shared" si="3"/>
        <v>1</v>
      </c>
      <c r="AB37" s="769">
        <f t="shared" si="4"/>
        <v>1</v>
      </c>
      <c r="AC37" s="769">
        <f t="shared" si="5"/>
        <v>1</v>
      </c>
    </row>
    <row r="38" spans="1:29" ht="15">
      <c r="A38" s="469"/>
      <c r="B38" s="419" t="s">
        <v>2642</v>
      </c>
      <c r="C38" s="2605" t="s">
        <v>3294</v>
      </c>
      <c r="D38" s="432">
        <v>100</v>
      </c>
      <c r="E38" s="2605" t="s">
        <v>3294</v>
      </c>
      <c r="F38" s="458">
        <f>SUMIF(114:114,E38,115:115)-SUMIF(114:114,C38,115:115)+100</f>
        <v>100</v>
      </c>
      <c r="G38" s="2605" t="s">
        <v>3294</v>
      </c>
      <c r="H38" s="432">
        <f>SUMIF(114:114,G38,115:115)-SUMIF(114:114,C38,115:115)+100</f>
        <v>100</v>
      </c>
      <c r="I38" s="2605" t="s">
        <v>3294</v>
      </c>
      <c r="J38" s="432">
        <f>SUMIF(114:114,I38,115:115)-SUMIF(114:114,C38,115:115)+100</f>
        <v>100</v>
      </c>
      <c r="K38" s="609">
        <v>5</v>
      </c>
      <c r="L38" s="1134"/>
      <c r="M38" s="1125"/>
      <c r="N38" s="1125"/>
      <c r="O38" s="1125"/>
      <c r="P38" s="3291" t="s">
        <v>2543</v>
      </c>
      <c r="Q38" s="1803" t="str">
        <f t="shared" si="11"/>
        <v>业态</v>
      </c>
      <c r="R38" s="770" t="s">
        <v>17</v>
      </c>
      <c r="S38" s="771">
        <f t="shared" si="12"/>
        <v>100</v>
      </c>
      <c r="T38" s="770" t="s">
        <v>17</v>
      </c>
      <c r="U38" s="771">
        <f t="shared" si="13"/>
        <v>100</v>
      </c>
      <c r="V38" s="770" t="s">
        <v>17</v>
      </c>
      <c r="W38" s="771">
        <f t="shared" si="14"/>
        <v>100</v>
      </c>
      <c r="X38" s="1806"/>
      <c r="Y38" s="3230" t="s">
        <v>2543</v>
      </c>
      <c r="Z38" s="1807" t="str">
        <f t="shared" si="15"/>
        <v>业态</v>
      </c>
      <c r="AA38" s="1804">
        <f t="shared" si="3"/>
        <v>1</v>
      </c>
      <c r="AB38" s="1804">
        <f t="shared" si="4"/>
        <v>1</v>
      </c>
      <c r="AC38" s="1804">
        <f t="shared" si="5"/>
        <v>1</v>
      </c>
    </row>
    <row r="39" spans="1:29" ht="15">
      <c r="A39" s="469"/>
      <c r="B39" s="419" t="s">
        <v>2643</v>
      </c>
      <c r="C39" s="2605" t="s">
        <v>3278</v>
      </c>
      <c r="D39" s="432">
        <v>100</v>
      </c>
      <c r="E39" s="2605" t="s">
        <v>3278</v>
      </c>
      <c r="F39" s="458">
        <f>SUMIF(116:116,E39,117:117)-SUMIF(116:116,C39,117:117)+100</f>
        <v>100</v>
      </c>
      <c r="G39" s="2605" t="s">
        <v>3278</v>
      </c>
      <c r="H39" s="432">
        <f>SUMIF(116:116,G39,117:117)-SUMIF(116:116,C39,117:117)+100</f>
        <v>100</v>
      </c>
      <c r="I39" s="2605" t="s">
        <v>3278</v>
      </c>
      <c r="J39" s="432">
        <f>SUMIF(116:116,I39,117:117)-SUMIF(116:116,C39,117:117)+100</f>
        <v>100</v>
      </c>
      <c r="K39" s="2988">
        <f>'比较法-办公'!K41</f>
        <v>2</v>
      </c>
      <c r="L39" s="1134"/>
      <c r="M39" s="1125"/>
      <c r="N39" s="1125"/>
      <c r="O39" s="1125"/>
      <c r="P39" s="3291"/>
      <c r="Q39" s="1803" t="str">
        <f t="shared" si="11"/>
        <v>层高</v>
      </c>
      <c r="R39" s="770" t="s">
        <v>17</v>
      </c>
      <c r="S39" s="771">
        <f t="shared" si="12"/>
        <v>100</v>
      </c>
      <c r="T39" s="770" t="s">
        <v>17</v>
      </c>
      <c r="U39" s="771">
        <f t="shared" si="13"/>
        <v>100</v>
      </c>
      <c r="V39" s="770" t="s">
        <v>17</v>
      </c>
      <c r="W39" s="771">
        <f t="shared" si="14"/>
        <v>100</v>
      </c>
      <c r="X39" s="1806"/>
      <c r="Y39" s="3230"/>
      <c r="Z39" s="1807" t="str">
        <f t="shared" si="15"/>
        <v>层高</v>
      </c>
      <c r="AA39" s="1804">
        <f t="shared" si="3"/>
        <v>1</v>
      </c>
      <c r="AB39" s="1804">
        <f t="shared" si="4"/>
        <v>1</v>
      </c>
      <c r="AC39" s="1804">
        <f t="shared" si="5"/>
        <v>1</v>
      </c>
    </row>
    <row r="40" spans="1:29" ht="15">
      <c r="A40" s="469"/>
      <c r="B40" s="419" t="s">
        <v>2644</v>
      </c>
      <c r="C40" s="3000" t="s">
        <v>3314</v>
      </c>
      <c r="D40" s="432">
        <v>100</v>
      </c>
      <c r="E40" s="614" t="s">
        <v>3315</v>
      </c>
      <c r="F40" s="458">
        <f>SUMIF(118:118,E40,119:119)-SUMIF(118:118,C40,119:119)+100</f>
        <v>100</v>
      </c>
      <c r="G40" s="614" t="s">
        <v>3315</v>
      </c>
      <c r="H40" s="432">
        <f>SUMIF(118:118,G40,119:119)-SUMIF(118:118,C40,119:119)+100</f>
        <v>100</v>
      </c>
      <c r="I40" s="614" t="s">
        <v>3315</v>
      </c>
      <c r="J40" s="432">
        <f>SUMIF(118:118,I40,119:119)-SUMIF(118:118,C40,119:119)+100</f>
        <v>100</v>
      </c>
      <c r="K40" s="610"/>
      <c r="L40" s="1134"/>
      <c r="M40" s="1125"/>
      <c r="N40" s="1125"/>
      <c r="O40" s="1125"/>
      <c r="P40" s="3291"/>
      <c r="Q40" s="1803" t="str">
        <f t="shared" si="11"/>
        <v>单套建筑面积</v>
      </c>
      <c r="R40" s="770" t="s">
        <v>17</v>
      </c>
      <c r="S40" s="771">
        <f t="shared" si="12"/>
        <v>100</v>
      </c>
      <c r="T40" s="770" t="s">
        <v>17</v>
      </c>
      <c r="U40" s="771">
        <f t="shared" si="13"/>
        <v>100</v>
      </c>
      <c r="V40" s="770" t="s">
        <v>17</v>
      </c>
      <c r="W40" s="771">
        <f t="shared" si="14"/>
        <v>100</v>
      </c>
      <c r="X40" s="1806"/>
      <c r="Y40" s="3230"/>
      <c r="Z40" s="1807" t="str">
        <f t="shared" si="15"/>
        <v>单套建筑面积</v>
      </c>
      <c r="AA40" s="1804">
        <f t="shared" si="3"/>
        <v>1</v>
      </c>
      <c r="AB40" s="1804">
        <f t="shared" si="4"/>
        <v>1</v>
      </c>
      <c r="AC40" s="1804">
        <f t="shared" si="5"/>
        <v>1</v>
      </c>
    </row>
    <row r="41" spans="1:29" s="468" customFormat="1" ht="15">
      <c r="A41" s="465"/>
      <c r="B41" s="1805" t="s">
        <v>2645</v>
      </c>
      <c r="C41" s="613" t="s">
        <v>3191</v>
      </c>
      <c r="D41" s="432">
        <v>100</v>
      </c>
      <c r="E41" s="613" t="s">
        <v>3191</v>
      </c>
      <c r="F41" s="458">
        <f>SUMIF(120:120,E41,121:121)-SUMIF(120:120,C41,121:121)+100</f>
        <v>100</v>
      </c>
      <c r="G41" s="613" t="s">
        <v>3191</v>
      </c>
      <c r="H41" s="432">
        <f>SUMIF(120:120,G41,121:121)-SUMIF(120:120,C41,121:121)+100</f>
        <v>100</v>
      </c>
      <c r="I41" s="613" t="s">
        <v>3191</v>
      </c>
      <c r="J41" s="432">
        <f>SUMIF(120:120,I41,121:121)-SUMIF(120:120,C41,121:121)+100</f>
        <v>100</v>
      </c>
      <c r="K41" s="609">
        <v>2</v>
      </c>
      <c r="L41" s="1132"/>
      <c r="M41" s="1135"/>
      <c r="N41" s="1135"/>
      <c r="O41" s="1135"/>
      <c r="P41" s="3291"/>
      <c r="Q41" s="772" t="str">
        <f t="shared" si="11"/>
        <v>进深比</v>
      </c>
      <c r="R41" s="773" t="s">
        <v>17</v>
      </c>
      <c r="S41" s="774">
        <f t="shared" si="12"/>
        <v>100</v>
      </c>
      <c r="T41" s="773" t="s">
        <v>17</v>
      </c>
      <c r="U41" s="774">
        <f t="shared" si="13"/>
        <v>100</v>
      </c>
      <c r="V41" s="773" t="s">
        <v>17</v>
      </c>
      <c r="W41" s="774">
        <f t="shared" si="14"/>
        <v>100</v>
      </c>
      <c r="X41" s="775"/>
      <c r="Y41" s="3230"/>
      <c r="Z41" s="776" t="str">
        <f t="shared" si="15"/>
        <v>进深比</v>
      </c>
      <c r="AA41" s="1804">
        <f t="shared" si="3"/>
        <v>1</v>
      </c>
      <c r="AB41" s="1804">
        <f t="shared" si="4"/>
        <v>1</v>
      </c>
      <c r="AC41" s="1804">
        <f t="shared" si="5"/>
        <v>1</v>
      </c>
    </row>
    <row r="42" spans="1:29" ht="15">
      <c r="A42" s="469"/>
      <c r="B42" s="419" t="s">
        <v>2646</v>
      </c>
      <c r="C42" s="2605" t="s">
        <v>3307</v>
      </c>
      <c r="D42" s="432">
        <v>100</v>
      </c>
      <c r="E42" s="2605" t="s">
        <v>3349</v>
      </c>
      <c r="F42" s="458">
        <f>SUMIF(122:122,E42,123:123)-SUMIF(122:122,C42,123:123)+100</f>
        <v>108</v>
      </c>
      <c r="G42" s="2605" t="s">
        <v>3349</v>
      </c>
      <c r="H42" s="432">
        <f>SUMIF(122:122,G42,123:123)-SUMIF(122:122,C42,123:123)+100</f>
        <v>108</v>
      </c>
      <c r="I42" s="2605" t="s">
        <v>3349</v>
      </c>
      <c r="J42" s="432">
        <f>SUMIF(122:122,I42,123:123)-SUMIF(122:122,C42,123:123)+100</f>
        <v>108</v>
      </c>
      <c r="K42" s="2988">
        <f>'比较法-办公'!K43</f>
        <v>4</v>
      </c>
      <c r="L42" s="1134"/>
      <c r="M42" s="1125"/>
      <c r="N42" s="1125"/>
      <c r="O42" s="1125"/>
      <c r="P42" s="3291"/>
      <c r="Q42" s="1803" t="str">
        <f t="shared" si="11"/>
        <v>内部装修</v>
      </c>
      <c r="R42" s="770" t="s">
        <v>17</v>
      </c>
      <c r="S42" s="771">
        <f t="shared" si="12"/>
        <v>108</v>
      </c>
      <c r="T42" s="770" t="s">
        <v>17</v>
      </c>
      <c r="U42" s="771">
        <f t="shared" si="13"/>
        <v>108</v>
      </c>
      <c r="V42" s="770" t="s">
        <v>17</v>
      </c>
      <c r="W42" s="771">
        <f t="shared" si="14"/>
        <v>108</v>
      </c>
      <c r="X42" s="1806"/>
      <c r="Y42" s="3230"/>
      <c r="Z42" s="1807" t="str">
        <f t="shared" si="15"/>
        <v>内部装修</v>
      </c>
      <c r="AA42" s="1804">
        <f t="shared" si="3"/>
        <v>0.92592592592592593</v>
      </c>
      <c r="AB42" s="1804">
        <f t="shared" si="4"/>
        <v>0.92592592592592593</v>
      </c>
      <c r="AC42" s="1804">
        <f t="shared" si="5"/>
        <v>0.92592592592592593</v>
      </c>
    </row>
    <row r="43" spans="1:29" ht="15.75" thickBot="1">
      <c r="A43" s="469"/>
      <c r="B43" s="419" t="s">
        <v>2554</v>
      </c>
      <c r="C43" s="2605" t="s">
        <v>3066</v>
      </c>
      <c r="D43" s="432">
        <v>100</v>
      </c>
      <c r="E43" s="2605" t="s">
        <v>3066</v>
      </c>
      <c r="F43" s="458">
        <f>SUMIF(124:124,E43,125:125)-SUMIF(124:124,C43,125:125)+100</f>
        <v>100</v>
      </c>
      <c r="G43" s="2605" t="s">
        <v>3066</v>
      </c>
      <c r="H43" s="432">
        <f>SUMIF(124:124,G43,125:125)-SUMIF(124:124,C43,125:125)+100</f>
        <v>100</v>
      </c>
      <c r="I43" s="2605" t="s">
        <v>3066</v>
      </c>
      <c r="J43" s="432">
        <f>SUMIF(124:124,I43,125:125)-SUMIF(124:124,C43,125:125)+100</f>
        <v>100</v>
      </c>
      <c r="K43" s="2988">
        <f>'比较法-办公'!K44</f>
        <v>2</v>
      </c>
      <c r="L43" s="1134"/>
      <c r="M43" s="1125"/>
      <c r="N43" s="1125"/>
      <c r="O43" s="1125"/>
      <c r="P43" s="3291"/>
      <c r="Q43" s="1803" t="str">
        <f t="shared" si="11"/>
        <v>内部装修维护情况</v>
      </c>
      <c r="R43" s="770" t="s">
        <v>17</v>
      </c>
      <c r="S43" s="771">
        <f t="shared" si="12"/>
        <v>100</v>
      </c>
      <c r="T43" s="770" t="s">
        <v>17</v>
      </c>
      <c r="U43" s="771">
        <f t="shared" si="13"/>
        <v>100</v>
      </c>
      <c r="V43" s="770" t="s">
        <v>17</v>
      </c>
      <c r="W43" s="771">
        <f t="shared" si="14"/>
        <v>100</v>
      </c>
      <c r="X43" s="1806"/>
      <c r="Y43" s="3230"/>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91"/>
      <c r="Q44" s="1788">
        <f t="shared" si="11"/>
        <v>111</v>
      </c>
      <c r="R44" s="766" t="s">
        <v>17</v>
      </c>
      <c r="S44" s="767">
        <f t="shared" si="12"/>
        <v>100</v>
      </c>
      <c r="T44" s="766" t="s">
        <v>17</v>
      </c>
      <c r="U44" s="767">
        <f t="shared" si="13"/>
        <v>100</v>
      </c>
      <c r="V44" s="766" t="s">
        <v>17</v>
      </c>
      <c r="W44" s="767">
        <f t="shared" si="14"/>
        <v>100</v>
      </c>
      <c r="X44" s="768"/>
      <c r="Y44" s="3230"/>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91"/>
      <c r="Q45" s="1803">
        <f t="shared" si="11"/>
        <v>111</v>
      </c>
      <c r="R45" s="770" t="s">
        <v>17</v>
      </c>
      <c r="S45" s="771">
        <f t="shared" si="12"/>
        <v>100</v>
      </c>
      <c r="T45" s="770" t="s">
        <v>17</v>
      </c>
      <c r="U45" s="771">
        <f t="shared" si="13"/>
        <v>100</v>
      </c>
      <c r="V45" s="770" t="s">
        <v>17</v>
      </c>
      <c r="W45" s="771">
        <f t="shared" si="14"/>
        <v>100</v>
      </c>
      <c r="X45" s="1806"/>
      <c r="Y45" s="3230"/>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92"/>
      <c r="Q46" s="1803">
        <f t="shared" si="11"/>
        <v>111</v>
      </c>
      <c r="R46" s="770" t="s">
        <v>17</v>
      </c>
      <c r="S46" s="771">
        <f t="shared" si="12"/>
        <v>100</v>
      </c>
      <c r="T46" s="770" t="s">
        <v>17</v>
      </c>
      <c r="U46" s="771">
        <f t="shared" si="13"/>
        <v>100</v>
      </c>
      <c r="V46" s="770" t="s">
        <v>17</v>
      </c>
      <c r="W46" s="771">
        <f t="shared" si="14"/>
        <v>100</v>
      </c>
      <c r="X46" s="1806"/>
      <c r="Y46" s="3293"/>
      <c r="Z46" s="1807">
        <f t="shared" si="15"/>
        <v>111</v>
      </c>
      <c r="AA46" s="1804">
        <f t="shared" si="3"/>
        <v>1</v>
      </c>
      <c r="AB46" s="1804">
        <f t="shared" si="4"/>
        <v>1</v>
      </c>
      <c r="AC46" s="1804">
        <f t="shared" si="5"/>
        <v>1</v>
      </c>
    </row>
    <row r="47" spans="1:29" ht="15">
      <c r="A47" s="476" t="s">
        <v>2555</v>
      </c>
      <c r="B47" s="477"/>
      <c r="C47" s="1401" t="s">
        <v>1</v>
      </c>
      <c r="D47" s="1402"/>
      <c r="E47" s="1403">
        <v>8</v>
      </c>
      <c r="F47" s="1404"/>
      <c r="G47" s="1405">
        <v>10</v>
      </c>
      <c r="H47" s="1406"/>
      <c r="I47" s="1403">
        <v>9</v>
      </c>
      <c r="J47" s="1406"/>
      <c r="K47" s="779"/>
      <c r="L47" s="1137"/>
      <c r="M47" s="1138"/>
      <c r="N47" s="1125"/>
      <c r="O47" s="1138"/>
      <c r="P47" s="3225" t="str">
        <f>A47</f>
        <v>成交单价（元/平方米）</v>
      </c>
      <c r="Q47" s="3225"/>
      <c r="R47" s="3231">
        <f>E47</f>
        <v>8</v>
      </c>
      <c r="S47" s="3231"/>
      <c r="T47" s="3231">
        <f>G47</f>
        <v>10</v>
      </c>
      <c r="U47" s="3231"/>
      <c r="V47" s="3231">
        <f>I47</f>
        <v>9</v>
      </c>
      <c r="W47" s="3231"/>
      <c r="X47" s="755"/>
      <c r="Y47" s="777"/>
      <c r="Z47" s="755"/>
      <c r="AA47" s="755"/>
      <c r="AB47" s="755"/>
      <c r="AC47" s="755"/>
    </row>
    <row r="48" spans="1:29" ht="15.75" thickBot="1">
      <c r="A48" s="483" t="s">
        <v>2647</v>
      </c>
      <c r="B48" s="484"/>
      <c r="C48" s="1407">
        <f>R49</f>
        <v>9</v>
      </c>
      <c r="D48" s="1408"/>
      <c r="E48" s="1409">
        <f>R48</f>
        <v>8.5</v>
      </c>
      <c r="F48" s="1409"/>
      <c r="G48" s="1407">
        <f>T48</f>
        <v>9.4</v>
      </c>
      <c r="H48" s="1408"/>
      <c r="I48" s="1409">
        <f>V48</f>
        <v>9</v>
      </c>
      <c r="J48" s="1408"/>
      <c r="K48" s="780"/>
      <c r="L48" s="1137"/>
      <c r="M48" s="1138"/>
      <c r="N48" s="1125"/>
      <c r="O48" s="1138"/>
      <c r="P48" s="3225" t="str">
        <f>A48</f>
        <v>比较价值（元/平方米）</v>
      </c>
      <c r="Q48" s="3225"/>
      <c r="R48" s="3289">
        <f>IF(F1="售价",ROUND(PRODUCT(R47,AA7:AA46),0),ROUND(PRODUCT(R47,AA7:AA46),1))</f>
        <v>8.5</v>
      </c>
      <c r="S48" s="3289"/>
      <c r="T48" s="3289">
        <f>IF(F1="售价",ROUND(PRODUCT(T47,AB7:AB46),0),ROUND(PRODUCT(T47,AB7:AB46),1))</f>
        <v>9.4</v>
      </c>
      <c r="U48" s="3289"/>
      <c r="V48" s="3289">
        <f>IF(F1="售价",ROUND(PRODUCT(V47,AC7:AC46),0),ROUND(PRODUCT(V47,AC7:AC46),1))</f>
        <v>9</v>
      </c>
      <c r="W48" s="3289"/>
      <c r="X48" s="755"/>
      <c r="Y48" s="755"/>
      <c r="Z48" s="755"/>
      <c r="AA48" s="755"/>
      <c r="AB48" s="755"/>
      <c r="AC48" s="755"/>
    </row>
    <row r="49" spans="1:29" ht="15.75" thickBot="1">
      <c r="A49" s="489" t="s">
        <v>2648</v>
      </c>
      <c r="B49" s="490"/>
      <c r="C49" s="1411">
        <f>R49</f>
        <v>9</v>
      </c>
      <c r="D49" s="1411"/>
      <c r="E49" s="1411"/>
      <c r="F49" s="1411"/>
      <c r="G49" s="1411"/>
      <c r="H49" s="1411"/>
      <c r="I49" s="1411"/>
      <c r="J49" s="1411"/>
      <c r="K49" s="781"/>
      <c r="L49" s="1137"/>
      <c r="M49" s="1138"/>
      <c r="N49" s="1125"/>
      <c r="O49" s="1138"/>
      <c r="P49" s="3219" t="str">
        <f>A49</f>
        <v>估价对象XX用房的比较价值（楼面单价，元/平方米）</v>
      </c>
      <c r="Q49" s="3220"/>
      <c r="R49" s="3288">
        <f>IF(F1="售价",ROUND(AVERAGE(R48:V48),0),ROUND(AVERAGE(R48:V48),1))</f>
        <v>9</v>
      </c>
      <c r="S49" s="3288"/>
      <c r="T49" s="3288"/>
      <c r="U49" s="3288"/>
      <c r="V49" s="3288"/>
      <c r="W49" s="328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2649</v>
      </c>
      <c r="D52" s="495"/>
      <c r="E52" s="496">
        <f>IF(E47&lt;E48,E48/E47-1,E47/E48-1)</f>
        <v>6.25E-2</v>
      </c>
      <c r="F52" s="497" t="str">
        <f>IF(OR(E52&gt;=0.3,E52&lt;=-0.3),"超过30%","")</f>
        <v/>
      </c>
      <c r="G52" s="496">
        <f>IF(G47&lt;G48,G48/G47-1,G47/G48-1)</f>
        <v>6.3829787234042534E-2</v>
      </c>
      <c r="H52" s="497" t="str">
        <f>IF(OR(G52&gt;=0.3,G52&lt;=-0.3),"超过30%","")</f>
        <v/>
      </c>
      <c r="I52" s="496">
        <f>IF(I47&lt;I48,I48/I47-1,I47/I48-1)</f>
        <v>0</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2650</v>
      </c>
      <c r="D53" s="498"/>
      <c r="E53" s="496">
        <f>IF(E48&lt;G48,G48/E48-1,E48/G48-1)</f>
        <v>0.10588235294117654</v>
      </c>
      <c r="F53" s="497" t="str">
        <f>IF(OR(E53&gt;=0.2,E53&lt;=-0.2),"超过20%","")</f>
        <v/>
      </c>
      <c r="G53" s="496">
        <f>IF(G48&lt;I48,I48/G48-1,G48/I48-1)</f>
        <v>4.4444444444444509E-2</v>
      </c>
      <c r="H53" s="497" t="str">
        <f>IF(OR(G53&gt;=0.2,G53&lt;=-0.2),"超过20%","")</f>
        <v/>
      </c>
      <c r="I53" s="496">
        <f>IF(I48&lt;E48,E48/I48-1,I48/E48-1)</f>
        <v>5.8823529411764719E-2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2651</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2652</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2526</v>
      </c>
      <c r="B58" s="503"/>
      <c r="C58" s="1567" t="str">
        <f>YEAR(C7)&amp;"-"&amp;MONTH(C7)</f>
        <v>2018-9</v>
      </c>
      <c r="D58" s="1568">
        <f>EDATE(C58,-1)</f>
        <v>43313</v>
      </c>
      <c r="E58" s="1568">
        <f t="shared" ref="E58:N58" si="16">EDATE(D58,-1)</f>
        <v>43282</v>
      </c>
      <c r="F58" s="1568">
        <f t="shared" si="16"/>
        <v>43252</v>
      </c>
      <c r="G58" s="1568">
        <f t="shared" si="16"/>
        <v>43221</v>
      </c>
      <c r="H58" s="1568">
        <f t="shared" si="16"/>
        <v>43191</v>
      </c>
      <c r="I58" s="1568">
        <f t="shared" si="16"/>
        <v>43160</v>
      </c>
      <c r="J58" s="1568">
        <f t="shared" si="16"/>
        <v>43132</v>
      </c>
      <c r="K58" s="1568">
        <f t="shared" si="16"/>
        <v>43101</v>
      </c>
      <c r="L58" s="1568">
        <f t="shared" si="16"/>
        <v>43070</v>
      </c>
      <c r="M58" s="1568">
        <f t="shared" si="16"/>
        <v>43040</v>
      </c>
      <c r="N58" s="1568">
        <f t="shared" si="16"/>
        <v>43009</v>
      </c>
      <c r="O58" s="1568">
        <f>EDATE(N58,-1)</f>
        <v>42979</v>
      </c>
      <c r="P58" s="1563"/>
    </row>
    <row r="59" spans="1:29" s="117" customFormat="1" ht="15">
      <c r="A59" s="506"/>
      <c r="B59" s="507"/>
      <c r="C59" s="1566">
        <v>100</v>
      </c>
      <c r="D59" s="509">
        <v>100</v>
      </c>
      <c r="E59" s="509">
        <v>100</v>
      </c>
      <c r="F59" s="509">
        <v>99</v>
      </c>
      <c r="G59" s="509">
        <v>99</v>
      </c>
      <c r="H59" s="509">
        <v>99</v>
      </c>
      <c r="I59" s="509">
        <v>98</v>
      </c>
      <c r="J59" s="509">
        <v>98</v>
      </c>
      <c r="K59" s="509">
        <v>98</v>
      </c>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2528</v>
      </c>
      <c r="B61" s="507"/>
      <c r="C61" s="519" t="s">
        <v>2630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2536</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99</v>
      </c>
      <c r="E79" s="541">
        <f>D79-$K17</f>
        <v>98</v>
      </c>
      <c r="F79" s="541">
        <f>E79-$K17</f>
        <v>97</v>
      </c>
      <c r="G79" s="541">
        <f>F79-$K17</f>
        <v>96</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2633</v>
      </c>
      <c r="C82" s="656" t="s">
        <v>2653</v>
      </c>
      <c r="D82" s="656" t="s">
        <v>2654</v>
      </c>
      <c r="E82" s="656" t="s">
        <v>2655</v>
      </c>
      <c r="F82" s="656" t="s">
        <v>2656</v>
      </c>
      <c r="G82" s="656" t="s">
        <v>2657</v>
      </c>
      <c r="H82" s="536"/>
      <c r="I82" s="536"/>
      <c r="J82" s="536"/>
      <c r="K82" s="536"/>
      <c r="L82" s="536"/>
      <c r="M82" s="1376"/>
      <c r="N82" s="1147"/>
      <c r="O82" s="1147"/>
      <c r="P82" s="2622"/>
      <c r="Q82" s="501"/>
    </row>
    <row r="83" spans="1:17" ht="15.75" thickBot="1">
      <c r="A83" s="531"/>
      <c r="B83" s="543"/>
      <c r="C83" s="541">
        <v>100</v>
      </c>
      <c r="D83" s="541">
        <f>C83-$K21</f>
        <v>99.5</v>
      </c>
      <c r="E83" s="541">
        <f t="shared" ref="E83:G83" si="19">D83-$K21</f>
        <v>99</v>
      </c>
      <c r="F83" s="541">
        <f t="shared" si="19"/>
        <v>98.5</v>
      </c>
      <c r="G83" s="541">
        <f t="shared" si="19"/>
        <v>98</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2658</v>
      </c>
      <c r="C86" s="2966" t="s">
        <v>3298</v>
      </c>
      <c r="D86" s="2966" t="s">
        <v>3299</v>
      </c>
      <c r="E86" s="2966" t="s">
        <v>3301</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6" t="s">
        <v>3068</v>
      </c>
      <c r="D88" s="551" t="s">
        <v>3066</v>
      </c>
      <c r="E88" s="551" t="s">
        <v>3199</v>
      </c>
      <c r="F88" s="2627" t="s">
        <v>3200</v>
      </c>
      <c r="G88" s="551" t="s">
        <v>3201</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3068</v>
      </c>
      <c r="D90" s="551" t="s">
        <v>3066</v>
      </c>
      <c r="E90" s="551" t="s">
        <v>3199</v>
      </c>
      <c r="F90" s="551" t="s">
        <v>3200</v>
      </c>
      <c r="G90" s="551" t="s">
        <v>3201</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3302</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2541</v>
      </c>
      <c r="B100" s="525" t="s">
        <v>2659</v>
      </c>
      <c r="C100" s="2962" t="s">
        <v>3327</v>
      </c>
      <c r="D100" s="2962" t="s">
        <v>3328</v>
      </c>
      <c r="E100" s="2962" t="s">
        <v>3326</v>
      </c>
      <c r="F100" s="2962" t="s">
        <v>3329</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2591</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2592</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2594</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2596</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99.5</v>
      </c>
      <c r="E113" s="541">
        <f t="shared" ref="E113:M113" si="27">D113-$K37</f>
        <v>99</v>
      </c>
      <c r="F113" s="541">
        <f t="shared" si="27"/>
        <v>98.5</v>
      </c>
      <c r="G113" s="541">
        <f t="shared" si="27"/>
        <v>98</v>
      </c>
      <c r="H113" s="541">
        <f t="shared" si="27"/>
        <v>97.5</v>
      </c>
      <c r="I113" s="541">
        <f t="shared" si="27"/>
        <v>97</v>
      </c>
      <c r="J113" s="541">
        <f t="shared" si="27"/>
        <v>96.5</v>
      </c>
      <c r="K113" s="541">
        <f t="shared" si="27"/>
        <v>96</v>
      </c>
      <c r="L113" s="541">
        <f t="shared" si="27"/>
        <v>95.5</v>
      </c>
      <c r="M113" s="541">
        <f t="shared" si="27"/>
        <v>95</v>
      </c>
      <c r="N113" s="1148"/>
      <c r="O113" s="1148"/>
      <c r="P113" s="2623"/>
      <c r="Q113" s="556"/>
    </row>
    <row r="114" spans="1:17" ht="15" thickTop="1">
      <c r="A114" s="596"/>
      <c r="B114" s="535" t="s">
        <v>2660</v>
      </c>
      <c r="C114" s="2966" t="s">
        <v>3295</v>
      </c>
      <c r="D114" s="2966" t="s">
        <v>3296</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2661</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2662</v>
      </c>
      <c r="C118" s="623" t="s">
        <v>3287</v>
      </c>
      <c r="D118" s="623" t="s">
        <v>3288</v>
      </c>
      <c r="E118" s="623" t="s">
        <v>3289</v>
      </c>
      <c r="F118" s="623" t="s">
        <v>3290</v>
      </c>
      <c r="G118" s="623" t="s">
        <v>3291</v>
      </c>
      <c r="H118" s="552" t="s">
        <v>3292</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2663</v>
      </c>
      <c r="C120" s="2965" t="s">
        <v>3293</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2598</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96</v>
      </c>
      <c r="E123" s="541">
        <f t="shared" si="31"/>
        <v>92</v>
      </c>
      <c r="F123" s="541">
        <f t="shared" si="31"/>
        <v>88</v>
      </c>
      <c r="G123" s="541">
        <f t="shared" si="31"/>
        <v>84</v>
      </c>
      <c r="H123" s="541">
        <f t="shared" si="31"/>
        <v>80</v>
      </c>
      <c r="I123" s="541">
        <f t="shared" si="31"/>
        <v>76</v>
      </c>
      <c r="J123" s="541">
        <f t="shared" si="31"/>
        <v>72</v>
      </c>
      <c r="K123" s="541">
        <f t="shared" si="31"/>
        <v>68</v>
      </c>
      <c r="L123" s="541">
        <f t="shared" si="31"/>
        <v>64</v>
      </c>
      <c r="M123" s="542">
        <f t="shared" si="31"/>
        <v>60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3056</v>
      </c>
      <c r="D1" s="1813" t="s">
        <v>70</v>
      </c>
      <c r="E1" s="1814" t="s">
        <v>1387</v>
      </c>
      <c r="F1" s="1277">
        <f ca="1">J53</f>
        <v>46.94</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4694</v>
      </c>
      <c r="C2" s="1838" t="s">
        <v>1516</v>
      </c>
      <c r="D2" s="1838"/>
      <c r="E2" s="1839"/>
      <c r="F2" s="1840"/>
      <c r="G2" s="1841"/>
      <c r="H2" s="1833"/>
      <c r="I2" s="1833"/>
      <c r="J2" s="1833"/>
      <c r="K2" s="1834"/>
      <c r="L2" s="1833"/>
      <c r="M2" s="1833"/>
    </row>
    <row r="3" spans="1:37" ht="18" customHeight="1" thickBot="1">
      <c r="A3" s="1842" t="s">
        <v>1517</v>
      </c>
      <c r="B3" s="1843">
        <f ca="1">IF(ISERROR(B2*10000/F43),0,ROUND(B2*10000/F43,0))</f>
        <v>2748</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422</v>
      </c>
      <c r="D5" s="1815" t="s">
        <v>1402</v>
      </c>
      <c r="E5" s="1287"/>
      <c r="F5" s="1288"/>
      <c r="G5" s="1844"/>
      <c r="H5" s="341">
        <v>1</v>
      </c>
      <c r="I5" s="342" t="s">
        <v>1401</v>
      </c>
      <c r="J5" s="1286">
        <f ca="1">J6+J10+J12</f>
        <v>0</v>
      </c>
      <c r="K5" s="1815" t="s">
        <v>1402</v>
      </c>
      <c r="L5" s="1287"/>
      <c r="M5" s="1288"/>
    </row>
    <row r="6" spans="1:37" ht="18" customHeight="1">
      <c r="A6" s="1285" t="s">
        <v>1035</v>
      </c>
      <c r="B6" s="3264" t="s">
        <v>1403</v>
      </c>
      <c r="C6" s="1290">
        <f ca="1">ROUND(F6*F8*F7*(1-F9)/10000,0)</f>
        <v>422</v>
      </c>
      <c r="D6" s="161" t="s">
        <v>3012</v>
      </c>
      <c r="E6" s="344" t="s">
        <v>1405</v>
      </c>
      <c r="F6" s="345">
        <f ca="1">INDIRECT("'数据-取费表'!u"&amp;$G$1)</f>
        <v>800</v>
      </c>
      <c r="G6" s="1844"/>
      <c r="H6" s="1285" t="s">
        <v>1035</v>
      </c>
      <c r="I6" s="3264" t="s">
        <v>1403</v>
      </c>
      <c r="J6" s="343">
        <f ca="1">ROUND(M6*M8*M7*(1-M9)/10000,0)</f>
        <v>0</v>
      </c>
      <c r="K6" s="161" t="s">
        <v>3011</v>
      </c>
      <c r="L6" s="344" t="s">
        <v>1405</v>
      </c>
      <c r="M6" s="345">
        <f ca="1">INDIRECT("'数据-取费表'!z"&amp;$G$1)</f>
        <v>0</v>
      </c>
    </row>
    <row r="7" spans="1:37" ht="18" customHeight="1">
      <c r="A7" s="1289"/>
      <c r="B7" s="3265"/>
      <c r="C7" s="1291"/>
      <c r="D7" s="349"/>
      <c r="E7" s="2943" t="s">
        <v>1406</v>
      </c>
      <c r="F7" s="345">
        <f ca="1">IF(INDIRECT("'数据-取费表'!ah"&amp;$G$1)="",INDIRECT("'数据-取费表'!k"&amp;$G$1),INDIRECT("'数据-取费表'!ah"&amp;$G$1))</f>
        <v>488</v>
      </c>
      <c r="G7" s="1844"/>
      <c r="H7" s="346"/>
      <c r="I7" s="3265"/>
      <c r="J7" s="348"/>
      <c r="K7" s="349"/>
      <c r="L7" s="344" t="s">
        <v>1406</v>
      </c>
      <c r="M7" s="345">
        <f ca="1">F7</f>
        <v>488</v>
      </c>
    </row>
    <row r="8" spans="1:37" ht="18" customHeight="1">
      <c r="A8" s="346"/>
      <c r="B8" s="3265"/>
      <c r="C8" s="348"/>
      <c r="D8" s="349"/>
      <c r="E8" s="344" t="s">
        <v>1407</v>
      </c>
      <c r="F8" s="345">
        <f ca="1">INDIRECT("'数据-取费表'!ai"&amp;$G$1)</f>
        <v>12</v>
      </c>
      <c r="G8" s="1844"/>
      <c r="H8" s="346"/>
      <c r="I8" s="3265"/>
      <c r="J8" s="348"/>
      <c r="K8" s="349"/>
      <c r="L8" s="344" t="s">
        <v>1407</v>
      </c>
      <c r="M8" s="345">
        <f ca="1">INDIRECT("'数据-取费表'!ai"&amp;$G$1)</f>
        <v>12</v>
      </c>
    </row>
    <row r="9" spans="1:37" ht="18" customHeight="1">
      <c r="A9" s="346"/>
      <c r="B9" s="3266"/>
      <c r="C9" s="348"/>
      <c r="D9" s="349"/>
      <c r="E9" s="344" t="s">
        <v>1408</v>
      </c>
      <c r="F9" s="354">
        <f ca="1">INDIRECT("'数据-取费表'!w"&amp;$G$1)</f>
        <v>0.1</v>
      </c>
      <c r="G9" s="1844"/>
      <c r="H9" s="346"/>
      <c r="I9" s="326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3021</v>
      </c>
      <c r="E10" s="355" t="s">
        <v>1410</v>
      </c>
      <c r="F10" s="1360" t="s">
        <v>3205</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7020</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5344</v>
      </c>
      <c r="D14" s="2937" t="s">
        <v>1418</v>
      </c>
      <c r="E14" s="2935"/>
      <c r="F14" s="361"/>
      <c r="G14" s="1844"/>
      <c r="H14" s="1195" t="s">
        <v>1035</v>
      </c>
      <c r="I14" s="344" t="s">
        <v>1419</v>
      </c>
      <c r="J14" s="24">
        <f ca="1">C29</f>
        <v>7163</v>
      </c>
      <c r="K14" s="2942"/>
      <c r="L14" s="974"/>
      <c r="M14" s="975"/>
    </row>
    <row r="15" spans="1:37" s="1851" customFormat="1" ht="18" customHeight="1" thickBot="1">
      <c r="A15" s="1195" t="s">
        <v>1036</v>
      </c>
      <c r="B15" s="344" t="s">
        <v>1420</v>
      </c>
      <c r="C15" s="24">
        <f ca="1">ROUND(C14*F15,0)</f>
        <v>267</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133</v>
      </c>
      <c r="K16" s="1331" t="s">
        <v>1425</v>
      </c>
      <c r="L16" s="2938"/>
      <c r="M16" s="1288"/>
    </row>
    <row r="17" spans="1:37" s="1851" customFormat="1" ht="18" customHeight="1">
      <c r="A17" s="1195" t="s">
        <v>1390</v>
      </c>
      <c r="B17" s="344" t="s">
        <v>1426</v>
      </c>
      <c r="C17" s="24">
        <f ca="1">ROUND(F17*(F43+INDIRECT("'数据-取费表'!S"&amp;$G$1))/10000,0)</f>
        <v>356</v>
      </c>
      <c r="D17" s="344" t="s">
        <v>1427</v>
      </c>
      <c r="E17" s="344" t="s">
        <v>1428</v>
      </c>
      <c r="F17" s="26">
        <f>'数据-取费表'!B35</f>
        <v>200</v>
      </c>
      <c r="G17" s="1847"/>
      <c r="H17" s="1195" t="s">
        <v>1035</v>
      </c>
      <c r="I17" s="344" t="s">
        <v>1429</v>
      </c>
      <c r="J17" s="24">
        <f ca="1">ROUND(IF(项目基本情况!B11="自然人",J5*M17,J18+J19+J20),1)</f>
        <v>61.2</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80</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6047</v>
      </c>
      <c r="D19" s="140" t="s">
        <v>1436</v>
      </c>
      <c r="E19" s="2941"/>
      <c r="F19" s="26"/>
      <c r="G19" s="1844"/>
      <c r="H19" s="1195" t="s">
        <v>1036</v>
      </c>
      <c r="I19" s="344" t="s">
        <v>1437</v>
      </c>
      <c r="J19" s="24">
        <f ca="1">IF(K19="按租金收入计税",ROUND(J5*M19,2),ROUND(C29*M19*0.7,2))</f>
        <v>60.17</v>
      </c>
      <c r="K19" s="1821" t="s">
        <v>1438</v>
      </c>
      <c r="L19" s="344" t="s">
        <v>1422</v>
      </c>
      <c r="M19" s="364">
        <f>IF(K19="按租金收入计税",'数据-取费表'!B51,'数据-取费表'!B50)</f>
        <v>1.2E-2</v>
      </c>
    </row>
    <row r="20" spans="1:37" s="1851" customFormat="1" ht="18" customHeight="1">
      <c r="A20" s="1195" t="s">
        <v>1039</v>
      </c>
      <c r="B20" s="344" t="s">
        <v>1439</v>
      </c>
      <c r="C20" s="24">
        <f ca="1">ROUND(C19*F20,0)</f>
        <v>60</v>
      </c>
      <c r="D20" s="366" t="s">
        <v>1440</v>
      </c>
      <c r="E20" s="344" t="s">
        <v>1422</v>
      </c>
      <c r="F20" s="364">
        <f>'数据-取费表'!B37</f>
        <v>0.01</v>
      </c>
      <c r="G20" s="1847"/>
      <c r="H20" s="1195" t="s">
        <v>1389</v>
      </c>
      <c r="I20" s="161" t="s">
        <v>1441</v>
      </c>
      <c r="J20" s="25">
        <f ca="1">ROUND(M20*M21/10000,2)</f>
        <v>1.06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0.01</v>
      </c>
      <c r="G21" s="1847"/>
      <c r="H21" s="369"/>
      <c r="I21" s="353"/>
      <c r="J21" s="29"/>
      <c r="K21" s="370"/>
      <c r="L21" s="344" t="s">
        <v>1447</v>
      </c>
      <c r="M21" s="345">
        <f ca="1">INDIRECT("'数据-取费表'!r"&amp;$G$1)</f>
        <v>3542.96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71.599999999999994</v>
      </c>
      <c r="K22" s="2936" t="s">
        <v>1450</v>
      </c>
      <c r="L22" s="344" t="s">
        <v>1422</v>
      </c>
      <c r="M22" s="371">
        <f ca="1">INDIRECT("'数据-取费表'!Ak"&amp;$G$1)</f>
        <v>0.01</v>
      </c>
    </row>
    <row r="23" spans="1:37" s="1851" customFormat="1" ht="18" customHeight="1">
      <c r="A23" s="1195" t="s">
        <v>1034</v>
      </c>
      <c r="B23" s="344" t="s">
        <v>1451</v>
      </c>
      <c r="C23" s="24">
        <f ca="1">IF('数据-取费表'!B22&lt;=1,ROUND(C19*F24*F23/2,0)+ROUND(C20*F24*F23/2,0),ROUND(C19*(POWER((1+F24),F23/2)-1),0)+ROUND(C20*(POWER((1+F24),F23/2)-1),0))</f>
        <v>290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-133</v>
      </c>
      <c r="K25" s="1339" t="s">
        <v>1464</v>
      </c>
      <c r="L25" s="1340"/>
      <c r="M25" s="1341"/>
    </row>
    <row r="26" spans="1:37">
      <c r="A26" s="1195" t="s">
        <v>1034</v>
      </c>
      <c r="B26" s="344" t="s">
        <v>1465</v>
      </c>
      <c r="C26" s="24">
        <f ca="1">ROUND((C19+C20)*F26,0)</f>
        <v>305</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7.0000000000000007E-2</v>
      </c>
    </row>
    <row r="27" spans="1:37" ht="18" customHeight="1">
      <c r="A27" s="1195" t="s">
        <v>1036</v>
      </c>
      <c r="B27" s="344" t="s">
        <v>1471</v>
      </c>
      <c r="C27" s="24">
        <f ca="1">ROUND(F21*F26,4)</f>
        <v>5.0000000000000001E-4</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7163</v>
      </c>
      <c r="D29" s="1336"/>
      <c r="E29" s="1334"/>
      <c r="F29" s="1337"/>
      <c r="G29" s="1847"/>
      <c r="H29" s="377" t="s">
        <v>1033</v>
      </c>
      <c r="I29" s="378" t="s">
        <v>1479</v>
      </c>
      <c r="J29" s="379">
        <f ca="1">ROUND(J26/(1+F40)^F41,0)</f>
        <v>0</v>
      </c>
      <c r="K29" s="380" t="s">
        <v>1480</v>
      </c>
      <c r="L29" s="381"/>
      <c r="M29" s="382">
        <f ca="1">INDIRECT("'数据-取费表'!k"&amp;$G$1)</f>
        <v>17080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161</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74.2</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22.51</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50.64</v>
      </c>
      <c r="D33" s="1821" t="s">
        <v>3305</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1.06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3542.96</v>
      </c>
      <c r="G35" s="1844"/>
      <c r="H35" s="741"/>
      <c r="I35" s="1853"/>
      <c r="J35" s="1854"/>
      <c r="K35" s="1855"/>
      <c r="L35" s="1852"/>
      <c r="M35" s="1852"/>
    </row>
    <row r="36" spans="1:18" ht="18" customHeight="1">
      <c r="A36" s="1346" t="s">
        <v>1039</v>
      </c>
      <c r="B36" s="344" t="s">
        <v>1449</v>
      </c>
      <c r="C36" s="24">
        <f ca="1">ROUND(C29*F36,1)</f>
        <v>71.599999999999994</v>
      </c>
      <c r="D36" s="2936" t="s">
        <v>1482</v>
      </c>
      <c r="E36" s="344" t="s">
        <v>1422</v>
      </c>
      <c r="F36" s="371">
        <f ca="1">INDIRECT("'数据-取费表'!Ak"&amp;$G$1)</f>
        <v>0.01</v>
      </c>
      <c r="G36" s="1844"/>
      <c r="H36" s="1852"/>
      <c r="I36" s="1853"/>
      <c r="J36" s="1854"/>
      <c r="K36" s="747"/>
      <c r="L36" s="1852"/>
      <c r="M36" s="1852"/>
    </row>
    <row r="37" spans="1:18" ht="18" customHeight="1">
      <c r="A37" s="1195" t="s">
        <v>1075</v>
      </c>
      <c r="B37" s="344" t="s">
        <v>1453</v>
      </c>
      <c r="C37" s="24">
        <f ca="1">ROUND(C13*F37,1)</f>
        <v>10.5</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4.2</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261</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4668</v>
      </c>
      <c r="D40" s="367" t="s">
        <v>1469</v>
      </c>
      <c r="E40" s="344" t="s">
        <v>1470</v>
      </c>
      <c r="F40" s="354">
        <f ca="1">INDIRECT("'数据-取费表'!I"&amp;$G$1)</f>
        <v>7.0000000000000007E-2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0.02</v>
      </c>
      <c r="G42" s="1844"/>
      <c r="H42" s="728"/>
      <c r="I42" s="1853"/>
      <c r="J42" s="1854"/>
      <c r="K42" s="747"/>
      <c r="L42" s="728"/>
      <c r="M42" s="728"/>
    </row>
    <row r="43" spans="1:18" ht="18" customHeight="1" thickBot="1">
      <c r="A43" s="377" t="s">
        <v>1033</v>
      </c>
      <c r="B43" s="378" t="s">
        <v>1487</v>
      </c>
      <c r="C43" s="379">
        <f ca="1">ROUND(C40*10000/F43,0)</f>
        <v>2733</v>
      </c>
      <c r="D43" s="380" t="s">
        <v>1488</v>
      </c>
      <c r="E43" s="381" t="s">
        <v>1489</v>
      </c>
      <c r="F43" s="382">
        <f ca="1">INDIRECT("'数据-取费表'!k"&amp;$G$1)</f>
        <v>17080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-14045</v>
      </c>
      <c r="D46" s="1865" t="str">
        <f>C2</f>
        <v>万元</v>
      </c>
      <c r="E46" s="1859"/>
      <c r="F46" s="1859"/>
      <c r="I46" s="1866" t="s">
        <v>1521</v>
      </c>
      <c r="J46" s="1867"/>
      <c r="K46" s="1868"/>
      <c r="L46" s="1869">
        <f ca="1">IF(M47="住宅",0,IF(L48&gt;J51,L60,J60))</f>
        <v>26</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3203</v>
      </c>
      <c r="K47" s="1875" t="s">
        <v>1527</v>
      </c>
      <c r="L47" s="1876">
        <f ca="1">INDIRECT("'数据-取费表'!d"&amp;$G$1)</f>
        <v>50</v>
      </c>
      <c r="M47" s="1831" t="str">
        <f>IF(ISNUMBER(FIND("住宅",C1)),"住宅","非住宅")</f>
        <v>非住宅</v>
      </c>
      <c r="O47" s="1877" t="s">
        <v>1040</v>
      </c>
      <c r="P47" s="1878" t="s">
        <v>1528</v>
      </c>
      <c r="Q47" s="1879">
        <f ca="1">C40+J29</f>
        <v>4668</v>
      </c>
      <c r="R47" s="1879" t="s">
        <v>1529</v>
      </c>
    </row>
    <row r="48" spans="1:18" s="1835" customFormat="1" ht="28.5" thickBot="1">
      <c r="A48" s="1354" t="s">
        <v>1135</v>
      </c>
      <c r="B48" s="342" t="s">
        <v>1401</v>
      </c>
      <c r="C48" s="2940">
        <f ca="1">C49+C53+C55</f>
        <v>0</v>
      </c>
      <c r="D48" s="1356"/>
      <c r="E48" s="1357"/>
      <c r="F48" s="1175"/>
      <c r="G48" s="788"/>
      <c r="H48" s="789"/>
      <c r="I48" s="1880" t="s">
        <v>1530</v>
      </c>
      <c r="J48" s="1881" t="s">
        <v>3204</v>
      </c>
      <c r="K48" s="1882" t="s">
        <v>1531</v>
      </c>
      <c r="L48" s="1883">
        <f ca="1">INDIRECT("'数据-取费表'!f"&amp;$G$1)</f>
        <v>46.94</v>
      </c>
      <c r="O48" s="1877" t="s">
        <v>1041</v>
      </c>
      <c r="P48" s="1878" t="s">
        <v>1532</v>
      </c>
      <c r="Q48" s="1879">
        <f ca="1">J60</f>
        <v>26</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7163</v>
      </c>
      <c r="R49" s="1879" t="s">
        <v>1529</v>
      </c>
    </row>
    <row r="50" spans="1:18" s="1835" customFormat="1" ht="13.5" thickBot="1">
      <c r="A50" s="1189"/>
      <c r="B50" s="1192"/>
      <c r="C50" s="1362"/>
      <c r="D50" s="1166"/>
      <c r="E50" s="1271" t="s">
        <v>1406</v>
      </c>
      <c r="F50" s="1272">
        <f ca="1">F7</f>
        <v>488</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-6873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62" t="s">
        <v>1548</v>
      </c>
      <c r="L53" s="3263"/>
      <c r="O53" s="1877" t="s">
        <v>1046</v>
      </c>
      <c r="P53" s="1878" t="s">
        <v>1549</v>
      </c>
      <c r="Q53" s="1879">
        <f ca="1">Q47+Q48</f>
        <v>4694</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7020</v>
      </c>
      <c r="D56" s="1907"/>
      <c r="E56" s="1908"/>
      <c r="F56" s="1900"/>
      <c r="I56" s="1909" t="s">
        <v>1554</v>
      </c>
      <c r="J56" s="1910" t="s">
        <v>3038</v>
      </c>
      <c r="K56" s="1880" t="s">
        <v>1555</v>
      </c>
      <c r="L56" s="1883" t="str">
        <f ca="1">IF(L48&lt;J51,"——",L48-J53)</f>
        <v>——</v>
      </c>
      <c r="O56" s="1877" t="s">
        <v>1040</v>
      </c>
      <c r="P56" s="1878" t="s">
        <v>1528</v>
      </c>
      <c r="Q56" s="1879">
        <f ca="1">C40+J29</f>
        <v>4668</v>
      </c>
      <c r="R56" s="1879" t="s">
        <v>1529</v>
      </c>
    </row>
    <row r="57" spans="1:18" s="1835" customFormat="1" ht="24.75" thickBot="1">
      <c r="A57" s="1911"/>
      <c r="B57" s="1163" t="s">
        <v>1478</v>
      </c>
      <c r="C57" s="279">
        <f ca="1">C29</f>
        <v>7163</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685</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602.79999999999995</v>
      </c>
      <c r="D59" s="1176" t="s">
        <v>1430</v>
      </c>
      <c r="E59" s="1177" t="s">
        <v>1431</v>
      </c>
      <c r="F59" s="365" t="str">
        <f ca="1">IF(项目基本情况!B11="企业","",IF(INDIRECT("'数据-取费表'!c"&amp;$G$1)="住宅",5%,IF(F49*F50*F51/12/(1+'数据-取费表'!C42)&gt;20000,12%,7%)))</f>
        <v/>
      </c>
      <c r="I59" s="1915" t="s">
        <v>1563</v>
      </c>
      <c r="J59" s="1916">
        <f ca="1">IF(OR(M47="住宅",J51&lt;L48,J56="是"),"——",ROUND(C29*J58,0))</f>
        <v>2865</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26</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601.69000000000005</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1.06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4668</v>
      </c>
      <c r="R62" s="1879" t="s">
        <v>1047</v>
      </c>
    </row>
    <row r="63" spans="1:18" s="1835" customFormat="1" ht="13.5" thickBot="1">
      <c r="A63" s="369"/>
      <c r="B63" s="1169"/>
      <c r="C63" s="29"/>
      <c r="D63" s="1179"/>
      <c r="E63" s="1163" t="s">
        <v>1499</v>
      </c>
      <c r="F63" s="345">
        <f t="shared" ca="1" si="0"/>
        <v>3542.96</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71.599999999999994</v>
      </c>
      <c r="D64" s="1177" t="s">
        <v>1502</v>
      </c>
      <c r="E64" s="1163" t="s">
        <v>1494</v>
      </c>
      <c r="F64" s="371">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10.5</v>
      </c>
      <c r="D65" s="1177" t="s">
        <v>1454</v>
      </c>
      <c r="E65" s="1163" t="s">
        <v>1455</v>
      </c>
      <c r="F65" s="373">
        <f t="shared" ca="1" si="0"/>
        <v>1.5E-3</v>
      </c>
      <c r="I65" s="1922" t="s">
        <v>1579</v>
      </c>
      <c r="J65" s="1923">
        <v>40</v>
      </c>
      <c r="K65" s="1923">
        <v>30</v>
      </c>
      <c r="L65" s="1923">
        <v>50</v>
      </c>
      <c r="M65" s="1925">
        <v>0.02</v>
      </c>
      <c r="O65" s="1877" t="s">
        <v>1040</v>
      </c>
      <c r="P65" s="1878" t="s">
        <v>1528</v>
      </c>
      <c r="Q65" s="1879">
        <f ca="1">C40+J29</f>
        <v>4668</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-685</v>
      </c>
      <c r="D67" s="1176" t="s">
        <v>1464</v>
      </c>
      <c r="E67" s="1181"/>
      <c r="F67" s="1182"/>
      <c r="O67" s="1887" t="s">
        <v>1042</v>
      </c>
      <c r="P67" s="1878" t="s">
        <v>1562</v>
      </c>
      <c r="Q67" s="1926">
        <f ca="1">L51</f>
        <v>-6873</v>
      </c>
      <c r="R67" s="1879" t="s">
        <v>1582</v>
      </c>
    </row>
    <row r="68" spans="1:18" s="1835" customFormat="1" ht="16.5" thickBot="1">
      <c r="A68" s="1160" t="s">
        <v>1032</v>
      </c>
      <c r="B68" s="1161" t="s">
        <v>1485</v>
      </c>
      <c r="C68" s="343">
        <f ca="1">ROUND(C67*(1-((1+F70)/(1+F68))^F69)/(F68-F70),0)</f>
        <v>-9377</v>
      </c>
      <c r="D68" s="1178" t="s">
        <v>1469</v>
      </c>
      <c r="E68" s="1163" t="s">
        <v>1470</v>
      </c>
      <c r="F68" s="354">
        <f ca="1">F40</f>
        <v>7.0000000000000007E-2</v>
      </c>
      <c r="O68" s="1887" t="s">
        <v>1043</v>
      </c>
      <c r="P68" s="1927" t="s">
        <v>1583</v>
      </c>
      <c r="Q68" s="1879">
        <f ca="1">ROUND(Q69-Q70*Q71,0)</f>
        <v>-441</v>
      </c>
      <c r="R68" s="1879" t="s">
        <v>1051</v>
      </c>
    </row>
    <row r="69" spans="1:18" s="1835" customFormat="1" ht="13.5" thickBot="1">
      <c r="A69" s="1164"/>
      <c r="B69" s="1165"/>
      <c r="C69" s="348"/>
      <c r="D69" s="1183" t="s">
        <v>1473</v>
      </c>
      <c r="E69" s="1163" t="s">
        <v>1474</v>
      </c>
      <c r="F69" s="376">
        <f ca="1">F41</f>
        <v>46.94</v>
      </c>
      <c r="O69" s="1887" t="s">
        <v>1048</v>
      </c>
      <c r="P69" s="1927" t="s">
        <v>1584</v>
      </c>
      <c r="Q69" s="1879">
        <f ca="1">C39</f>
        <v>261</v>
      </c>
      <c r="R69" s="1879" t="s">
        <v>1529</v>
      </c>
    </row>
    <row r="70" spans="1:18" s="1835" customFormat="1" ht="13.5" thickBot="1">
      <c r="A70" s="1167"/>
      <c r="B70" s="1168"/>
      <c r="C70" s="352"/>
      <c r="D70" s="1179"/>
      <c r="E70" s="1163" t="s">
        <v>1477</v>
      </c>
      <c r="F70" s="1269"/>
      <c r="O70" s="1887" t="s">
        <v>1049</v>
      </c>
      <c r="P70" s="1927" t="s">
        <v>1585</v>
      </c>
      <c r="Q70" s="1879">
        <f ca="1">C13</f>
        <v>7020</v>
      </c>
      <c r="R70" s="1879" t="s">
        <v>1529</v>
      </c>
    </row>
    <row r="71" spans="1:18" s="1835" customFormat="1" ht="13.5" thickBot="1">
      <c r="A71" s="1184" t="s">
        <v>1033</v>
      </c>
      <c r="B71" s="1185" t="s">
        <v>1487</v>
      </c>
      <c r="C71" s="379">
        <f ca="1">ROUND(C68*10000/F71,0)</f>
        <v>-5490</v>
      </c>
      <c r="D71" s="1186" t="s">
        <v>1488</v>
      </c>
      <c r="E71" s="1187" t="s">
        <v>1489</v>
      </c>
      <c r="F71" s="382">
        <f ca="1">F43</f>
        <v>17080</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702</v>
      </c>
      <c r="D75" s="1835"/>
      <c r="E75" s="1835"/>
      <c r="F75" s="1835"/>
      <c r="K75" s="1861"/>
      <c r="L75" s="1835"/>
      <c r="O75" s="1877" t="s">
        <v>1046</v>
      </c>
      <c r="P75" s="1878" t="s">
        <v>1549</v>
      </c>
      <c r="Q75" s="1879">
        <f ca="1">Q65+Q66</f>
        <v>4668</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-1.69</v>
      </c>
    </row>
    <row r="80" spans="1:18">
      <c r="B80" s="383" t="s">
        <v>1511</v>
      </c>
      <c r="C80" s="315">
        <f ca="1">ROUND(C75/C39,3)</f>
        <v>2.69</v>
      </c>
    </row>
    <row r="81" spans="2:3">
      <c r="B81" s="311" t="s">
        <v>1512</v>
      </c>
      <c r="C81" s="279"/>
    </row>
    <row r="82" spans="2:3">
      <c r="B82" s="314" t="s">
        <v>1513</v>
      </c>
      <c r="C82" s="316">
        <f ca="1">1-C83</f>
        <v>-0.504</v>
      </c>
    </row>
    <row r="83" spans="2:3">
      <c r="B83" s="314" t="s">
        <v>1514</v>
      </c>
      <c r="C83" s="315">
        <f ca="1">ROUND(C13/C40,3)</f>
        <v>1.504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AA1" workbookViewId="0">
      <selection activeCell="AK30" sqref="AK30"/>
    </sheetView>
  </sheetViews>
  <sheetFormatPr defaultRowHeight="13.5"/>
  <sheetData>
    <row r="1" spans="1:44" s="1628" customFormat="1">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row>
    <row r="2" spans="1:44" s="2959" customFormat="1" ht="12.75">
      <c r="A2" s="2959" t="s">
        <v>3145</v>
      </c>
      <c r="B2" s="2959" t="s">
        <v>3031</v>
      </c>
      <c r="C2" s="2959" t="s">
        <v>3122</v>
      </c>
      <c r="D2" s="2959" t="s">
        <v>3123</v>
      </c>
      <c r="E2" s="2959" t="s">
        <v>1331</v>
      </c>
      <c r="F2" s="2959" t="s">
        <v>3124</v>
      </c>
      <c r="G2" s="2959" t="s">
        <v>3125</v>
      </c>
      <c r="H2" s="2959" t="s">
        <v>3146</v>
      </c>
      <c r="I2" s="2959" t="s">
        <v>3147</v>
      </c>
      <c r="J2" s="2959">
        <v>27295.08</v>
      </c>
      <c r="K2" s="2959">
        <v>160000</v>
      </c>
      <c r="L2" s="2959">
        <v>5.8</v>
      </c>
      <c r="M2" s="2959" t="s">
        <v>1331</v>
      </c>
      <c r="N2" s="2959" t="s">
        <v>1331</v>
      </c>
      <c r="O2" s="2959" t="s">
        <v>1331</v>
      </c>
      <c r="P2" s="2959" t="s">
        <v>1331</v>
      </c>
      <c r="Q2" s="2959" t="s">
        <v>1331</v>
      </c>
      <c r="R2" s="2959" t="s">
        <v>1331</v>
      </c>
      <c r="S2" s="2959" t="s">
        <v>1331</v>
      </c>
      <c r="T2" s="2959" t="s">
        <v>3130</v>
      </c>
      <c r="U2" s="2959" t="s">
        <v>3130</v>
      </c>
      <c r="V2" s="2959" t="s">
        <v>1331</v>
      </c>
      <c r="W2" s="2959" t="s">
        <v>3148</v>
      </c>
      <c r="X2" s="2959" t="s">
        <v>3140</v>
      </c>
      <c r="Y2" s="2959" t="s">
        <v>3141</v>
      </c>
      <c r="Z2" s="2959" t="s">
        <v>3142</v>
      </c>
      <c r="AA2" s="2959" t="s">
        <v>3142</v>
      </c>
      <c r="AB2" s="2959" t="s">
        <v>3146</v>
      </c>
      <c r="AC2" s="2959" t="s">
        <v>3135</v>
      </c>
      <c r="AD2" s="2959" t="s">
        <v>3149</v>
      </c>
      <c r="AE2" s="2959">
        <v>130000</v>
      </c>
      <c r="AF2" s="2959">
        <v>432000</v>
      </c>
      <c r="AG2" s="2959">
        <v>434000</v>
      </c>
      <c r="AH2" s="2959">
        <v>10551.35</v>
      </c>
      <c r="AI2" s="2959">
        <v>10600.2</v>
      </c>
      <c r="AJ2" s="2959">
        <v>27000</v>
      </c>
      <c r="AK2" s="2959">
        <v>27125</v>
      </c>
      <c r="AL2" s="2959" t="s">
        <v>1331</v>
      </c>
      <c r="AM2" s="2959" t="s">
        <v>1331</v>
      </c>
      <c r="AN2" s="2959">
        <v>0.46</v>
      </c>
      <c r="AO2" s="2959" t="s">
        <v>3144</v>
      </c>
      <c r="AP2" s="2959" t="s">
        <v>1331</v>
      </c>
      <c r="AQ2" s="2959" t="s">
        <v>1331</v>
      </c>
      <c r="AR2" s="2959" t="s">
        <v>1331</v>
      </c>
    </row>
    <row r="3" spans="1:44" s="2961" customFormat="1" ht="12.75">
      <c r="A3" s="2961" t="s">
        <v>3150</v>
      </c>
      <c r="B3" s="2961" t="s">
        <v>3031</v>
      </c>
      <c r="C3" s="2961" t="s">
        <v>3122</v>
      </c>
      <c r="D3" s="2961" t="s">
        <v>3123</v>
      </c>
      <c r="E3" s="2961" t="s">
        <v>1331</v>
      </c>
      <c r="F3" s="2961" t="s">
        <v>3151</v>
      </c>
      <c r="G3" s="2961" t="s">
        <v>3125</v>
      </c>
      <c r="H3" s="2961" t="s">
        <v>3152</v>
      </c>
      <c r="I3" s="2961" t="s">
        <v>3127</v>
      </c>
      <c r="J3" s="2961">
        <v>14788.3</v>
      </c>
      <c r="K3" s="2961">
        <v>59153</v>
      </c>
      <c r="L3" s="2961">
        <v>4</v>
      </c>
      <c r="M3" s="2961" t="s">
        <v>1331</v>
      </c>
      <c r="N3" s="2961" t="s">
        <v>1331</v>
      </c>
      <c r="O3" s="2961" t="s">
        <v>1331</v>
      </c>
      <c r="P3" s="2961" t="s">
        <v>1331</v>
      </c>
      <c r="Q3" s="2961" t="s">
        <v>1331</v>
      </c>
      <c r="R3" s="2961" t="s">
        <v>1331</v>
      </c>
      <c r="S3" s="2961" t="s">
        <v>1331</v>
      </c>
      <c r="T3" s="2961" t="s">
        <v>1331</v>
      </c>
      <c r="U3" s="2961" t="s">
        <v>1331</v>
      </c>
      <c r="V3" s="2961" t="s">
        <v>1331</v>
      </c>
      <c r="W3" s="2961" t="s">
        <v>3148</v>
      </c>
      <c r="X3" s="2961" t="s">
        <v>3153</v>
      </c>
      <c r="Y3" s="2961" t="s">
        <v>3154</v>
      </c>
      <c r="Z3" s="2961" t="s">
        <v>3155</v>
      </c>
      <c r="AA3" s="2961" t="s">
        <v>3155</v>
      </c>
      <c r="AB3" s="2961" t="s">
        <v>3152</v>
      </c>
      <c r="AC3" s="2961" t="s">
        <v>3135</v>
      </c>
      <c r="AD3" s="2961" t="s">
        <v>3156</v>
      </c>
      <c r="AE3" s="2961">
        <v>21000</v>
      </c>
      <c r="AF3" s="2961">
        <v>71500</v>
      </c>
      <c r="AG3" s="2961">
        <v>176000</v>
      </c>
      <c r="AH3" s="2961">
        <v>3223.27</v>
      </c>
      <c r="AI3" s="2961">
        <v>7934.2</v>
      </c>
      <c r="AJ3" s="2961">
        <v>12087.29</v>
      </c>
      <c r="AK3" s="2961">
        <v>29753.34</v>
      </c>
      <c r="AL3" s="2961" t="s">
        <v>1331</v>
      </c>
      <c r="AM3" s="2961" t="s">
        <v>1331</v>
      </c>
      <c r="AN3" s="2961">
        <v>146.15</v>
      </c>
      <c r="AO3" s="2961" t="s">
        <v>3137</v>
      </c>
      <c r="AP3" s="2961" t="s">
        <v>1331</v>
      </c>
      <c r="AQ3" s="2961" t="s">
        <v>1331</v>
      </c>
      <c r="AR3" s="2961" t="s">
        <v>1331</v>
      </c>
    </row>
    <row r="4" spans="1:44" s="2961" customFormat="1" ht="12.75">
      <c r="A4" s="2961" t="s">
        <v>3157</v>
      </c>
      <c r="B4" s="2961" t="s">
        <v>3031</v>
      </c>
      <c r="C4" s="2961" t="s">
        <v>3122</v>
      </c>
      <c r="D4" s="2961" t="s">
        <v>3123</v>
      </c>
      <c r="E4" s="2961" t="s">
        <v>1331</v>
      </c>
      <c r="F4" s="2961" t="s">
        <v>3151</v>
      </c>
      <c r="G4" s="2961" t="s">
        <v>3125</v>
      </c>
      <c r="H4" s="2961" t="s">
        <v>3158</v>
      </c>
      <c r="I4" s="2961" t="s">
        <v>3127</v>
      </c>
      <c r="J4" s="2961">
        <v>29500</v>
      </c>
      <c r="K4" s="2961">
        <v>118000</v>
      </c>
      <c r="L4" s="2961">
        <v>4</v>
      </c>
      <c r="M4" s="2961" t="s">
        <v>1331</v>
      </c>
      <c r="N4" s="2961" t="s">
        <v>1331</v>
      </c>
      <c r="O4" s="2961" t="s">
        <v>1331</v>
      </c>
      <c r="P4" s="2961" t="s">
        <v>1331</v>
      </c>
      <c r="Q4" s="2961" t="s">
        <v>1331</v>
      </c>
      <c r="R4" s="2961" t="s">
        <v>1331</v>
      </c>
      <c r="S4" s="2961" t="s">
        <v>1331</v>
      </c>
      <c r="T4" s="2961" t="s">
        <v>1331</v>
      </c>
      <c r="U4" s="2961" t="s">
        <v>1331</v>
      </c>
      <c r="V4" s="2961" t="s">
        <v>1331</v>
      </c>
      <c r="W4" s="2961" t="s">
        <v>3148</v>
      </c>
      <c r="X4" s="2961" t="s">
        <v>3153</v>
      </c>
      <c r="Y4" s="2961" t="s">
        <v>3154</v>
      </c>
      <c r="Z4" s="2961" t="s">
        <v>3155</v>
      </c>
      <c r="AA4" s="2961" t="s">
        <v>3155</v>
      </c>
      <c r="AB4" s="2961" t="s">
        <v>3158</v>
      </c>
      <c r="AC4" s="2961" t="s">
        <v>3135</v>
      </c>
      <c r="AD4" s="2961" t="s">
        <v>3156</v>
      </c>
      <c r="AE4" s="2961">
        <v>42000</v>
      </c>
      <c r="AF4" s="2961">
        <v>142000</v>
      </c>
      <c r="AG4" s="2961">
        <v>342000</v>
      </c>
      <c r="AH4" s="2961">
        <v>3209.04</v>
      </c>
      <c r="AI4" s="2961">
        <v>7728.81</v>
      </c>
      <c r="AJ4" s="2961">
        <v>12033.89</v>
      </c>
      <c r="AK4" s="2961">
        <v>28983.040000000001</v>
      </c>
      <c r="AL4" s="2961" t="s">
        <v>1331</v>
      </c>
      <c r="AM4" s="2961" t="s">
        <v>1331</v>
      </c>
      <c r="AN4" s="2961">
        <v>140.85</v>
      </c>
      <c r="AO4" s="2961" t="s">
        <v>3137</v>
      </c>
      <c r="AP4" s="2961" t="s">
        <v>1331</v>
      </c>
      <c r="AQ4" s="2961" t="s">
        <v>1331</v>
      </c>
      <c r="AR4" s="2961" t="s">
        <v>1331</v>
      </c>
    </row>
    <row r="5" spans="1:44" s="2959" customFormat="1" ht="12.75">
      <c r="A5" s="2958" t="s">
        <v>3121</v>
      </c>
      <c r="B5" s="2959" t="s">
        <v>3031</v>
      </c>
      <c r="C5" s="2959" t="s">
        <v>3122</v>
      </c>
      <c r="D5" s="2959" t="s">
        <v>3123</v>
      </c>
      <c r="E5" s="2959" t="s">
        <v>1331</v>
      </c>
      <c r="F5" s="2959" t="s">
        <v>3124</v>
      </c>
      <c r="G5" s="2959" t="s">
        <v>3125</v>
      </c>
      <c r="H5" s="2959" t="s">
        <v>3126</v>
      </c>
      <c r="I5" s="2959" t="s">
        <v>3127</v>
      </c>
      <c r="J5" s="2959">
        <v>14089.17</v>
      </c>
      <c r="K5" s="2959">
        <v>105000</v>
      </c>
      <c r="L5" s="2959">
        <v>7.4525300000000003</v>
      </c>
      <c r="M5" s="2959" t="s">
        <v>1331</v>
      </c>
      <c r="N5" s="2959" t="s">
        <v>3128</v>
      </c>
      <c r="O5" s="2959" t="s">
        <v>3129</v>
      </c>
      <c r="P5" s="2959" t="s">
        <v>1331</v>
      </c>
      <c r="Q5" s="2959" t="s">
        <v>1331</v>
      </c>
      <c r="R5" s="2959" t="s">
        <v>1331</v>
      </c>
      <c r="S5" s="2959" t="s">
        <v>1331</v>
      </c>
      <c r="T5" s="2959" t="s">
        <v>3130</v>
      </c>
      <c r="U5" s="2959" t="s">
        <v>3130</v>
      </c>
      <c r="V5" s="2959" t="s">
        <v>1331</v>
      </c>
      <c r="W5" s="2959" t="s">
        <v>3131</v>
      </c>
      <c r="X5" s="2959" t="s">
        <v>3132</v>
      </c>
      <c r="Y5" s="2959" t="s">
        <v>3133</v>
      </c>
      <c r="Z5" s="2959" t="s">
        <v>3134</v>
      </c>
      <c r="AA5" s="2959" t="s">
        <v>3134</v>
      </c>
      <c r="AB5" s="2959" t="s">
        <v>3126</v>
      </c>
      <c r="AC5" s="2959" t="s">
        <v>3135</v>
      </c>
      <c r="AD5" s="2959" t="s">
        <v>3136</v>
      </c>
      <c r="AE5" s="2959">
        <v>76000</v>
      </c>
      <c r="AF5" s="2959">
        <v>252000</v>
      </c>
      <c r="AG5" s="2959">
        <v>355000</v>
      </c>
      <c r="AH5" s="2959">
        <v>11924.05</v>
      </c>
      <c r="AI5" s="2959">
        <v>16797.77</v>
      </c>
      <c r="AJ5" s="2959">
        <v>24000</v>
      </c>
      <c r="AK5" s="2959">
        <v>33809.51</v>
      </c>
      <c r="AL5" s="2959" t="s">
        <v>1331</v>
      </c>
      <c r="AM5" s="2959" t="s">
        <v>1331</v>
      </c>
      <c r="AN5" s="2959">
        <v>40.869999999999997</v>
      </c>
      <c r="AO5" s="2959" t="s">
        <v>3137</v>
      </c>
      <c r="AP5" s="2959" t="s">
        <v>1331</v>
      </c>
      <c r="AQ5" s="2959" t="s">
        <v>1331</v>
      </c>
      <c r="AR5" s="2959" t="s">
        <v>1331</v>
      </c>
    </row>
    <row r="6" spans="1:44" s="2960" customFormat="1">
      <c r="A6" s="2960" t="s">
        <v>3138</v>
      </c>
      <c r="B6" s="2960" t="s">
        <v>3031</v>
      </c>
      <c r="C6" s="2960" t="s">
        <v>3122</v>
      </c>
      <c r="D6" s="2960" t="s">
        <v>3123</v>
      </c>
      <c r="E6" s="2960" t="s">
        <v>1331</v>
      </c>
      <c r="F6" s="2960" t="s">
        <v>3124</v>
      </c>
      <c r="G6" s="2960" t="s">
        <v>3125</v>
      </c>
      <c r="H6" s="2960" t="s">
        <v>3139</v>
      </c>
      <c r="I6" s="2960" t="s">
        <v>3127</v>
      </c>
      <c r="J6" s="2960">
        <v>12629.88</v>
      </c>
      <c r="K6" s="2960">
        <v>80000</v>
      </c>
      <c r="L6" s="2960">
        <v>6.3</v>
      </c>
      <c r="M6" s="2960" t="s">
        <v>1331</v>
      </c>
      <c r="N6" s="2960" t="s">
        <v>1331</v>
      </c>
      <c r="O6" s="2960" t="s">
        <v>1331</v>
      </c>
      <c r="P6" s="2960" t="s">
        <v>1331</v>
      </c>
      <c r="Q6" s="2960" t="s">
        <v>1331</v>
      </c>
      <c r="R6" s="2960" t="s">
        <v>1331</v>
      </c>
      <c r="S6" s="2960" t="s">
        <v>1331</v>
      </c>
      <c r="T6" s="2960" t="s">
        <v>3130</v>
      </c>
      <c r="U6" s="2960" t="s">
        <v>3130</v>
      </c>
      <c r="V6" s="2960" t="s">
        <v>1331</v>
      </c>
      <c r="W6" s="2960" t="s">
        <v>1331</v>
      </c>
      <c r="X6" s="2960" t="s">
        <v>3140</v>
      </c>
      <c r="Y6" s="2960" t="s">
        <v>3141</v>
      </c>
      <c r="Z6" s="2960" t="s">
        <v>3142</v>
      </c>
      <c r="AA6" s="2960" t="s">
        <v>1331</v>
      </c>
      <c r="AB6" s="2960" t="s">
        <v>3139</v>
      </c>
      <c r="AC6" s="2960" t="s">
        <v>3143</v>
      </c>
      <c r="AD6" s="2960" t="s">
        <v>1331</v>
      </c>
      <c r="AE6" s="2960">
        <v>65000</v>
      </c>
      <c r="AF6" s="2960">
        <v>216000</v>
      </c>
      <c r="AG6" s="2960" t="s">
        <v>1331</v>
      </c>
      <c r="AH6" s="2960">
        <v>11401.53</v>
      </c>
      <c r="AI6" s="2960" t="s">
        <v>1331</v>
      </c>
      <c r="AJ6" s="2960">
        <v>27000</v>
      </c>
      <c r="AK6" s="2960" t="s">
        <v>1331</v>
      </c>
      <c r="AL6" s="2960" t="s">
        <v>1331</v>
      </c>
      <c r="AM6" s="2960" t="s">
        <v>1331</v>
      </c>
      <c r="AN6" s="2960" t="s">
        <v>1331</v>
      </c>
      <c r="AO6" s="2960" t="s">
        <v>3144</v>
      </c>
      <c r="AP6" s="2960" t="s">
        <v>1331</v>
      </c>
      <c r="AQ6" s="2960" t="s">
        <v>1331</v>
      </c>
      <c r="AR6" s="2960" t="s">
        <v>1331</v>
      </c>
    </row>
    <row r="7" spans="1:44" s="2959" customFormat="1" ht="12.75">
      <c r="A7" s="2959" t="s">
        <v>3145</v>
      </c>
      <c r="B7" s="2959" t="s">
        <v>3031</v>
      </c>
      <c r="C7" s="2959" t="s">
        <v>3122</v>
      </c>
      <c r="D7" s="2959" t="s">
        <v>3123</v>
      </c>
      <c r="E7" s="2959" t="s">
        <v>1331</v>
      </c>
      <c r="F7" s="2959" t="s">
        <v>3124</v>
      </c>
      <c r="G7" s="2959" t="s">
        <v>3125</v>
      </c>
      <c r="H7" s="2959" t="s">
        <v>3146</v>
      </c>
      <c r="I7" s="2959" t="s">
        <v>3147</v>
      </c>
      <c r="J7" s="2959">
        <v>27295.08</v>
      </c>
      <c r="K7" s="2959">
        <v>160000</v>
      </c>
      <c r="L7" s="2959">
        <v>5.8</v>
      </c>
      <c r="M7" s="2959" t="s">
        <v>1331</v>
      </c>
      <c r="N7" s="2959" t="s">
        <v>1331</v>
      </c>
      <c r="O7" s="2959" t="s">
        <v>1331</v>
      </c>
      <c r="P7" s="2959" t="s">
        <v>1331</v>
      </c>
      <c r="Q7" s="2959" t="s">
        <v>1331</v>
      </c>
      <c r="R7" s="2959" t="s">
        <v>1331</v>
      </c>
      <c r="S7" s="2959" t="s">
        <v>1331</v>
      </c>
      <c r="T7" s="2959" t="s">
        <v>3130</v>
      </c>
      <c r="U7" s="2959" t="s">
        <v>3130</v>
      </c>
      <c r="V7" s="2959" t="s">
        <v>1331</v>
      </c>
      <c r="W7" s="2959" t="s">
        <v>3148</v>
      </c>
      <c r="X7" s="2959" t="s">
        <v>3140</v>
      </c>
      <c r="Y7" s="2959" t="s">
        <v>3141</v>
      </c>
      <c r="Z7" s="2959" t="s">
        <v>3142</v>
      </c>
      <c r="AA7" s="2959" t="s">
        <v>3142</v>
      </c>
      <c r="AB7" s="2959" t="s">
        <v>3146</v>
      </c>
      <c r="AC7" s="2959" t="s">
        <v>3135</v>
      </c>
      <c r="AD7" s="2959" t="s">
        <v>3149</v>
      </c>
      <c r="AE7" s="2959">
        <v>130000</v>
      </c>
      <c r="AF7" s="2959">
        <v>432000</v>
      </c>
      <c r="AG7" s="2959">
        <v>434000</v>
      </c>
      <c r="AH7" s="2959">
        <v>10551.35</v>
      </c>
      <c r="AI7" s="2959">
        <v>10600.2</v>
      </c>
      <c r="AJ7" s="2959">
        <v>27000</v>
      </c>
      <c r="AK7" s="2959">
        <v>27125</v>
      </c>
      <c r="AL7" s="2959" t="s">
        <v>1331</v>
      </c>
      <c r="AM7" s="2959" t="s">
        <v>1331</v>
      </c>
      <c r="AN7" s="2959">
        <v>0.46</v>
      </c>
      <c r="AO7" s="2959" t="s">
        <v>3144</v>
      </c>
      <c r="AP7" s="2959" t="s">
        <v>1331</v>
      </c>
      <c r="AQ7" s="2959" t="s">
        <v>1331</v>
      </c>
      <c r="AR7" s="2959" t="s">
        <v>1331</v>
      </c>
    </row>
    <row r="8" spans="1:44" s="2959" customFormat="1" ht="12.75">
      <c r="A8" s="2959" t="s">
        <v>3150</v>
      </c>
      <c r="B8" s="2959" t="s">
        <v>3031</v>
      </c>
      <c r="C8" s="2959" t="s">
        <v>3122</v>
      </c>
      <c r="D8" s="2959" t="s">
        <v>3123</v>
      </c>
      <c r="E8" s="2959" t="s">
        <v>1331</v>
      </c>
      <c r="F8" s="2959" t="s">
        <v>3151</v>
      </c>
      <c r="G8" s="2959" t="s">
        <v>3125</v>
      </c>
      <c r="H8" s="2959" t="s">
        <v>3152</v>
      </c>
      <c r="I8" s="2959" t="s">
        <v>3127</v>
      </c>
      <c r="J8" s="2959">
        <v>14788.3</v>
      </c>
      <c r="K8" s="2959">
        <v>59153</v>
      </c>
      <c r="L8" s="2959">
        <v>4</v>
      </c>
      <c r="M8" s="2959" t="s">
        <v>1331</v>
      </c>
      <c r="N8" s="2959" t="s">
        <v>1331</v>
      </c>
      <c r="O8" s="2959" t="s">
        <v>1331</v>
      </c>
      <c r="P8" s="2959" t="s">
        <v>1331</v>
      </c>
      <c r="Q8" s="2959" t="s">
        <v>1331</v>
      </c>
      <c r="R8" s="2959" t="s">
        <v>1331</v>
      </c>
      <c r="S8" s="2959" t="s">
        <v>1331</v>
      </c>
      <c r="T8" s="2959" t="s">
        <v>1331</v>
      </c>
      <c r="U8" s="2959" t="s">
        <v>1331</v>
      </c>
      <c r="V8" s="2959" t="s">
        <v>1331</v>
      </c>
      <c r="W8" s="2959" t="s">
        <v>3148</v>
      </c>
      <c r="X8" s="2959" t="s">
        <v>3153</v>
      </c>
      <c r="Y8" s="2959" t="s">
        <v>3154</v>
      </c>
      <c r="Z8" s="2959" t="s">
        <v>3155</v>
      </c>
      <c r="AA8" s="2959" t="s">
        <v>3155</v>
      </c>
      <c r="AB8" s="2959" t="s">
        <v>3152</v>
      </c>
      <c r="AC8" s="2959" t="s">
        <v>3135</v>
      </c>
      <c r="AD8" s="2959" t="s">
        <v>3156</v>
      </c>
      <c r="AE8" s="2959">
        <v>21000</v>
      </c>
      <c r="AF8" s="2959">
        <v>71500</v>
      </c>
      <c r="AG8" s="2959">
        <v>176000</v>
      </c>
      <c r="AH8" s="2959">
        <v>3223.27</v>
      </c>
      <c r="AI8" s="2959">
        <v>7934.2</v>
      </c>
      <c r="AJ8" s="2959">
        <v>12087.29</v>
      </c>
      <c r="AK8" s="2959">
        <v>29753.34</v>
      </c>
      <c r="AL8" s="2959" t="s">
        <v>1331</v>
      </c>
      <c r="AM8" s="2959" t="s">
        <v>1331</v>
      </c>
      <c r="AN8" s="2959">
        <v>146.15</v>
      </c>
      <c r="AO8" s="2959" t="s">
        <v>3137</v>
      </c>
      <c r="AP8" s="2959" t="s">
        <v>1331</v>
      </c>
      <c r="AQ8" s="2959" t="s">
        <v>1331</v>
      </c>
      <c r="AR8" s="2959" t="s">
        <v>1331</v>
      </c>
    </row>
    <row r="9" spans="1:44" s="2959" customFormat="1" ht="12.75">
      <c r="A9" s="2959" t="s">
        <v>3157</v>
      </c>
      <c r="B9" s="2959" t="s">
        <v>3031</v>
      </c>
      <c r="C9" s="2959" t="s">
        <v>3122</v>
      </c>
      <c r="D9" s="2959" t="s">
        <v>3123</v>
      </c>
      <c r="E9" s="2959" t="s">
        <v>1331</v>
      </c>
      <c r="F9" s="2959" t="s">
        <v>3151</v>
      </c>
      <c r="G9" s="2959" t="s">
        <v>3125</v>
      </c>
      <c r="H9" s="2959" t="s">
        <v>3158</v>
      </c>
      <c r="I9" s="2959" t="s">
        <v>3127</v>
      </c>
      <c r="J9" s="2959">
        <v>29500</v>
      </c>
      <c r="K9" s="2959">
        <v>118000</v>
      </c>
      <c r="L9" s="2959">
        <v>4</v>
      </c>
      <c r="M9" s="2959" t="s">
        <v>1331</v>
      </c>
      <c r="N9" s="2959" t="s">
        <v>1331</v>
      </c>
      <c r="O9" s="2959" t="s">
        <v>1331</v>
      </c>
      <c r="P9" s="2959" t="s">
        <v>1331</v>
      </c>
      <c r="Q9" s="2959" t="s">
        <v>1331</v>
      </c>
      <c r="R9" s="2959" t="s">
        <v>1331</v>
      </c>
      <c r="S9" s="2959" t="s">
        <v>1331</v>
      </c>
      <c r="T9" s="2959" t="s">
        <v>1331</v>
      </c>
      <c r="U9" s="2959" t="s">
        <v>1331</v>
      </c>
      <c r="V9" s="2959" t="s">
        <v>1331</v>
      </c>
      <c r="W9" s="2959" t="s">
        <v>3148</v>
      </c>
      <c r="X9" s="2959" t="s">
        <v>3153</v>
      </c>
      <c r="Y9" s="2959" t="s">
        <v>3154</v>
      </c>
      <c r="Z9" s="2959" t="s">
        <v>3155</v>
      </c>
      <c r="AA9" s="2959" t="s">
        <v>3155</v>
      </c>
      <c r="AB9" s="2959" t="s">
        <v>3158</v>
      </c>
      <c r="AC9" s="2959" t="s">
        <v>3135</v>
      </c>
      <c r="AD9" s="2959" t="s">
        <v>3156</v>
      </c>
      <c r="AE9" s="2959">
        <v>42000</v>
      </c>
      <c r="AF9" s="2959">
        <v>142000</v>
      </c>
      <c r="AG9" s="2959">
        <v>342000</v>
      </c>
      <c r="AH9" s="2959">
        <v>3209.04</v>
      </c>
      <c r="AI9" s="2959">
        <v>7728.81</v>
      </c>
      <c r="AJ9" s="2959">
        <v>12033.89</v>
      </c>
      <c r="AK9" s="2959">
        <v>28983.040000000001</v>
      </c>
      <c r="AL9" s="2959" t="s">
        <v>1331</v>
      </c>
      <c r="AM9" s="2959" t="s">
        <v>1331</v>
      </c>
      <c r="AN9" s="2959">
        <v>140.85</v>
      </c>
      <c r="AO9" s="2959" t="s">
        <v>3137</v>
      </c>
      <c r="AP9" s="2959" t="s">
        <v>1331</v>
      </c>
      <c r="AQ9" s="2959" t="s">
        <v>1331</v>
      </c>
      <c r="AR9" s="2959" t="s">
        <v>1331</v>
      </c>
    </row>
    <row r="10" spans="1:44" s="2960" customFormat="1">
      <c r="A10" s="2960" t="s">
        <v>3159</v>
      </c>
      <c r="B10" s="2960" t="s">
        <v>3031</v>
      </c>
      <c r="C10" s="2960" t="s">
        <v>3122</v>
      </c>
      <c r="D10" s="2960" t="s">
        <v>3123</v>
      </c>
      <c r="E10" s="2960" t="s">
        <v>1331</v>
      </c>
      <c r="F10" s="2960" t="s">
        <v>3151</v>
      </c>
      <c r="G10" s="2960" t="s">
        <v>3125</v>
      </c>
      <c r="H10" s="2960" t="s">
        <v>3160</v>
      </c>
      <c r="I10" s="2960" t="s">
        <v>3127</v>
      </c>
      <c r="J10" s="2960">
        <v>15089.35</v>
      </c>
      <c r="K10" s="2960">
        <v>60357</v>
      </c>
      <c r="L10" s="2960">
        <v>4</v>
      </c>
      <c r="M10" s="2960" t="s">
        <v>1331</v>
      </c>
      <c r="N10" s="2960" t="s">
        <v>1331</v>
      </c>
      <c r="O10" s="2960" t="s">
        <v>1331</v>
      </c>
      <c r="P10" s="2960" t="s">
        <v>1331</v>
      </c>
      <c r="Q10" s="2960" t="s">
        <v>1331</v>
      </c>
      <c r="R10" s="2960" t="s">
        <v>1331</v>
      </c>
      <c r="S10" s="2960" t="s">
        <v>1331</v>
      </c>
      <c r="T10" s="2960" t="s">
        <v>1331</v>
      </c>
      <c r="U10" s="2960" t="s">
        <v>1331</v>
      </c>
      <c r="V10" s="2960" t="s">
        <v>1331</v>
      </c>
      <c r="W10" s="2960" t="s">
        <v>3148</v>
      </c>
      <c r="X10" s="2960" t="s">
        <v>3161</v>
      </c>
      <c r="Y10" s="2960" t="s">
        <v>3162</v>
      </c>
      <c r="Z10" s="2960" t="s">
        <v>3163</v>
      </c>
      <c r="AA10" s="2960" t="s">
        <v>3163</v>
      </c>
      <c r="AB10" s="2960" t="s">
        <v>3160</v>
      </c>
      <c r="AC10" s="2960" t="s">
        <v>3135</v>
      </c>
      <c r="AD10" s="2960" t="s">
        <v>3164</v>
      </c>
      <c r="AE10" s="2960">
        <v>21300</v>
      </c>
      <c r="AF10" s="2960">
        <v>71000</v>
      </c>
      <c r="AG10" s="2960">
        <v>110000</v>
      </c>
      <c r="AH10" s="2960">
        <v>3136.87</v>
      </c>
      <c r="AI10" s="2960">
        <v>4859.9399999999996</v>
      </c>
      <c r="AJ10" s="2960">
        <v>11763.34</v>
      </c>
      <c r="AK10" s="2960">
        <v>18224.900000000001</v>
      </c>
      <c r="AL10" s="2960" t="s">
        <v>1331</v>
      </c>
      <c r="AM10" s="2960" t="s">
        <v>1331</v>
      </c>
      <c r="AN10" s="2960">
        <v>54.93</v>
      </c>
      <c r="AO10" s="2960" t="s">
        <v>3137</v>
      </c>
      <c r="AP10" s="2960" t="s">
        <v>1331</v>
      </c>
      <c r="AQ10" s="2960" t="s">
        <v>1331</v>
      </c>
      <c r="AR10" s="2960" t="s">
        <v>1331</v>
      </c>
    </row>
    <row r="11" spans="1:44" s="2960" customFormat="1">
      <c r="A11" s="2960" t="s">
        <v>3165</v>
      </c>
      <c r="B11" s="2960" t="s">
        <v>3031</v>
      </c>
      <c r="C11" s="2960" t="s">
        <v>3122</v>
      </c>
      <c r="D11" s="2960" t="s">
        <v>3123</v>
      </c>
      <c r="E11" s="2960" t="s">
        <v>1331</v>
      </c>
      <c r="F11" s="2960" t="s">
        <v>3151</v>
      </c>
      <c r="G11" s="2960" t="s">
        <v>3125</v>
      </c>
      <c r="H11" s="2960" t="s">
        <v>3166</v>
      </c>
      <c r="I11" s="2960" t="s">
        <v>3127</v>
      </c>
      <c r="J11" s="2960">
        <v>27500</v>
      </c>
      <c r="K11" s="2960">
        <v>110000</v>
      </c>
      <c r="L11" s="2960">
        <v>4</v>
      </c>
      <c r="M11" s="2960" t="s">
        <v>1331</v>
      </c>
      <c r="N11" s="2960" t="s">
        <v>1331</v>
      </c>
      <c r="O11" s="2960" t="s">
        <v>1331</v>
      </c>
      <c r="P11" s="2960" t="s">
        <v>1331</v>
      </c>
      <c r="Q11" s="2960" t="s">
        <v>1331</v>
      </c>
      <c r="R11" s="2960" t="s">
        <v>1331</v>
      </c>
      <c r="S11" s="2960" t="s">
        <v>1331</v>
      </c>
      <c r="T11" s="2960" t="s">
        <v>1331</v>
      </c>
      <c r="U11" s="2960" t="s">
        <v>1331</v>
      </c>
      <c r="V11" s="2960" t="s">
        <v>1331</v>
      </c>
      <c r="W11" s="2960" t="s">
        <v>3167</v>
      </c>
      <c r="X11" s="2960" t="s">
        <v>3168</v>
      </c>
      <c r="Y11" s="2960" t="s">
        <v>3169</v>
      </c>
      <c r="Z11" s="2960" t="s">
        <v>3170</v>
      </c>
      <c r="AA11" s="2960" t="s">
        <v>3170</v>
      </c>
      <c r="AB11" s="2960" t="s">
        <v>3166</v>
      </c>
      <c r="AC11" s="2960" t="s">
        <v>3135</v>
      </c>
      <c r="AD11" s="2960" t="s">
        <v>3171</v>
      </c>
      <c r="AE11" s="2960">
        <v>3900</v>
      </c>
      <c r="AF11" s="2960">
        <v>129000</v>
      </c>
      <c r="AG11" s="2960">
        <v>176000</v>
      </c>
      <c r="AH11" s="2960">
        <v>3127.27</v>
      </c>
      <c r="AI11" s="2960">
        <v>4266.67</v>
      </c>
      <c r="AJ11" s="2960">
        <v>11727.27</v>
      </c>
      <c r="AK11" s="2960">
        <v>16000</v>
      </c>
      <c r="AL11" s="2960" t="s">
        <v>1331</v>
      </c>
      <c r="AM11" s="2960" t="s">
        <v>1331</v>
      </c>
      <c r="AN11" s="2960">
        <v>36.43</v>
      </c>
      <c r="AO11" s="2960" t="s">
        <v>3172</v>
      </c>
      <c r="AP11" s="2960" t="s">
        <v>1331</v>
      </c>
      <c r="AQ11" s="2960" t="s">
        <v>1331</v>
      </c>
      <c r="AR11" s="2960" t="s">
        <v>1331</v>
      </c>
    </row>
    <row r="12" spans="1:44" s="2960" customFormat="1">
      <c r="A12" s="2960" t="s">
        <v>3173</v>
      </c>
      <c r="B12" s="2960" t="s">
        <v>3031</v>
      </c>
      <c r="C12" s="2960" t="s">
        <v>3122</v>
      </c>
      <c r="D12" s="2960" t="s">
        <v>3123</v>
      </c>
      <c r="E12" s="2960" t="s">
        <v>1331</v>
      </c>
      <c r="F12" s="2960" t="s">
        <v>3124</v>
      </c>
      <c r="G12" s="2960" t="s">
        <v>3125</v>
      </c>
      <c r="H12" s="2960" t="s">
        <v>3174</v>
      </c>
      <c r="I12" s="2960" t="s">
        <v>3175</v>
      </c>
      <c r="J12" s="2960">
        <v>35708.800000000003</v>
      </c>
      <c r="K12" s="2960">
        <v>336000</v>
      </c>
      <c r="L12" s="2960">
        <v>9.4</v>
      </c>
      <c r="M12" s="2960" t="s">
        <v>1331</v>
      </c>
      <c r="N12" s="2960" t="s">
        <v>1331</v>
      </c>
      <c r="O12" s="2960" t="s">
        <v>1331</v>
      </c>
      <c r="P12" s="2960" t="s">
        <v>1331</v>
      </c>
      <c r="Q12" s="2960" t="s">
        <v>1331</v>
      </c>
      <c r="R12" s="2960" t="s">
        <v>1331</v>
      </c>
      <c r="S12" s="2960" t="s">
        <v>1331</v>
      </c>
      <c r="T12" s="2960" t="s">
        <v>1331</v>
      </c>
      <c r="U12" s="2960" t="s">
        <v>1331</v>
      </c>
      <c r="V12" s="2960" t="s">
        <v>1331</v>
      </c>
      <c r="W12" s="2960" t="s">
        <v>3167</v>
      </c>
      <c r="X12" s="2960" t="s">
        <v>3176</v>
      </c>
      <c r="Y12" s="2960" t="s">
        <v>3177</v>
      </c>
      <c r="Z12" s="2960" t="s">
        <v>3178</v>
      </c>
      <c r="AA12" s="2960" t="s">
        <v>3178</v>
      </c>
      <c r="AB12" s="2960" t="s">
        <v>3174</v>
      </c>
      <c r="AC12" s="2960" t="s">
        <v>3135</v>
      </c>
      <c r="AD12" s="2960" t="s">
        <v>3179</v>
      </c>
      <c r="AE12" s="2960">
        <v>152000</v>
      </c>
      <c r="AF12" s="2960">
        <v>504000</v>
      </c>
      <c r="AG12" s="2960">
        <v>504000</v>
      </c>
      <c r="AH12" s="2960">
        <v>9409.4500000000007</v>
      </c>
      <c r="AI12" s="2960">
        <v>9409.4500000000007</v>
      </c>
      <c r="AJ12" s="2960">
        <v>15000</v>
      </c>
      <c r="AK12" s="2960">
        <v>15000</v>
      </c>
      <c r="AL12" s="2960" t="s">
        <v>1331</v>
      </c>
      <c r="AM12" s="2960" t="s">
        <v>1331</v>
      </c>
      <c r="AN12" s="2960">
        <v>0</v>
      </c>
      <c r="AO12" s="2960" t="s">
        <v>3172</v>
      </c>
      <c r="AP12" s="2960" t="s">
        <v>1331</v>
      </c>
      <c r="AQ12" s="2960" t="s">
        <v>1331</v>
      </c>
      <c r="AR12" s="2960"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zoomScale="80" zoomScaleNormal="80" workbookViewId="0">
      <selection activeCell="I5" sqref="I5"/>
    </sheetView>
  </sheetViews>
  <sheetFormatPr defaultRowHeight="13.5"/>
  <sheetData>
    <row r="1" spans="1:17">
      <c r="A1" s="2968" t="s">
        <v>3208</v>
      </c>
      <c r="B1" s="2968" t="s">
        <v>3209</v>
      </c>
      <c r="C1" s="2968" t="s">
        <v>3210</v>
      </c>
      <c r="D1" s="2968" t="s">
        <v>3211</v>
      </c>
      <c r="F1" s="2968" t="s">
        <v>3237</v>
      </c>
      <c r="G1" s="2969">
        <f>A3+A7+A11+A15+D17</f>
        <v>16121.09</v>
      </c>
      <c r="H1" s="2968" t="s">
        <v>3248</v>
      </c>
      <c r="I1" s="2975" t="s">
        <v>3249</v>
      </c>
    </row>
    <row r="2" spans="1:17">
      <c r="A2" s="2968" t="s">
        <v>3231</v>
      </c>
      <c r="B2" s="2969" t="s">
        <v>3212</v>
      </c>
      <c r="C2" s="2969" t="s">
        <v>3216</v>
      </c>
      <c r="D2" s="2969"/>
      <c r="F2" s="2968" t="s">
        <v>3238</v>
      </c>
      <c r="G2" s="2969">
        <f>G1-G3-G4</f>
        <v>6609.9900000000007</v>
      </c>
      <c r="H2" s="2969">
        <v>10</v>
      </c>
      <c r="I2" s="2967">
        <f>'比较法-商业'!C49</f>
        <v>9</v>
      </c>
    </row>
    <row r="3" spans="1:17">
      <c r="A3" s="2970">
        <f>'数据-基础表'!K13</f>
        <v>4271.67</v>
      </c>
      <c r="B3" s="2969" t="s">
        <v>3213</v>
      </c>
      <c r="C3" s="2969" t="s">
        <v>3217</v>
      </c>
      <c r="D3" s="2969"/>
      <c r="F3" s="2968" t="s">
        <v>3239</v>
      </c>
      <c r="G3" s="2969">
        <f>C7+C6+C3+C2</f>
        <v>3328.21</v>
      </c>
      <c r="H3" s="2969">
        <v>5.8</v>
      </c>
      <c r="I3" s="2967">
        <f>ROUND(I2*0.7,1)</f>
        <v>6.3</v>
      </c>
    </row>
    <row r="4" spans="1:17">
      <c r="A4" s="2969">
        <f>B2+B3+B4+B5+C2+C3</f>
        <v>2793.42</v>
      </c>
      <c r="B4" s="2969" t="s">
        <v>3214</v>
      </c>
      <c r="C4" s="2969"/>
      <c r="D4" s="2969"/>
      <c r="F4" s="2968" t="s">
        <v>3240</v>
      </c>
      <c r="G4" s="2969">
        <f>D17</f>
        <v>6182.89</v>
      </c>
      <c r="H4" s="2969">
        <v>3</v>
      </c>
      <c r="I4" s="2967">
        <f>ROUND(I2*0.35,1)</f>
        <v>3.2</v>
      </c>
    </row>
    <row r="5" spans="1:17">
      <c r="A5" s="2969"/>
      <c r="B5" s="2969" t="s">
        <v>3215</v>
      </c>
      <c r="C5" s="2969"/>
      <c r="D5" s="2969"/>
      <c r="F5" s="2971" t="s">
        <v>3241</v>
      </c>
      <c r="G5" s="2972">
        <f>ROUND(H4*G4/G1+H3*G3/G1+H2*G2/G1,1)</f>
        <v>6.4</v>
      </c>
      <c r="H5" s="2969"/>
      <c r="I5" s="2970">
        <f>ROUND(I4*G4/G1+I3*G3/G1+I2*G2/G1,1)</f>
        <v>6.2</v>
      </c>
    </row>
    <row r="6" spans="1:17">
      <c r="A6" s="2968" t="s">
        <v>3232</v>
      </c>
      <c r="B6" s="2969" t="s">
        <v>3218</v>
      </c>
      <c r="C6" s="2969" t="s">
        <v>3222</v>
      </c>
      <c r="D6" s="2969"/>
    </row>
    <row r="7" spans="1:17">
      <c r="A7" s="2970">
        <f>'数据-基础表'!K14</f>
        <v>2964.96</v>
      </c>
      <c r="B7" s="2969" t="s">
        <v>3219</v>
      </c>
      <c r="C7" s="2969" t="s">
        <v>3223</v>
      </c>
      <c r="D7" s="2969"/>
      <c r="J7" s="2969"/>
      <c r="K7" s="2969"/>
      <c r="L7" s="2969"/>
    </row>
    <row r="8" spans="1:17">
      <c r="A8" s="2969">
        <f>B6+B7+B8+B9+C6+C7</f>
        <v>4072.34</v>
      </c>
      <c r="B8" s="2969" t="s">
        <v>3220</v>
      </c>
      <c r="C8" s="2969"/>
      <c r="D8" s="2969"/>
      <c r="J8" s="2969"/>
      <c r="K8" s="2969"/>
      <c r="L8" s="2969"/>
    </row>
    <row r="9" spans="1:17">
      <c r="A9" s="2969"/>
      <c r="B9" s="2969" t="s">
        <v>3221</v>
      </c>
      <c r="C9" s="2969"/>
      <c r="D9" s="2969"/>
      <c r="J9" s="2969"/>
      <c r="K9" s="2969"/>
      <c r="L9" s="2969"/>
    </row>
    <row r="10" spans="1:17">
      <c r="A10" s="2968" t="s">
        <v>3233</v>
      </c>
      <c r="B10" s="2969" t="s">
        <v>3224</v>
      </c>
      <c r="C10" s="2968" t="s">
        <v>3236</v>
      </c>
      <c r="D10" s="2969"/>
      <c r="J10" s="2969"/>
      <c r="K10" s="2969"/>
      <c r="L10" s="2969"/>
    </row>
    <row r="11" spans="1:17">
      <c r="A11" s="2970">
        <f>'数据-基础表'!K15</f>
        <v>1312.67</v>
      </c>
      <c r="B11" s="2969" t="s">
        <v>3225</v>
      </c>
      <c r="C11" s="2969"/>
      <c r="D11" s="2969"/>
      <c r="J11" s="2969"/>
      <c r="K11" s="2969"/>
      <c r="L11" s="2969"/>
    </row>
    <row r="12" spans="1:17">
      <c r="A12" s="2969">
        <f>B10+B11+B12+B13</f>
        <v>1169.1300000000001</v>
      </c>
      <c r="B12" s="2969" t="s">
        <v>3226</v>
      </c>
      <c r="C12" s="2969"/>
      <c r="D12" s="2969"/>
      <c r="J12" s="2969"/>
      <c r="K12" s="2969"/>
      <c r="L12" s="2969"/>
    </row>
    <row r="13" spans="1:17">
      <c r="A13" s="2969"/>
      <c r="B13" s="2969" t="s">
        <v>3227</v>
      </c>
      <c r="C13" s="2969"/>
      <c r="D13" s="2969"/>
      <c r="J13" s="2969"/>
      <c r="K13" s="2969"/>
      <c r="L13" s="2969"/>
      <c r="Q13" s="2991"/>
    </row>
    <row r="14" spans="1:17">
      <c r="A14" s="2968" t="s">
        <v>3234</v>
      </c>
      <c r="B14" s="2969" t="s">
        <v>3228</v>
      </c>
      <c r="C14" s="2969"/>
      <c r="D14" s="2969"/>
      <c r="Q14" s="2991"/>
    </row>
    <row r="15" spans="1:17">
      <c r="A15" s="2970">
        <f>'数据-基础表'!K16</f>
        <v>1388.9</v>
      </c>
      <c r="B15" s="2969" t="s">
        <v>3229</v>
      </c>
      <c r="C15" s="2969"/>
      <c r="D15" s="2969"/>
      <c r="Q15" s="2991"/>
    </row>
    <row r="16" spans="1:17">
      <c r="A16" s="2969">
        <f>B16+B15+B14</f>
        <v>1768.5300000000002</v>
      </c>
      <c r="B16" s="2969" t="s">
        <v>3230</v>
      </c>
      <c r="C16" s="2969"/>
      <c r="D16" s="2969"/>
      <c r="Q16" s="2991"/>
    </row>
    <row r="17" spans="1:15">
      <c r="A17" s="2968" t="s">
        <v>3235</v>
      </c>
      <c r="B17" s="2969"/>
      <c r="C17" s="2969"/>
      <c r="D17" s="2969">
        <f>'数据-汇总表'!G20</f>
        <v>6182.89</v>
      </c>
    </row>
    <row r="23" spans="1:15">
      <c r="O23" s="2991"/>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1641</v>
      </c>
      <c r="B2" s="3050" t="s">
        <v>1642</v>
      </c>
      <c r="C2" s="3050" t="s">
        <v>1643</v>
      </c>
      <c r="D2" s="3050" t="str">
        <f>结果表!D116</f>
        <v>出让国有建设用地使用权价值</v>
      </c>
      <c r="E2" s="3050"/>
      <c r="F2" s="3050" t="str">
        <f>结果表!F116</f>
        <v>建筑物价值</v>
      </c>
      <c r="G2" s="3050"/>
      <c r="H2" s="3050" t="str">
        <f>IF(项目基本情况!B9="房地产市场价值","房地产市场价值","房地产价值")</f>
        <v>房地产价值</v>
      </c>
      <c r="I2" s="3050"/>
    </row>
    <row r="3" spans="1:9" ht="15">
      <c r="A3" s="3044"/>
      <c r="B3" s="3044"/>
      <c r="C3" s="3044"/>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138263.03999999998</v>
      </c>
      <c r="C4" s="1038">
        <f>项目基本情况!C18</f>
        <v>27500</v>
      </c>
      <c r="D4" s="1038">
        <f ca="1">结果表!D118</f>
        <v>390113</v>
      </c>
      <c r="E4" s="1038">
        <f ca="1">结果表!E118</f>
        <v>28215</v>
      </c>
      <c r="F4" s="1038">
        <f ca="1">结果表!F118</f>
        <v>61930</v>
      </c>
      <c r="G4" s="1038">
        <f ca="1">结果表!G118</f>
        <v>4479</v>
      </c>
      <c r="H4" s="1038">
        <f ca="1">结果表!H118</f>
        <v>452043</v>
      </c>
      <c r="I4" s="1038">
        <f ca="1">结果表!I118</f>
        <v>32694</v>
      </c>
    </row>
    <row r="5" spans="1:9" ht="30" customHeight="1">
      <c r="A5" s="3044" t="s">
        <v>1640</v>
      </c>
      <c r="B5" s="3044"/>
      <c r="C5" s="3044"/>
      <c r="D5" s="3045" t="str">
        <f ca="1">结果表!D119</f>
        <v>叁拾玖亿零壹佰壹拾叁万元整</v>
      </c>
      <c r="E5" s="3045"/>
      <c r="F5" s="3045" t="str">
        <f ca="1">结果表!F119</f>
        <v>陆亿壹仟玖佰叁拾万元整</v>
      </c>
      <c r="G5" s="3045"/>
      <c r="H5" s="3045" t="str">
        <f ca="1">结果表!H119</f>
        <v>肆拾伍亿贰仟零肆拾叁万元整</v>
      </c>
      <c r="I5" s="3045"/>
    </row>
    <row r="6" spans="1:9" ht="15.75">
      <c r="A6" s="3043" t="str">
        <f>结果表!A120</f>
        <v>估价师知悉的法定优先受偿款</v>
      </c>
      <c r="B6" s="3043"/>
      <c r="C6" s="3043"/>
      <c r="D6" s="3043">
        <f>结果表!D120</f>
        <v>26291</v>
      </c>
      <c r="E6" s="3043"/>
      <c r="F6" s="3043"/>
      <c r="G6" s="3043"/>
      <c r="H6" s="3043"/>
      <c r="I6" s="3043"/>
    </row>
    <row r="7" spans="1:9" ht="15">
      <c r="A7" s="3044" t="s">
        <v>1640</v>
      </c>
      <c r="B7" s="3044"/>
      <c r="C7" s="3044"/>
      <c r="D7" s="3046" t="str">
        <f>结果表!D121</f>
        <v>贰亿陆仟贰佰玖拾壹万元整</v>
      </c>
      <c r="E7" s="3047"/>
      <c r="F7" s="3047"/>
      <c r="G7" s="3047"/>
      <c r="H7" s="3047"/>
      <c r="I7" s="3048"/>
    </row>
    <row r="8" spans="1:9" ht="15.75">
      <c r="A8" s="3043" t="str">
        <f>结果表!A122</f>
        <v/>
      </c>
      <c r="B8" s="3043"/>
      <c r="C8" s="3043"/>
      <c r="D8" s="3043" t="str">
        <f>结果表!D122</f>
        <v>——</v>
      </c>
      <c r="E8" s="3043"/>
      <c r="F8" s="3043"/>
      <c r="G8" s="3043"/>
      <c r="H8" s="3043"/>
      <c r="I8" s="3043"/>
    </row>
    <row r="9" spans="1:9" ht="15">
      <c r="A9" s="3044" t="s">
        <v>1640</v>
      </c>
      <c r="B9" s="3044"/>
      <c r="C9" s="3044"/>
      <c r="D9" s="3045" t="e">
        <f>结果表!D123</f>
        <v>#VALUE!</v>
      </c>
      <c r="E9" s="3045"/>
      <c r="F9" s="3045"/>
      <c r="G9" s="3045"/>
      <c r="H9" s="3045"/>
      <c r="I9" s="3045"/>
    </row>
    <row r="10" spans="1:9" ht="15.75">
      <c r="A10" s="3043" t="str">
        <f>结果表!A124</f>
        <v>抵押担保权已注销时的房地产抵押价值</v>
      </c>
      <c r="B10" s="3043"/>
      <c r="C10" s="3043"/>
      <c r="D10" s="3043">
        <f ca="1">结果表!D124</f>
        <v>425752</v>
      </c>
      <c r="E10" s="3043"/>
      <c r="F10" s="3043"/>
      <c r="G10" s="3043"/>
      <c r="H10" s="3043"/>
      <c r="I10" s="3043"/>
    </row>
    <row r="11" spans="1:9" ht="15">
      <c r="A11" s="3044" t="s">
        <v>1640</v>
      </c>
      <c r="B11" s="3044"/>
      <c r="C11" s="3044"/>
      <c r="D11" s="3045" t="str">
        <f ca="1">结果表!D125</f>
        <v>肆拾贰亿伍仟柒佰伍拾贰万元整</v>
      </c>
      <c r="E11" s="3045"/>
      <c r="F11" s="3045"/>
      <c r="G11" s="3045"/>
      <c r="H11" s="3045"/>
      <c r="I11" s="3045"/>
    </row>
    <row r="12" spans="1:9" ht="15.75">
      <c r="A12" s="3043" t="str">
        <f>结果表!A126</f>
        <v/>
      </c>
      <c r="B12" s="3043"/>
      <c r="C12" s="3043"/>
      <c r="D12" s="3043" t="str">
        <f>结果表!D126</f>
        <v>——</v>
      </c>
      <c r="E12" s="3043"/>
      <c r="F12" s="3043"/>
      <c r="G12" s="3043"/>
      <c r="H12" s="3043"/>
      <c r="I12" s="3043"/>
    </row>
    <row r="13" spans="1:9" ht="15.75" thickBot="1">
      <c r="A13" s="3040" t="s">
        <v>1640</v>
      </c>
      <c r="B13" s="3040"/>
      <c r="C13" s="3040"/>
      <c r="D13" s="3041" t="e">
        <f>结果表!D127</f>
        <v>#VALUE!</v>
      </c>
      <c r="E13" s="3041"/>
      <c r="F13" s="3041"/>
      <c r="G13" s="3041"/>
      <c r="H13" s="3041"/>
      <c r="I13" s="3041"/>
    </row>
    <row r="14" spans="1:9" ht="15" thickTop="1">
      <c r="A14" s="3042" t="s">
        <v>1645</v>
      </c>
      <c r="B14" s="3042"/>
      <c r="C14" s="3042"/>
      <c r="D14" s="3042"/>
      <c r="E14" s="3042"/>
      <c r="F14" s="3042"/>
      <c r="G14" s="3042"/>
      <c r="H14" s="3042"/>
      <c r="I14" s="3042"/>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57" t="s">
        <v>1662</v>
      </c>
      <c r="B1" s="3057"/>
      <c r="C1" s="3057"/>
      <c r="D1" s="3057"/>
    </row>
    <row r="2" spans="1:4" ht="18">
      <c r="A2" s="3058" t="s">
        <v>1646</v>
      </c>
      <c r="B2" s="3058"/>
      <c r="C2" s="3058"/>
      <c r="D2" s="3058"/>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58" t="s">
        <v>1652</v>
      </c>
      <c r="B6" s="3058"/>
      <c r="C6" s="3058"/>
      <c r="D6" s="3058"/>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59" t="s">
        <v>1655</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1" t="str">
        <f>IF(项目基本情况!B8="抵押","4.本次评估估价师所知悉的法定优先受偿款情况说明如下：","——")</f>
        <v>4.本次评估估价师所知悉的法定优先受偿款情况说明如下：</v>
      </c>
      <c r="B14" s="3056"/>
      <c r="C14" s="3056"/>
      <c r="D14" s="3056"/>
    </row>
    <row r="15" spans="1:4" ht="42" customHeight="1">
      <c r="A15" s="305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3" t="s">
        <v>1656</v>
      </c>
      <c r="B16" s="3053"/>
      <c r="C16" s="3053"/>
      <c r="D16" s="3053"/>
    </row>
    <row r="17" spans="1:4" ht="144" customHeight="1">
      <c r="A17" s="3053" t="s">
        <v>1657</v>
      </c>
      <c r="B17" s="3053"/>
      <c r="C17" s="3053"/>
      <c r="D17" s="3053"/>
    </row>
    <row r="18" spans="1:4" ht="15.75" customHeight="1">
      <c r="A18" s="3051" t="str">
        <f>IF(项目基本情况!B8="抵押",结果表!K120,"——")</f>
        <v>故，本次评估估价师知悉的法定优先受偿款为人民币26291万元整。</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1658</v>
      </c>
      <c r="B22" s="3055"/>
      <c r="C22" s="3055"/>
      <c r="D22" s="3055"/>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52">
        <v>42551</v>
      </c>
      <c r="D31" s="30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65" t="s">
        <v>1669</v>
      </c>
      <c r="B15" s="3060" t="s">
        <v>136</v>
      </c>
      <c r="C15" s="3061"/>
    </row>
    <row r="16" spans="1:7" ht="13.5">
      <c r="A16" s="3066"/>
      <c r="B16" s="3060" t="s">
        <v>69</v>
      </c>
      <c r="C16" s="3061"/>
    </row>
    <row r="17" spans="1:3" ht="13.5">
      <c r="A17" s="3066"/>
      <c r="B17" s="3063" t="s">
        <v>1670</v>
      </c>
      <c r="C17" s="1993" t="s">
        <v>1669</v>
      </c>
    </row>
    <row r="18" spans="1:3" ht="13.5">
      <c r="A18" s="3066"/>
      <c r="B18" s="3063"/>
      <c r="C18" s="1993" t="s">
        <v>1671</v>
      </c>
    </row>
    <row r="19" spans="1:3" ht="13.5">
      <c r="A19" s="3066"/>
      <c r="B19" s="3063"/>
      <c r="C19" s="1993" t="s">
        <v>1672</v>
      </c>
    </row>
    <row r="20" spans="1:3" ht="13.5">
      <c r="A20" s="3067"/>
      <c r="B20" s="3062" t="s">
        <v>1673</v>
      </c>
      <c r="C20" s="3061"/>
    </row>
    <row r="21" spans="1:3" ht="13.5">
      <c r="A21" s="1994" t="s">
        <v>1674</v>
      </c>
      <c r="B21" s="1995"/>
      <c r="C21" s="1996"/>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3" t="s">
        <v>1680</v>
      </c>
    </row>
    <row r="26" spans="1:3" ht="13.5">
      <c r="A26" s="3064"/>
      <c r="B26" s="3063"/>
      <c r="C26" s="1993" t="s">
        <v>1681</v>
      </c>
    </row>
    <row r="27" spans="1:3" ht="13.5">
      <c r="A27" s="3064"/>
      <c r="B27" s="3063"/>
      <c r="C27" s="1993" t="s">
        <v>1682</v>
      </c>
    </row>
    <row r="28" spans="1:3" ht="13.5">
      <c r="A28" s="3064"/>
      <c r="B28" s="3063"/>
      <c r="C28" s="1993" t="s">
        <v>1683</v>
      </c>
    </row>
    <row r="29" spans="1:3" ht="13.5">
      <c r="A29" s="3064"/>
      <c r="B29" s="3063"/>
      <c r="C29" s="1993" t="s">
        <v>1684</v>
      </c>
    </row>
    <row r="30" spans="1:3" ht="13.5">
      <c r="A30" s="3064"/>
      <c r="B30" s="3063"/>
      <c r="C30" s="1993" t="s">
        <v>1685</v>
      </c>
    </row>
    <row r="31" spans="1:3" ht="13.5">
      <c r="A31" s="3064"/>
      <c r="B31" s="3063"/>
      <c r="C31" s="1993" t="s">
        <v>1686</v>
      </c>
    </row>
    <row r="32" spans="1:3" ht="13.5">
      <c r="A32" s="3064"/>
      <c r="B32" s="3063"/>
      <c r="C32" s="1993" t="s">
        <v>1687</v>
      </c>
    </row>
    <row r="33" spans="1:3" ht="13.5">
      <c r="A33" s="3064"/>
      <c r="B33" s="306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43390</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t="str">
        <f ca="1">IF(C7&lt;B2,"已过期",1120050019)</f>
        <v>已过期</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t="str">
        <f ca="1">IF(C22&lt;B2,"已过期",1120020033)</f>
        <v>已过期</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68" t="s">
        <v>846</v>
      </c>
      <c r="B25" s="3068"/>
      <c r="C25" s="3068"/>
      <c r="D25" s="3068"/>
      <c r="E25" s="3068"/>
      <c r="F25" s="3068"/>
      <c r="G25" s="3068"/>
    </row>
    <row r="26" spans="1:7" s="1020" customFormat="1" ht="24" customHeight="1">
      <c r="A26" s="3069" t="s">
        <v>847</v>
      </c>
      <c r="B26" s="3069"/>
      <c r="C26" s="3070"/>
      <c r="D26" s="3071" t="s">
        <v>848</v>
      </c>
      <c r="E26" s="3069"/>
      <c r="F26" s="306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2018-10-17T06:37:55Z</dcterms:modified>
</cp:coreProperties>
</file>